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825" windowWidth="24210" windowHeight="11625" tabRatio="863" activeTab="0"/>
  </bookViews>
  <sheets>
    <sheet name="Bar Charts" sheetId="1" r:id="rId1"/>
    <sheet name="Program Summary" sheetId="2" r:id="rId2"/>
    <sheet name="Summary Breakdown" sheetId="3" r:id="rId3"/>
    <sheet name="FY2015 Summary" sheetId="4" r:id="rId4"/>
    <sheet name="Annual Savings" sheetId="5" r:id="rId5"/>
    <sheet name="Lifetime Savings" sheetId="6" r:id="rId6"/>
    <sheet name="Participants" sheetId="7" r:id="rId7"/>
    <sheet name="Cumulative Demand" sheetId="8" r:id="rId8"/>
    <sheet name="Energy Star" sheetId="9" r:id="rId9"/>
    <sheet name="Home Perf" sheetId="10" r:id="rId10"/>
    <sheet name="Low-income" sheetId="11" r:id="rId11"/>
    <sheet name="Res HVAC" sheetId="12" r:id="rId12"/>
    <sheet name="RNC" sheetId="13" r:id="rId13"/>
    <sheet name="C&amp;I" sheetId="14" r:id="rId14"/>
    <sheet name="CHP-FuelCell_Lrg-Small" sheetId="15" r:id="rId15"/>
    <sheet name="Direct Install" sheetId="16" r:id="rId16"/>
    <sheet name="LEUP" sheetId="17" r:id="rId17"/>
    <sheet name="LGEA" sheetId="18" r:id="rId18"/>
    <sheet name="P4P " sheetId="19" r:id="rId19"/>
    <sheet name="P4P NC" sheetId="20" r:id="rId20"/>
    <sheet name="REC" sheetId="21" r:id="rId21"/>
    <sheet name="RE Grid Connected" sheetId="22" r:id="rId22"/>
    <sheet name="REIP" sheetId="23" r:id="rId23"/>
    <sheet name="Other EE-RE" sheetId="24" r:id="rId24"/>
    <sheet name="Admin" sheetId="25" r:id="rId25"/>
    <sheet name="EDA" sheetId="26" r:id="rId26"/>
    <sheet name="Edison Inn CEF" sheetId="27" r:id="rId27"/>
    <sheet name="emision reductions FY2015" sheetId="28" r:id="rId28"/>
    <sheet name="emmission reductions" sheetId="29" r:id="rId29"/>
    <sheet name="Appliance Cycling" sheetId="30" r:id="rId30"/>
    <sheet name="Clean Power Choice" sheetId="31" r:id="rId31"/>
    <sheet name="Cool Cities" sheetId="32" r:id="rId32"/>
    <sheet name="CORE" sheetId="33" r:id="rId33"/>
    <sheet name="RE Grants and Financing" sheetId="34" r:id="rId34"/>
    <sheet name="RE Business Venture Fin" sheetId="35" r:id="rId35"/>
  </sheets>
  <externalReferences>
    <externalReference r:id="rId38"/>
    <externalReference r:id="rId39"/>
  </externalReferences>
  <definedNames>
    <definedName name="_xlnm.Print_Area" localSheetId="24">'Admin'!$A$1:$M$24</definedName>
    <definedName name="_xlnm.Print_Area" localSheetId="4">'Annual Savings'!$A$1:$R$192</definedName>
    <definedName name="_xlnm.Print_Area" localSheetId="29">'Appliance Cycling'!$A$1:$F$18</definedName>
    <definedName name="_xlnm.Print_Area" localSheetId="13">'C&amp;I'!$A$1:$R$112</definedName>
    <definedName name="_xlnm.Print_Area" localSheetId="14">'CHP-FuelCell_Lrg-Small'!$A$1:$R$112</definedName>
    <definedName name="_xlnm.Print_Area" localSheetId="30">'Clean Power Choice'!$A$1:$K$13</definedName>
    <definedName name="_xlnm.Print_Area" localSheetId="31">'Cool Cities'!$A$1:$I$27</definedName>
    <definedName name="_xlnm.Print_Area" localSheetId="32">'CORE'!$A$1:$O$45</definedName>
    <definedName name="_xlnm.Print_Area" localSheetId="7">'Cumulative Demand'!$A$2:$R$51</definedName>
    <definedName name="_xlnm.Print_Area" localSheetId="15">'Direct Install'!$A$1:$I$46</definedName>
    <definedName name="_xlnm.Print_Area" localSheetId="26">'Edison Inn CEF'!$A$1:$H$16</definedName>
    <definedName name="_xlnm.Print_Area" localSheetId="27">'emision reductions FY2015'!$A$1:$F$25</definedName>
    <definedName name="_xlnm.Print_Area" localSheetId="28">'emmission reductions'!$A$1:$R$61</definedName>
    <definedName name="_xlnm.Print_Area" localSheetId="8">'Energy Star'!$A$1:$R$98</definedName>
    <definedName name="_xlnm.Print_Area" localSheetId="3">'FY2015 Summary'!$A$1:$E$61</definedName>
    <definedName name="_xlnm.Print_Area" localSheetId="9">'Home Perf'!$A$1:$L$51</definedName>
    <definedName name="_xlnm.Print_Area" localSheetId="16">'LEUP'!$A$2:$F$46</definedName>
    <definedName name="_xlnm.Print_Area" localSheetId="5">'Lifetime Savings'!$A$1:$R$115</definedName>
    <definedName name="_xlnm.Print_Area" localSheetId="10">'Low-income'!$A$1:$R$43</definedName>
    <definedName name="_xlnm.Print_Area" localSheetId="23">'Other EE-RE'!$A$1:$N$72</definedName>
    <definedName name="_xlnm.Print_Area" localSheetId="18">'P4P '!$A$1:$O$95</definedName>
    <definedName name="_xlnm.Print_Area" localSheetId="19">'P4P NC'!$A$1:$G$51</definedName>
    <definedName name="_xlnm.Print_Area" localSheetId="6">'Participants'!$A$2:$R$59</definedName>
    <definedName name="_xlnm.Print_Area" localSheetId="1">'Program Summary'!$A$1:$R$74</definedName>
    <definedName name="_xlnm.Print_Area" localSheetId="34">'RE Business Venture Fin'!$A$1:$L$15</definedName>
    <definedName name="_xlnm.Print_Area" localSheetId="33">'RE Grants and Financing'!$A$1:$L$52</definedName>
    <definedName name="_xlnm.Print_Area" localSheetId="21">'RE Grid Connected'!$A$1:$H$32</definedName>
    <definedName name="_xlnm.Print_Area" localSheetId="20">'REC'!$A$1:$J$36</definedName>
    <definedName name="_xlnm.Print_Area" localSheetId="22">'REIP'!$A$1:$H$42</definedName>
    <definedName name="_xlnm.Print_Area" localSheetId="11">'Res HVAC'!$A$1:$R$36</definedName>
    <definedName name="_xlnm.Print_Area" localSheetId="12">'RNC'!$A$1:$R$51</definedName>
    <definedName name="_xlnm.Print_Area" localSheetId="2">'Summary Breakdown'!$A$1:$R$57</definedName>
    <definedName name="_xlnm.Print_Titles" localSheetId="4">'Annual Savings'!$1:$2</definedName>
    <definedName name="_xlnm.Print_Titles" localSheetId="0">'Bar Charts'!$1:$1</definedName>
    <definedName name="_xlnm.Print_Titles" localSheetId="13">'C&amp;I'!$1:$2</definedName>
    <definedName name="_xlnm.Print_Titles" localSheetId="14">'CHP-FuelCell_Lrg-Small'!$1:$2</definedName>
    <definedName name="_xlnm.Print_Titles" localSheetId="7">'Cumulative Demand'!$1:$2</definedName>
    <definedName name="_xlnm.Print_Titles" localSheetId="8">'Energy Star'!$1:$2</definedName>
    <definedName name="_xlnm.Print_Titles" localSheetId="5">'Lifetime Savings'!$1:$2</definedName>
    <definedName name="_xlnm.Print_Titles" localSheetId="23">'Other EE-RE'!$1:$4</definedName>
    <definedName name="_xlnm.Print_Titles" localSheetId="18">'P4P '!$1:$2</definedName>
  </definedNames>
  <calcPr fullCalcOnLoad="1"/>
</workbook>
</file>

<file path=xl/sharedStrings.xml><?xml version="1.0" encoding="utf-8"?>
<sst xmlns="http://schemas.openxmlformats.org/spreadsheetml/2006/main" count="3373" uniqueCount="469">
  <si>
    <t>Residential Low-income Program Results</t>
  </si>
  <si>
    <t>Total</t>
  </si>
  <si>
    <t>Comfort Partners</t>
  </si>
  <si>
    <t>Senior Weatherization Pilot</t>
  </si>
  <si>
    <t>NA</t>
  </si>
  <si>
    <t>Participants</t>
  </si>
  <si>
    <t>Energy Savings</t>
  </si>
  <si>
    <t>Electric</t>
  </si>
  <si>
    <t>MWh</t>
  </si>
  <si>
    <t>KW</t>
  </si>
  <si>
    <t>Gas</t>
  </si>
  <si>
    <t>Dtherm</t>
  </si>
  <si>
    <t>Residential HVAC Program Results</t>
  </si>
  <si>
    <t>Res HVAC Electric</t>
  </si>
  <si>
    <t>Res HVAC Gas</t>
  </si>
  <si>
    <t>Residential New Construction Program Results</t>
  </si>
  <si>
    <t>Actual Expenditures</t>
  </si>
  <si>
    <t>Committed Expenditures</t>
  </si>
  <si>
    <t>Actual + Committed</t>
  </si>
  <si>
    <t>Committed</t>
  </si>
  <si>
    <t>Actual</t>
  </si>
  <si>
    <t xml:space="preserve">Energy Star Windows </t>
  </si>
  <si>
    <t>Energy Star Appliances</t>
  </si>
  <si>
    <t>Combined Program (02)</t>
  </si>
  <si>
    <t>MWH</t>
  </si>
  <si>
    <t>Appliance Cycling Program Results</t>
  </si>
  <si>
    <t>CORE Program Results</t>
  </si>
  <si>
    <t>Actual expenditures</t>
  </si>
  <si>
    <t>Actual &amp; committed expenditures</t>
  </si>
  <si>
    <t>2004</t>
  </si>
  <si>
    <t>Combined-Total Electric &amp; Gas</t>
  </si>
  <si>
    <t>Annual demand reductions</t>
  </si>
  <si>
    <t xml:space="preserve">Energy Savings </t>
  </si>
  <si>
    <t>Expenditures ($000)</t>
  </si>
  <si>
    <t># Participants</t>
  </si>
  <si>
    <t xml:space="preserve">Energy Star Lighting </t>
  </si>
  <si>
    <t xml:space="preserve">Energy Star Maintenance </t>
  </si>
  <si>
    <t xml:space="preserve">Room AC </t>
  </si>
  <si>
    <t xml:space="preserve">Lighting and Other </t>
  </si>
  <si>
    <t>Home Energy Audit</t>
  </si>
  <si>
    <t xml:space="preserve">  Room AC</t>
  </si>
  <si>
    <t xml:space="preserve">  Room AC </t>
  </si>
  <si>
    <t xml:space="preserve">  Home Energy Audit</t>
  </si>
  <si>
    <t xml:space="preserve">  Lighting Promotion</t>
  </si>
  <si>
    <t xml:space="preserve">  Clothes Washers</t>
  </si>
  <si>
    <t xml:space="preserve">  Thermostats</t>
  </si>
  <si>
    <t>C&amp;I Construction</t>
  </si>
  <si>
    <t>Building O&amp;M</t>
  </si>
  <si>
    <t>Compressed Air</t>
  </si>
  <si>
    <t>C&amp;I New Construction</t>
  </si>
  <si>
    <t>CHP</t>
  </si>
  <si>
    <t>Total C&amp;I</t>
  </si>
  <si>
    <t>C&amp;I Retrofit</t>
  </si>
  <si>
    <t>New School Construction</t>
  </si>
  <si>
    <t>Budget ($000)</t>
  </si>
  <si>
    <t>Cool Cities Program Results</t>
  </si>
  <si>
    <t># Trees Planted</t>
  </si>
  <si>
    <t>TBD</t>
  </si>
  <si>
    <t>Actual Expenditures *</t>
  </si>
  <si>
    <t>Energy Savings**</t>
  </si>
  <si>
    <t>* As of June 2004 this program is no longer funded through the NJCEP</t>
  </si>
  <si>
    <t>Renewable Energy Generation</t>
  </si>
  <si>
    <t>Gas Savings</t>
  </si>
  <si>
    <t>New Jersey's Clean Energy Program</t>
  </si>
  <si>
    <t xml:space="preserve">  Energy Efficiency</t>
  </si>
  <si>
    <t xml:space="preserve">  Renewable Energy</t>
  </si>
  <si>
    <t>Residential HVAC - Electric &amp; Gas</t>
  </si>
  <si>
    <t>Residential New Construction</t>
  </si>
  <si>
    <t>Energy Star Products</t>
  </si>
  <si>
    <t xml:space="preserve">     Room Air Conditioning</t>
  </si>
  <si>
    <t xml:space="preserve">     Lighting and Other</t>
  </si>
  <si>
    <t xml:space="preserve">     Home Energy Audit</t>
  </si>
  <si>
    <t>Residential Low Income</t>
  </si>
  <si>
    <t>Sub-Total:  Residential</t>
  </si>
  <si>
    <t>Commercial/Industrial Construction:</t>
  </si>
  <si>
    <t>Total Energy Efficiency</t>
  </si>
  <si>
    <t xml:space="preserve">  CORE</t>
  </si>
  <si>
    <t>** This program does result in any MWh savings</t>
  </si>
  <si>
    <t>C&amp;I Energy Efficient Construction Program Results</t>
  </si>
  <si>
    <t>Home Performance with Energy Star</t>
  </si>
  <si>
    <t>STAC SEER/EER Evaluation</t>
  </si>
  <si>
    <t>Pay for Performance</t>
  </si>
  <si>
    <t>Special Studies/Pilot Studies</t>
  </si>
  <si>
    <t>Energy Efficiency</t>
  </si>
  <si>
    <t>Renewable Energy</t>
  </si>
  <si>
    <t>Annual MWh</t>
  </si>
  <si>
    <t>Annual Dekatherms</t>
  </si>
  <si>
    <t>Cumulative Lifetime MWh</t>
  </si>
  <si>
    <t xml:space="preserve"> </t>
  </si>
  <si>
    <t>Annual Energy Savings</t>
  </si>
  <si>
    <t>Total Annual MWH Savings</t>
  </si>
  <si>
    <t>Cumulative Lifetime Dekatherms</t>
  </si>
  <si>
    <t>Lifetime Renewable Energy Generation</t>
  </si>
  <si>
    <t>CORE</t>
  </si>
  <si>
    <t>2005</t>
  </si>
  <si>
    <t>Renewable Energy Advanced Power Program/RE Grants &amp; Financing</t>
  </si>
  <si>
    <t>* BPU set overall RE budget but did not allocate to programs</t>
  </si>
  <si>
    <t>Infrastructure/REED/RE Business Venture Financing</t>
  </si>
  <si>
    <t>Committed Expenditures ($000)</t>
  </si>
  <si>
    <t>Renewable Energy Generation - Annual</t>
  </si>
  <si>
    <t>Renewable Energy Generation - Lifetime</t>
  </si>
  <si>
    <t>Cool Cities</t>
  </si>
  <si>
    <t>Administration</t>
  </si>
  <si>
    <t>OCE Admin &amp; Overhead</t>
  </si>
  <si>
    <t>Evaluation and related Research</t>
  </si>
  <si>
    <t>Outreach and Education</t>
  </si>
  <si>
    <t>BPU Grid Program</t>
  </si>
  <si>
    <t>Lifetime MWh</t>
  </si>
  <si>
    <t>Lifetime Dekatherms</t>
  </si>
  <si>
    <t>Annual Demand Reductions</t>
  </si>
  <si>
    <t>Appliance Cycling</t>
  </si>
  <si>
    <t>Demand</t>
  </si>
  <si>
    <t>Res New Construction</t>
  </si>
  <si>
    <t>All C&amp;I</t>
  </si>
  <si>
    <t># customers</t>
  </si>
  <si>
    <t>Public Entity Financing</t>
  </si>
  <si>
    <t xml:space="preserve">  Re Grants and Financing</t>
  </si>
  <si>
    <t>Renewable Energy Generation - Demand</t>
  </si>
  <si>
    <t xml:space="preserve">  C&amp;I New Construction</t>
  </si>
  <si>
    <t xml:space="preserve">  C&amp;I Retrofit</t>
  </si>
  <si>
    <t xml:space="preserve">  Schools</t>
  </si>
  <si>
    <t xml:space="preserve">  CHP</t>
  </si>
  <si>
    <t>NJDEP Cool Cities</t>
  </si>
  <si>
    <t>Committed Re Generation - Annual</t>
  </si>
  <si>
    <t>Committed RE Demand - Annual</t>
  </si>
  <si>
    <t>Committed RE Generation - Lifetime</t>
  </si>
  <si>
    <t xml:space="preserve">Sub-Total C&amp;I </t>
  </si>
  <si>
    <t>CO2</t>
  </si>
  <si>
    <t>NOX</t>
  </si>
  <si>
    <t>SO2</t>
  </si>
  <si>
    <t>HG (LBS)</t>
  </si>
  <si>
    <t>Total Annual</t>
  </si>
  <si>
    <t>RE Business Venture Financing Program Results</t>
  </si>
  <si>
    <t>Actual Participants</t>
  </si>
  <si>
    <t>RE Projects Grants and Financing Program Results</t>
  </si>
  <si>
    <t>2006</t>
  </si>
  <si>
    <t>DCA Weatherization</t>
  </si>
  <si>
    <t>WRAP</t>
  </si>
  <si>
    <t>Energy Savings - Annual</t>
  </si>
  <si>
    <t>Energy Savings - Lifetime</t>
  </si>
  <si>
    <t>Demand Reductions</t>
  </si>
  <si>
    <t>DCA Green Homes</t>
  </si>
  <si>
    <t>Energy Conservation Kits</t>
  </si>
  <si>
    <t>Clean Energy Financing for Business</t>
  </si>
  <si>
    <t>Other Programs</t>
  </si>
  <si>
    <t>RE</t>
  </si>
  <si>
    <t>Manufacturing Incentive</t>
  </si>
  <si>
    <t>Combined Heat and Power</t>
  </si>
  <si>
    <t xml:space="preserve">Budget </t>
  </si>
  <si>
    <t>OCE Oversight</t>
  </si>
  <si>
    <t>2005 corrected from 4Q05 report</t>
  </si>
  <si>
    <t xml:space="preserve">  CPC</t>
  </si>
  <si>
    <t>Cumulative Demand Reductions</t>
  </si>
  <si>
    <t>Annual*</t>
  </si>
  <si>
    <t>Lifetime*</t>
  </si>
  <si>
    <t>MWh **</t>
  </si>
  <si>
    <t>** corrected value provided subsequent to issuance of 4Q report.</t>
  </si>
  <si>
    <t>2007</t>
  </si>
  <si>
    <t>Home Performance w Energy Star</t>
  </si>
  <si>
    <t>Note:  prior to 2007 HPwES was incorporated as part of ES Products Program</t>
  </si>
  <si>
    <t>Res MM Transition</t>
  </si>
  <si>
    <t>C&amp;I MM Transition</t>
  </si>
  <si>
    <t>Utility Transition</t>
  </si>
  <si>
    <t>RE MM Transition</t>
  </si>
  <si>
    <t xml:space="preserve">  REC/SREC</t>
  </si>
  <si>
    <t xml:space="preserve">  Lighting and Other </t>
  </si>
  <si>
    <t>CHP Generation</t>
  </si>
  <si>
    <t>CHP Participants</t>
  </si>
  <si>
    <t>Renewable Energy Participants</t>
  </si>
  <si>
    <t>Energy Efficiency Participants</t>
  </si>
  <si>
    <t xml:space="preserve">CHP </t>
  </si>
  <si>
    <t>Lighting and Other</t>
  </si>
  <si>
    <t>Total RE</t>
  </si>
  <si>
    <t xml:space="preserve">Total </t>
  </si>
  <si>
    <t xml:space="preserve">     Clothes Washers</t>
  </si>
  <si>
    <t>Emission Reductions</t>
  </si>
  <si>
    <t>Dtherms</t>
  </si>
  <si>
    <t>Annual Generation</t>
  </si>
  <si>
    <t>Annual CO2 Reductions</t>
  </si>
  <si>
    <t>metric tons</t>
  </si>
  <si>
    <t>2008</t>
  </si>
  <si>
    <t xml:space="preserve">  Dehumidifier</t>
  </si>
  <si>
    <t xml:space="preserve">  Clothes Washer</t>
  </si>
  <si>
    <t>Direct Install</t>
  </si>
  <si>
    <t>TEACH</t>
  </si>
  <si>
    <t>Clean Energy Tech Fund</t>
  </si>
  <si>
    <t>REDI</t>
  </si>
  <si>
    <t>Offshore wind solicitation</t>
  </si>
  <si>
    <t>Clean Energy Manufacturing Fund</t>
  </si>
  <si>
    <t xml:space="preserve">     Dehumidifier</t>
  </si>
  <si>
    <t>EE (Electric)</t>
  </si>
  <si>
    <t>EE (Gas)</t>
  </si>
  <si>
    <t xml:space="preserve">  Energy Efficiency &amp; RE</t>
  </si>
  <si>
    <t>REC/SREC Program Results</t>
  </si>
  <si>
    <t>Electric Generation</t>
  </si>
  <si>
    <t>2009</t>
  </si>
  <si>
    <t xml:space="preserve">  Refrigerator Turn in</t>
  </si>
  <si>
    <t>REIP Program Results</t>
  </si>
  <si>
    <t xml:space="preserve">     Refrigerator Turn-In</t>
  </si>
  <si>
    <t xml:space="preserve">  REIP</t>
  </si>
  <si>
    <t xml:space="preserve">  Edison Innovation CEF (CST)</t>
  </si>
  <si>
    <t>REIP</t>
  </si>
  <si>
    <t>Edison Innovation CEF (CST)</t>
  </si>
  <si>
    <t>Sub-Total C&amp;I:</t>
  </si>
  <si>
    <t>HG</t>
  </si>
  <si>
    <t>Total to the $</t>
  </si>
  <si>
    <t xml:space="preserve">Program Budget </t>
  </si>
  <si>
    <t xml:space="preserve">Expenditures </t>
  </si>
  <si>
    <t>Other Budgets and Expenditures</t>
  </si>
  <si>
    <t>Residential Marketing</t>
  </si>
  <si>
    <t>C&amp;I Marketing</t>
  </si>
  <si>
    <t>Clean Energy Conference</t>
  </si>
  <si>
    <t>RE Marketing</t>
  </si>
  <si>
    <t>Tier 1</t>
  </si>
  <si>
    <t>LGEA</t>
  </si>
  <si>
    <t>Sub-Total:  C&amp;I</t>
  </si>
  <si>
    <t>C&amp;I Retro and New Construction</t>
  </si>
  <si>
    <t>Edison Innovation CEF Program Results</t>
  </si>
  <si>
    <t>Annual CO2 Emissions Reductions</t>
  </si>
  <si>
    <t>Renewable (Gas &amp; Electric)</t>
  </si>
  <si>
    <t>Annual NOX Emissions Reductions</t>
  </si>
  <si>
    <t>Annual S02 Emissions Reductions</t>
  </si>
  <si>
    <t>Annual Hg Emissions Reductions (lbs)</t>
  </si>
  <si>
    <t>Lifetime CO2 Emissions Reductions</t>
  </si>
  <si>
    <t>Lifetime NOX Emissions Reductions</t>
  </si>
  <si>
    <t>Lifetime SO2 Emissions Reductions</t>
  </si>
  <si>
    <t>Lifetime Hg Emissions Reductions (lbs)</t>
  </si>
  <si>
    <t>No energy savings were reported for the programs on this sheet for.</t>
  </si>
  <si>
    <t>Total = Cumulative Lifetime Emission Reductions</t>
  </si>
  <si>
    <t>2010</t>
  </si>
  <si>
    <t>Actual Expenses</t>
  </si>
  <si>
    <t>Committed Expenses</t>
  </si>
  <si>
    <t>Approved ERPs</t>
  </si>
  <si>
    <t>Completed Projects</t>
  </si>
  <si>
    <t>Pay-for Performance New Construction Program</t>
  </si>
  <si>
    <t>Direct Install Program</t>
  </si>
  <si>
    <t>Pay-for-Performance</t>
  </si>
  <si>
    <t>Pay-for-Performance New Construction</t>
  </si>
  <si>
    <t>Pay for Performance NC</t>
  </si>
  <si>
    <t>Starting in 2009 REC program expenses are included in REIP program budget</t>
  </si>
  <si>
    <t>2003*</t>
  </si>
  <si>
    <t>Edison Innovation CEMF (EDA)</t>
  </si>
  <si>
    <t>*Included in EE emissions reductions</t>
  </si>
  <si>
    <t>Expenses</t>
  </si>
  <si>
    <t xml:space="preserve">  </t>
  </si>
  <si>
    <t>Participants by Program</t>
  </si>
  <si>
    <t xml:space="preserve">  Consumer Electronics</t>
  </si>
  <si>
    <t>Actual Energy Generation</t>
  </si>
  <si>
    <t>Committed Energy Generation</t>
  </si>
  <si>
    <t>RE Grid Connected (REDI) Program Results</t>
  </si>
  <si>
    <t>RE Grid Connected (REDI)</t>
  </si>
  <si>
    <t xml:space="preserve">  RE Grid Connected (REDI)</t>
  </si>
  <si>
    <t xml:space="preserve">     Consumer Electronics</t>
  </si>
  <si>
    <t>Expenditures</t>
  </si>
  <si>
    <t>Program Budget</t>
  </si>
  <si>
    <t xml:space="preserve">Program Expenditures </t>
  </si>
  <si>
    <t xml:space="preserve">Actual Expenditures </t>
  </si>
  <si>
    <t>2011</t>
  </si>
  <si>
    <t xml:space="preserve">EE Budgets </t>
  </si>
  <si>
    <t xml:space="preserve">RE Budgets </t>
  </si>
  <si>
    <t xml:space="preserve">EE Actual Expenditures </t>
  </si>
  <si>
    <t xml:space="preserve">RE Actual Expenditures </t>
  </si>
  <si>
    <t xml:space="preserve"> Res = Res + LI</t>
  </si>
  <si>
    <t>C&amp;I = C&amp;I + Other EE</t>
  </si>
  <si>
    <t>Multi-family financing pilot</t>
  </si>
  <si>
    <t>Green jobs and building code training</t>
  </si>
  <si>
    <t>Sustainable Jersey</t>
  </si>
  <si>
    <t>Competitive grant loan solicitation</t>
  </si>
  <si>
    <t>admin includes memberships</t>
  </si>
  <si>
    <t>Tier 2</t>
  </si>
  <si>
    <t>EDA</t>
  </si>
  <si>
    <t>True Grant</t>
  </si>
  <si>
    <t>Total Expenses + Commitments</t>
  </si>
  <si>
    <t xml:space="preserve">  Refrigerator</t>
  </si>
  <si>
    <t xml:space="preserve">  Dishwasher</t>
  </si>
  <si>
    <t xml:space="preserve">     Dishwasher</t>
  </si>
  <si>
    <t xml:space="preserve">     Refrigerator </t>
  </si>
  <si>
    <t>Audits Reviewed and Processed</t>
  </si>
  <si>
    <t>Local Government Energy Audit Program (LGEA)</t>
  </si>
  <si>
    <t>Budgets</t>
  </si>
  <si>
    <t>Commitments</t>
  </si>
  <si>
    <t>Year End Commitments</t>
  </si>
  <si>
    <t>Note:  Prior to 2009 budgets and expenditures were reported to the $000.  The total line rounds up to the $000 so these amounts can be added to more recent amounts which are now reported to the $.</t>
  </si>
  <si>
    <t>Res. Energy Efficiency</t>
  </si>
  <si>
    <t>C&amp;I Energy Efficiency</t>
  </si>
  <si>
    <t>Refrigerator Turn In</t>
  </si>
  <si>
    <t>Community Based Efficiency Initiative</t>
  </si>
  <si>
    <t>DEP Ecological Baseline Study</t>
  </si>
  <si>
    <t>Large Energy User Pilot (LEUP)</t>
  </si>
  <si>
    <t>Summary 
2001 to 2005*</t>
  </si>
  <si>
    <t>Summary 
2004 to 2005*</t>
  </si>
  <si>
    <t>* These columns/years have been hidden in this worksheet for viewing &amp; printing purposes</t>
  </si>
  <si>
    <t>2006 Demand Correction = 13,285</t>
  </si>
  <si>
    <t>2006 Demand Reported  =  36,575</t>
  </si>
  <si>
    <t>2005 Corrected = 120,818</t>
  </si>
  <si>
    <t>2005 Reported =  260,238</t>
  </si>
  <si>
    <t>Commercial/Industrial Construction</t>
  </si>
  <si>
    <t>2007**</t>
  </si>
  <si>
    <t>**2007 MWh, KW and Dtherms updated to include revised PSEG reported savings.</t>
  </si>
  <si>
    <t>2011, 2012 participants = completions</t>
  </si>
  <si>
    <t>Edison Innovation EIGGF (EDA)</t>
  </si>
  <si>
    <t>Edison Innovation EERLF (EDA)</t>
  </si>
  <si>
    <t>Green Growth Fund</t>
  </si>
  <si>
    <t>EDA - Edison Innovation Program Results</t>
  </si>
  <si>
    <r>
      <t xml:space="preserve">Sub-Total C&amp;I </t>
    </r>
    <r>
      <rPr>
        <b/>
        <sz val="10"/>
        <rFont val="Arial"/>
        <family val="2"/>
      </rPr>
      <t>Construction:</t>
    </r>
  </si>
  <si>
    <t>Program Terminated in 2010</t>
  </si>
  <si>
    <t>*The annual generation data listed above has been updated in response to a data quality verification performed in 2010. The old data reported by the NJBPU is listed in the table at the bottom of this page.</t>
  </si>
  <si>
    <t>*The lifetime generation data listed above has been updated in response to a data quality verification performed in 2010. The old data reported by the NJBPU is listed in the table at the bottom of this page.</t>
  </si>
  <si>
    <t>*The demand data listed above has been updated in response to a data quality verification performed in 2010. The old data reported by the NJBPU is listed in the table at the bottom of this page.</t>
  </si>
  <si>
    <t>Note:  Prior to 2009 budgets and expenditures were reported to the $000.
The total line rounds up to the $000 so these amounts can be added to more recent amounts which are now reported to the $.</t>
  </si>
  <si>
    <t>Note:  Prior to 2009 budgets and expenditures were reported to the $000.  
The total line rounds up to the $000 so these amounts can be added to more recent amounts which are now reported to the $.</t>
  </si>
  <si>
    <t>Note: Prior to 2009 budgets and expenditures were reported to the $000.  
The total line rounds up to the $000 so these amounts can be added to more recent amounts which are now reported to the $.</t>
  </si>
  <si>
    <t>Tier 3</t>
  </si>
  <si>
    <r>
      <t>Sub-Total C&amp;I</t>
    </r>
    <r>
      <rPr>
        <b/>
        <sz val="10"/>
        <rFont val="Arial"/>
        <family val="2"/>
      </rPr>
      <t xml:space="preserve"> Construction:</t>
    </r>
  </si>
  <si>
    <t>Energy Efficiency - Electric</t>
  </si>
  <si>
    <t>Energy Efficiency - Gas</t>
  </si>
  <si>
    <t>Schools</t>
  </si>
  <si>
    <t>CHP Electric Demand Reductions</t>
  </si>
  <si>
    <t>RE Grants and Financing</t>
  </si>
  <si>
    <t>RE Certificates/SREC</t>
  </si>
  <si>
    <t>Re Grants and Financing</t>
  </si>
  <si>
    <t>RE Business Venture Financing</t>
  </si>
  <si>
    <t>REC/SREC (subscribed)</t>
  </si>
  <si>
    <t>Edison Innovation CEMF</t>
  </si>
  <si>
    <t>Edison Innovation CEF</t>
  </si>
  <si>
    <t>CPC</t>
  </si>
  <si>
    <t>Room Air Conditioning</t>
  </si>
  <si>
    <t>Clothes Washer</t>
  </si>
  <si>
    <t>Dehumidifier</t>
  </si>
  <si>
    <t>Refrigerator Turn-In</t>
  </si>
  <si>
    <t>Consumer Electronics</t>
  </si>
  <si>
    <t>Refrigerator</t>
  </si>
  <si>
    <t>Dishwasher</t>
  </si>
  <si>
    <t>REC/SREC</t>
  </si>
  <si>
    <t>CORE (Fuel Cells)</t>
  </si>
  <si>
    <t>Pay for Performance Program</t>
  </si>
  <si>
    <t>Clean Power Choice</t>
  </si>
  <si>
    <t xml:space="preserve">Emission Reductions </t>
  </si>
  <si>
    <t>Participants - Enrollments</t>
  </si>
  <si>
    <t>Participants - Completions</t>
  </si>
  <si>
    <t>Pay-for-Performance CHP</t>
  </si>
  <si>
    <t>Large Energy Users Pilot</t>
  </si>
  <si>
    <t>Generation</t>
  </si>
  <si>
    <t>Annual</t>
  </si>
  <si>
    <t>Lifetime</t>
  </si>
  <si>
    <t>Audits Rebated</t>
  </si>
  <si>
    <t>(18 month)
2012-2013</t>
  </si>
  <si>
    <t>Combined Heat &amp; Power (CHP)</t>
  </si>
  <si>
    <r>
      <t>(18 month)</t>
    </r>
    <r>
      <rPr>
        <b/>
        <vertAlign val="superscript"/>
        <sz val="10"/>
        <rFont val="Arial"/>
        <family val="2"/>
      </rPr>
      <t>1</t>
    </r>
    <r>
      <rPr>
        <b/>
        <sz val="10"/>
        <rFont val="Arial"/>
        <family val="2"/>
      </rPr>
      <t xml:space="preserve">
2012-2013</t>
    </r>
  </si>
  <si>
    <r>
      <rPr>
        <b/>
        <sz val="8"/>
        <rFont val="Arial"/>
        <family val="2"/>
      </rPr>
      <t>(18 month)</t>
    </r>
    <r>
      <rPr>
        <b/>
        <vertAlign val="superscript"/>
        <sz val="8"/>
        <rFont val="Arial"/>
        <family val="2"/>
      </rPr>
      <t>1</t>
    </r>
    <r>
      <rPr>
        <b/>
        <sz val="10"/>
        <rFont val="Arial"/>
        <family val="2"/>
      </rPr>
      <t xml:space="preserve">
2012-2013</t>
    </r>
  </si>
  <si>
    <r>
      <rPr>
        <vertAlign val="superscript"/>
        <sz val="8"/>
        <rFont val="Arial"/>
        <family val="2"/>
      </rPr>
      <t xml:space="preserve">1 </t>
    </r>
    <r>
      <rPr>
        <sz val="8"/>
        <rFont val="Arial"/>
        <family val="2"/>
      </rPr>
      <t xml:space="preserve">New Jersey Clean Energy Program converted from a Calendar Year to Fiscal year starting July 1, 2013 with Fiscal Year 2014.  2012 calendar year includes the first six months of 2013 making it an 18 month program year. </t>
    </r>
  </si>
  <si>
    <t>FY2014</t>
  </si>
  <si>
    <t>All CHP/Fuel Cell Programs</t>
  </si>
  <si>
    <t>grams</t>
  </si>
  <si>
    <t>Input</t>
  </si>
  <si>
    <t>CHP-Fuel Cells Large/Small</t>
  </si>
  <si>
    <t>EE Revolving Loan Fund (Program Retired)</t>
  </si>
  <si>
    <t>CHP-Fuel Cell Large and Small</t>
  </si>
  <si>
    <t xml:space="preserve">  CHP-Fuel Cell Large and Small</t>
  </si>
  <si>
    <t>CHP-Fuel Cell Lrg/Small</t>
  </si>
  <si>
    <t>Large CHP Solicitation</t>
  </si>
  <si>
    <t>Clean Energy Business Website</t>
  </si>
  <si>
    <t>Program Transition</t>
  </si>
  <si>
    <t>P4P</t>
  </si>
  <si>
    <t>Annual P4P CHP</t>
  </si>
  <si>
    <t>Lifetime P4P CHP</t>
  </si>
  <si>
    <t>P4P CHP</t>
  </si>
  <si>
    <t>Applications Completed</t>
  </si>
  <si>
    <t>Lifetime Generation</t>
  </si>
  <si>
    <t xml:space="preserve">Annual Demand </t>
  </si>
  <si>
    <t>Actual &amp; Committed Expenditures</t>
  </si>
  <si>
    <t>Summary</t>
  </si>
  <si>
    <t>Expenditures + Commitments</t>
  </si>
  <si>
    <t>CHP-Fuel Cell Lrg and Small</t>
  </si>
  <si>
    <t xml:space="preserve">1 New Jersey Clean Energy Program converted from a Calendar Year to Fiscal year starting July 1, 2013 with Fiscal Year 2014.  2012 calendar year includes the first six months of 2013 making it an 18 month program year. </t>
  </si>
  <si>
    <t>Tons to Grams</t>
  </si>
  <si>
    <t>Commissioning Report</t>
  </si>
  <si>
    <t>Pay-for Performance - Installations Completed (Non-CHP)</t>
  </si>
  <si>
    <t>M&amp;V Completed</t>
  </si>
  <si>
    <t xml:space="preserve">        Refrigerator</t>
  </si>
  <si>
    <t>Electric Savings</t>
  </si>
  <si>
    <t>Electric Energy Savings</t>
  </si>
  <si>
    <t>MWh (a)</t>
  </si>
  <si>
    <t>RE Generation (b)</t>
  </si>
  <si>
    <t>EE Sav (a) + RE Gen (b)</t>
  </si>
  <si>
    <t>Metric Tons</t>
  </si>
  <si>
    <t>Program Breakdown</t>
  </si>
  <si>
    <t>Program Summary</t>
  </si>
  <si>
    <t>Installed</t>
  </si>
  <si>
    <t>Demand Reduction</t>
  </si>
  <si>
    <t>Total EE Annual MWH Savings</t>
  </si>
  <si>
    <t>Total EE Annual Dtherm Savings</t>
  </si>
  <si>
    <t>Total EE Annual KW Reduction</t>
  </si>
  <si>
    <t xml:space="preserve">New Jersey's Clean Energy Program </t>
  </si>
  <si>
    <t>Total EE Lifetime Dtherm Savings</t>
  </si>
  <si>
    <t>Lifetime Energy Savings and Renewable Energy Generation by Program</t>
  </si>
  <si>
    <t>Total EE Lifetime MWh Savings</t>
  </si>
  <si>
    <t>kW</t>
  </si>
  <si>
    <t>Total Lifetime Dtherm Savings</t>
  </si>
  <si>
    <t>Total EE+CHP+RE</t>
  </si>
  <si>
    <t>Total Expenditures All Programs</t>
  </si>
  <si>
    <t>C&amp;I  Energy Efficiency</t>
  </si>
  <si>
    <t>Note: Fluctuations in participant participation; cumulative total not calculated</t>
  </si>
  <si>
    <t xml:space="preserve">Annual </t>
  </si>
  <si>
    <t>Total EE Demand Reduction</t>
  </si>
  <si>
    <r>
      <t>Residential Energy Star</t>
    </r>
    <r>
      <rPr>
        <b/>
        <sz val="8"/>
        <rFont val="Calibri"/>
        <family val="2"/>
      </rPr>
      <t>©</t>
    </r>
    <r>
      <rPr>
        <b/>
        <sz val="10"/>
        <rFont val="Arial"/>
        <family val="2"/>
      </rPr>
      <t xml:space="preserve"> Products Program Results</t>
    </r>
  </si>
  <si>
    <r>
      <t>Home Performance with Energy Star</t>
    </r>
    <r>
      <rPr>
        <b/>
        <sz val="8"/>
        <rFont val="Calibri"/>
        <family val="2"/>
      </rPr>
      <t>©</t>
    </r>
    <r>
      <rPr>
        <b/>
        <sz val="10"/>
        <rFont val="Arial"/>
        <family val="2"/>
      </rPr>
      <t xml:space="preserve"> Program Results</t>
    </r>
  </si>
  <si>
    <t>Annual Electric</t>
  </si>
  <si>
    <t>Lifetime Electric</t>
  </si>
  <si>
    <t>Annual Gas</t>
  </si>
  <si>
    <t>Lifetime Gas</t>
  </si>
  <si>
    <t>HPwES</t>
  </si>
  <si>
    <t>Annual Demand Reduction</t>
  </si>
  <si>
    <t>Participants - Committed</t>
  </si>
  <si>
    <t>Participants - Installed</t>
  </si>
  <si>
    <t>LEUP</t>
  </si>
  <si>
    <t>Participants Committed</t>
  </si>
  <si>
    <t>P4P NC</t>
  </si>
  <si>
    <t>Actual + Committed Total</t>
  </si>
  <si>
    <t>Actual Expenditures to the $</t>
  </si>
  <si>
    <t>Enrollments</t>
  </si>
  <si>
    <t>Completed</t>
  </si>
  <si>
    <t>Core</t>
  </si>
  <si>
    <t>REC / SREC</t>
  </si>
  <si>
    <t>Annual Reductions</t>
  </si>
  <si>
    <t>Annual Reduction</t>
  </si>
  <si>
    <t>% of Budget</t>
  </si>
  <si>
    <t>Sub-Total RE Electric Capacity</t>
  </si>
  <si>
    <t>Annual Energy Savings and Renewable Energy / CHP Generation by Program</t>
  </si>
  <si>
    <t>Demand Reduction Savings</t>
  </si>
  <si>
    <t>Capacity CHP Generation</t>
  </si>
  <si>
    <t>Capacity Renewable Energy Generation</t>
  </si>
  <si>
    <t>Total EE Reduction + CHP Generation</t>
  </si>
  <si>
    <t>Capacity: kW</t>
  </si>
  <si>
    <t>Demand Reduction (Savings)</t>
  </si>
  <si>
    <t>Electric Capacity (Generation)</t>
  </si>
  <si>
    <t>CHP Capacity (Generation)</t>
  </si>
  <si>
    <t>Renewable Energy Capacity (Generation)</t>
  </si>
  <si>
    <t>Annual Capacity</t>
  </si>
  <si>
    <t>Capacity</t>
  </si>
  <si>
    <t>FY2015</t>
  </si>
  <si>
    <t>* Annual and lifetime emission reductions are for measures installed in FY2015</t>
  </si>
  <si>
    <t>Emission Reductions - FY 2015</t>
  </si>
  <si>
    <t>Annual Emission Reductions (Metric Tons) from Measures Installed in FY 2015</t>
  </si>
  <si>
    <t>Lifetime Emission Reductions (Metric Tons) from Measures Installed in FY 2015</t>
  </si>
  <si>
    <t>Cumulative Lifetime Emission Reductions (Metric Tons) 2001 - FY 2015</t>
  </si>
  <si>
    <t>Total Lifetime</t>
  </si>
  <si>
    <t>Grams to Metric Tons</t>
  </si>
  <si>
    <t>=0.000001*G6</t>
  </si>
  <si>
    <t>=F6/0.000001</t>
  </si>
  <si>
    <t>FY15 HG is now reported in grams and is converted to lbs</t>
  </si>
  <si>
    <t>Approved ERP = Approved or Proposed ERP</t>
  </si>
  <si>
    <t>Completed Projects = As-Built ERP</t>
  </si>
  <si>
    <t>Committed = Approved FEEP's</t>
  </si>
  <si>
    <t>Clothes Dryers</t>
  </si>
  <si>
    <t>Clothes Washers</t>
  </si>
  <si>
    <t xml:space="preserve">  Clothes Dryers</t>
  </si>
  <si>
    <t>Applications Accepted</t>
  </si>
  <si>
    <t>Sponsorships</t>
  </si>
  <si>
    <t>NJBPU OFM-Reported Expenses*</t>
  </si>
  <si>
    <t>Demand Reduction Savings: kW</t>
  </si>
  <si>
    <t>Summary 
2006 to 2010*</t>
  </si>
  <si>
    <r>
      <t>NJBPU OFM-Reported Expenses</t>
    </r>
    <r>
      <rPr>
        <vertAlign val="superscript"/>
        <sz val="10"/>
        <rFont val="Arial"/>
        <family val="2"/>
      </rPr>
      <t>1</t>
    </r>
  </si>
  <si>
    <t>Summary 
2006 to 2010</t>
  </si>
  <si>
    <t>Note1:  Prior to 2009 budgets and expenditures were reported to the $000. | Note2:  prior to 2007 HPwES was incorporated as part of ES Products Program
The total line rounds up to the $000 so these amounts can be added to more recent amounts which are now reported to the $.</t>
  </si>
  <si>
    <r>
      <rPr>
        <i/>
        <vertAlign val="superscript"/>
        <sz val="10"/>
        <color indexed="8"/>
        <rFont val="Arial"/>
        <family val="2"/>
      </rPr>
      <t xml:space="preserve">FY2015 1 </t>
    </r>
    <r>
      <rPr>
        <i/>
        <sz val="10"/>
        <color indexed="8"/>
        <rFont val="Arial"/>
        <family val="2"/>
      </rPr>
      <t>An expense adjustment of $28,420.22 was made to reconcile IMS data with expenses reported in NJCFS and the NJ Comprehensive Annual Financial Report.  Differences between IMS and NJCFS arise due to systematic cutoff dates for NJCFS closing, including:  1) invoices pending in IMS or anticipated as of CFS closing (and thus accrued in the ending FY) and later adjusted and paid for a different amount;  2) charges applicable to the ending FY but charged to the next FY in CFS due to systematic cut-off dates; and  3) expense or reimbursement misallocations, discovered after CFS closes, that are changed in IMS but cannot be changed in CFS until the following FY.
* These columns/years have been hidden in this worksheet for viewing &amp; printing purposes</t>
    </r>
  </si>
  <si>
    <t>Edison Innovation EIGGF</t>
  </si>
  <si>
    <t>Clothes Dryer</t>
  </si>
  <si>
    <t>CHP/CHP-Fuel Cells Large/Small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</si>
</sst>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0"/>
    <numFmt numFmtId="168" formatCode="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0.000000000000000000000000000000"/>
    <numFmt numFmtId="175" formatCode="0.00_);[Red]\(0.00\)"/>
    <numFmt numFmtId="176" formatCode="0_);[Red]\(0\)"/>
    <numFmt numFmtId="177" formatCode="&quot;$&quot;#,##0.##_ &quot;KWh&quot;;[Red]\(&quot;$&quot;#,##0.##\ &quot;KWh&quot;\)"/>
    <numFmt numFmtId="178" formatCode="#,##0_ &quot;KWh&quot;;[Red]\(#,##0\ &quot;KWh&quot;\)"/>
    <numFmt numFmtId="179" formatCode="&quot;$&quot;#,##0.#0_ &quot;KWh&quot;;[Red]\(&quot;$&quot;#,##0.##\ &quot;KWh&quot;\)"/>
    <numFmt numFmtId="180" formatCode="&quot;$&quot;#,##0.00_ &quot;KWh&quot;;[Red]\(&quot;$&quot;#,##0.00\ &quot;KWh&quot;\)"/>
    <numFmt numFmtId="181" formatCode="&quot;$&quot;#,##0.000_ &quot;KWh&quot;;[Red]\(&quot;$&quot;#,##0.000\ &quot;KWh&quot;\)"/>
    <numFmt numFmtId="182" formatCode="0.0000000"/>
    <numFmt numFmtId="183" formatCode="[$-409]dddd\,\ mmmm\ dd\,\ yyyy"/>
    <numFmt numFmtId="184" formatCode="[$-409]h:mm:ss\ AM/PM"/>
  </numFmts>
  <fonts count="6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i/>
      <sz val="10"/>
      <name val="Arial"/>
      <family val="2"/>
    </font>
    <font>
      <i/>
      <sz val="10"/>
      <name val="Arial"/>
      <family val="2"/>
    </font>
    <font>
      <b/>
      <sz val="12"/>
      <name val="Arial"/>
      <family val="2"/>
    </font>
    <font>
      <sz val="12"/>
      <name val="Arial"/>
      <family val="2"/>
    </font>
    <font>
      <b/>
      <sz val="11"/>
      <name val="Arial"/>
      <family val="2"/>
    </font>
    <font>
      <sz val="11"/>
      <name val="Arial"/>
      <family val="2"/>
    </font>
    <font>
      <b/>
      <sz val="14"/>
      <name val="Arial"/>
      <family val="2"/>
    </font>
    <font>
      <sz val="14"/>
      <name val="Arial"/>
      <family val="2"/>
    </font>
    <font>
      <b/>
      <u val="single"/>
      <sz val="10"/>
      <name val="Arial"/>
      <family val="2"/>
    </font>
    <font>
      <b/>
      <sz val="9"/>
      <name val="Arial"/>
      <family val="2"/>
    </font>
    <font>
      <b/>
      <sz val="8"/>
      <name val="Arial"/>
      <family val="2"/>
    </font>
    <font>
      <b/>
      <vertAlign val="superscript"/>
      <sz val="8"/>
      <name val="Arial"/>
      <family val="2"/>
    </font>
    <font>
      <b/>
      <vertAlign val="superscript"/>
      <sz val="10"/>
      <name val="Arial"/>
      <family val="2"/>
    </font>
    <font>
      <vertAlign val="superscript"/>
      <sz val="8"/>
      <name val="Arial"/>
      <family val="2"/>
    </font>
    <font>
      <b/>
      <u val="single"/>
      <sz val="11"/>
      <name val="Arial"/>
      <family val="2"/>
    </font>
    <font>
      <b/>
      <u val="single"/>
      <sz val="12"/>
      <name val="Arial"/>
      <family val="2"/>
    </font>
    <font>
      <b/>
      <sz val="8"/>
      <name val="Calibri"/>
      <family val="2"/>
    </font>
    <font>
      <b/>
      <i/>
      <sz val="9"/>
      <name val="Arial"/>
      <family val="2"/>
    </font>
    <font>
      <i/>
      <sz val="10"/>
      <color indexed="8"/>
      <name val="Arial"/>
      <family val="2"/>
    </font>
    <font>
      <vertAlign val="superscript"/>
      <sz val="10"/>
      <name val="Arial"/>
      <family val="2"/>
    </font>
    <font>
      <i/>
      <vertAlign val="superscript"/>
      <sz val="10"/>
      <color indexed="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7"/>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47" fillId="0" borderId="0">
      <alignment/>
      <protection/>
    </xf>
    <xf numFmtId="0" fontId="0" fillId="0" borderId="0">
      <alignment vertical="top"/>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7">
    <xf numFmtId="0" fontId="0" fillId="0" borderId="0" xfId="0" applyAlignment="1">
      <alignment/>
    </xf>
    <xf numFmtId="0" fontId="4" fillId="0" borderId="0" xfId="0" applyFont="1" applyAlignment="1">
      <alignmen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0" fontId="4" fillId="0" borderId="0" xfId="0" applyFont="1" applyAlignment="1">
      <alignment horizontal="left"/>
    </xf>
    <xf numFmtId="3" fontId="0" fillId="0" borderId="0" xfId="0" applyNumberFormat="1" applyAlignment="1">
      <alignment horizontal="center"/>
    </xf>
    <xf numFmtId="0" fontId="0" fillId="0" borderId="0" xfId="0" applyFont="1" applyAlignment="1">
      <alignment horizontal="left"/>
    </xf>
    <xf numFmtId="1" fontId="0" fillId="0" borderId="0" xfId="0" applyNumberFormat="1" applyAlignment="1">
      <alignment horizontal="center"/>
    </xf>
    <xf numFmtId="165" fontId="0" fillId="0" borderId="0" xfId="0" applyNumberFormat="1" applyAlignment="1">
      <alignment horizontal="center"/>
    </xf>
    <xf numFmtId="4"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xf>
    <xf numFmtId="3" fontId="0" fillId="0" borderId="10" xfId="0" applyNumberFormat="1" applyBorder="1" applyAlignment="1">
      <alignment horizontal="center"/>
    </xf>
    <xf numFmtId="0" fontId="4" fillId="0" borderId="10" xfId="0" applyFont="1" applyBorder="1" applyAlignment="1">
      <alignment/>
    </xf>
    <xf numFmtId="0" fontId="0" fillId="0" borderId="10" xfId="0" applyBorder="1" applyAlignment="1">
      <alignment horizontal="left"/>
    </xf>
    <xf numFmtId="0" fontId="4" fillId="0" borderId="10" xfId="0" applyFont="1" applyBorder="1" applyAlignment="1">
      <alignment horizontal="left"/>
    </xf>
    <xf numFmtId="3" fontId="0" fillId="0" borderId="10" xfId="0" applyNumberFormat="1" applyBorder="1" applyAlignment="1">
      <alignment/>
    </xf>
    <xf numFmtId="0" fontId="0" fillId="0" borderId="10" xfId="0" applyFont="1" applyBorder="1" applyAlignment="1">
      <alignment/>
    </xf>
    <xf numFmtId="0" fontId="0" fillId="0" borderId="10" xfId="0" applyFont="1" applyBorder="1" applyAlignment="1">
      <alignment horizontal="left"/>
    </xf>
    <xf numFmtId="0" fontId="0" fillId="0" borderId="10" xfId="0" applyBorder="1" applyAlignment="1">
      <alignment horizontal="center"/>
    </xf>
    <xf numFmtId="0" fontId="0" fillId="0" borderId="0" xfId="0" applyBorder="1" applyAlignment="1">
      <alignment horizontal="left"/>
    </xf>
    <xf numFmtId="0" fontId="0" fillId="0" borderId="10" xfId="0" applyBorder="1" applyAlignment="1">
      <alignment/>
    </xf>
    <xf numFmtId="3" fontId="0" fillId="0" borderId="0" xfId="0" applyNumberFormat="1" applyAlignment="1">
      <alignment/>
    </xf>
    <xf numFmtId="0" fontId="0" fillId="0" borderId="0" xfId="0" applyBorder="1" applyAlignment="1">
      <alignment/>
    </xf>
    <xf numFmtId="0" fontId="4" fillId="0" borderId="0" xfId="0" applyFont="1" applyAlignment="1">
      <alignment horizontal="center"/>
    </xf>
    <xf numFmtId="0" fontId="0" fillId="0" borderId="0" xfId="0" applyFont="1" applyAlignment="1">
      <alignment horizontal="center"/>
    </xf>
    <xf numFmtId="3" fontId="0" fillId="0" borderId="10" xfId="0" applyNumberFormat="1" applyBorder="1" applyAlignment="1">
      <alignment horizontal="right"/>
    </xf>
    <xf numFmtId="0" fontId="4" fillId="0" borderId="0" xfId="0" applyFont="1" applyBorder="1" applyAlignment="1">
      <alignment horizontal="center"/>
    </xf>
    <xf numFmtId="0" fontId="5" fillId="0" borderId="10" xfId="59" applyFont="1" applyFill="1" applyBorder="1" applyAlignment="1">
      <alignment wrapText="1"/>
      <protection/>
    </xf>
    <xf numFmtId="0" fontId="4" fillId="0" borderId="0" xfId="0" applyFont="1" applyBorder="1" applyAlignment="1">
      <alignment/>
    </xf>
    <xf numFmtId="164" fontId="0" fillId="0" borderId="0" xfId="0" applyNumberFormat="1" applyFont="1" applyAlignment="1">
      <alignment horizontal="right"/>
    </xf>
    <xf numFmtId="0" fontId="6" fillId="0" borderId="10" xfId="0" applyFont="1" applyBorder="1" applyAlignment="1">
      <alignment horizontal="left"/>
    </xf>
    <xf numFmtId="164" fontId="0" fillId="0" borderId="0" xfId="0" applyNumberFormat="1" applyBorder="1" applyAlignment="1">
      <alignment/>
    </xf>
    <xf numFmtId="0" fontId="5" fillId="0" borderId="0" xfId="59" applyFont="1" applyFill="1" applyBorder="1" applyAlignment="1">
      <alignment wrapText="1"/>
      <protection/>
    </xf>
    <xf numFmtId="3" fontId="0" fillId="0" borderId="0" xfId="0" applyNumberFormat="1" applyBorder="1" applyAlignment="1">
      <alignment horizontal="right"/>
    </xf>
    <xf numFmtId="3" fontId="4" fillId="0" borderId="10" xfId="0" applyNumberFormat="1" applyFont="1" applyBorder="1" applyAlignment="1">
      <alignment horizontal="right"/>
    </xf>
    <xf numFmtId="3" fontId="4" fillId="0" borderId="10" xfId="0" applyNumberFormat="1" applyFont="1" applyBorder="1" applyAlignment="1">
      <alignment/>
    </xf>
    <xf numFmtId="0" fontId="6" fillId="0" borderId="10" xfId="0" applyFont="1" applyBorder="1" applyAlignment="1">
      <alignment horizontal="left" wrapText="1"/>
    </xf>
    <xf numFmtId="0" fontId="0" fillId="0" borderId="0" xfId="0" applyFont="1" applyBorder="1" applyAlignment="1">
      <alignment horizontal="left"/>
    </xf>
    <xf numFmtId="0" fontId="0" fillId="0" borderId="0" xfId="0" applyBorder="1" applyAlignment="1">
      <alignment horizontal="center"/>
    </xf>
    <xf numFmtId="49" fontId="0" fillId="0" borderId="0" xfId="0" applyNumberFormat="1" applyBorder="1" applyAlignment="1">
      <alignment horizontal="center"/>
    </xf>
    <xf numFmtId="164" fontId="0" fillId="0" borderId="0" xfId="0" applyNumberFormat="1" applyBorder="1" applyAlignment="1">
      <alignment horizontal="center"/>
    </xf>
    <xf numFmtId="0" fontId="4" fillId="0" borderId="0" xfId="0" applyFont="1" applyBorder="1" applyAlignment="1">
      <alignment horizontal="left"/>
    </xf>
    <xf numFmtId="3" fontId="0" fillId="0" borderId="0" xfId="0" applyNumberFormat="1" applyBorder="1" applyAlignment="1">
      <alignment horizontal="center"/>
    </xf>
    <xf numFmtId="0" fontId="0" fillId="0" borderId="0" xfId="0" applyFont="1" applyBorder="1" applyAlignment="1">
      <alignment horizontal="center"/>
    </xf>
    <xf numFmtId="3" fontId="4" fillId="0" borderId="0" xfId="0" applyNumberFormat="1" applyFont="1" applyAlignment="1">
      <alignment horizontal="left"/>
    </xf>
    <xf numFmtId="49" fontId="4" fillId="0" borderId="0" xfId="0" applyNumberFormat="1" applyFont="1" applyAlignment="1">
      <alignment horizontal="center"/>
    </xf>
    <xf numFmtId="0" fontId="4" fillId="0" borderId="10" xfId="59" applyFont="1" applyFill="1" applyBorder="1" applyAlignment="1">
      <alignment wrapText="1"/>
      <protection/>
    </xf>
    <xf numFmtId="49" fontId="4" fillId="0" borderId="0" xfId="0" applyNumberFormat="1" applyFont="1" applyBorder="1" applyAlignment="1">
      <alignment horizontal="center"/>
    </xf>
    <xf numFmtId="0" fontId="5" fillId="0" borderId="0" xfId="0" applyFont="1" applyBorder="1" applyAlignment="1">
      <alignment horizontal="left"/>
    </xf>
    <xf numFmtId="1" fontId="0" fillId="0" borderId="0" xfId="0" applyNumberFormat="1" applyBorder="1" applyAlignment="1">
      <alignment horizontal="center"/>
    </xf>
    <xf numFmtId="165" fontId="0" fillId="0" borderId="0" xfId="0" applyNumberFormat="1" applyBorder="1" applyAlignment="1">
      <alignment horizontal="center"/>
    </xf>
    <xf numFmtId="4" fontId="0" fillId="0" borderId="0" xfId="0" applyNumberFormat="1" applyBorder="1" applyAlignment="1">
      <alignment horizontal="center"/>
    </xf>
    <xf numFmtId="164" fontId="0" fillId="0" borderId="0" xfId="0" applyNumberFormat="1" applyFont="1" applyBorder="1" applyAlignment="1">
      <alignment horizontal="right"/>
    </xf>
    <xf numFmtId="0" fontId="0" fillId="0" borderId="10" xfId="0" applyFont="1" applyFill="1" applyBorder="1" applyAlignment="1">
      <alignment/>
    </xf>
    <xf numFmtId="0" fontId="7" fillId="0" borderId="0" xfId="0" applyFont="1" applyAlignment="1">
      <alignment/>
    </xf>
    <xf numFmtId="3" fontId="0" fillId="0" borderId="10" xfId="0" applyNumberFormat="1" applyBorder="1" applyAlignment="1">
      <alignment horizontal="left"/>
    </xf>
    <xf numFmtId="3" fontId="0" fillId="0" borderId="0" xfId="0" applyNumberFormat="1" applyFill="1" applyBorder="1" applyAlignment="1">
      <alignment horizontal="center"/>
    </xf>
    <xf numFmtId="0" fontId="5" fillId="0" borderId="10" xfId="59" applyFont="1" applyBorder="1" applyAlignment="1">
      <alignment wrapText="1"/>
      <protection/>
    </xf>
    <xf numFmtId="3" fontId="0" fillId="0" borderId="0" xfId="0" applyNumberFormat="1" applyFont="1" applyBorder="1" applyAlignment="1">
      <alignment horizontal="right"/>
    </xf>
    <xf numFmtId="0" fontId="5" fillId="0" borderId="0" xfId="0" applyFont="1" applyAlignment="1">
      <alignment horizontal="left"/>
    </xf>
    <xf numFmtId="3" fontId="0" fillId="0" borderId="0" xfId="0" applyNumberFormat="1" applyBorder="1" applyAlignment="1">
      <alignment/>
    </xf>
    <xf numFmtId="0" fontId="0" fillId="0" borderId="0" xfId="0" applyFill="1" applyBorder="1" applyAlignment="1">
      <alignment horizontal="center"/>
    </xf>
    <xf numFmtId="4" fontId="0" fillId="0" borderId="0" xfId="0" applyNumberFormat="1" applyFill="1" applyAlignment="1">
      <alignment horizontal="center"/>
    </xf>
    <xf numFmtId="3" fontId="0" fillId="0" borderId="0" xfId="0" applyNumberFormat="1" applyFill="1" applyAlignment="1">
      <alignment horizontal="center"/>
    </xf>
    <xf numFmtId="3" fontId="0" fillId="0" borderId="10" xfId="0" applyNumberFormat="1" applyFill="1" applyBorder="1" applyAlignment="1">
      <alignment/>
    </xf>
    <xf numFmtId="0" fontId="4" fillId="0" borderId="0" xfId="59" applyFont="1" applyFill="1" applyBorder="1" applyAlignment="1">
      <alignment wrapText="1"/>
      <protection/>
    </xf>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0" fontId="0" fillId="32" borderId="0" xfId="0" applyFill="1" applyBorder="1" applyAlignment="1">
      <alignment horizontal="left"/>
    </xf>
    <xf numFmtId="0" fontId="0" fillId="0" borderId="0" xfId="0" applyNumberFormat="1" applyAlignment="1">
      <alignment horizontal="center"/>
    </xf>
    <xf numFmtId="3" fontId="0" fillId="0" borderId="0" xfId="0" applyNumberFormat="1" applyFont="1" applyBorder="1" applyAlignment="1">
      <alignment/>
    </xf>
    <xf numFmtId="0" fontId="4" fillId="0" borderId="1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3" fontId="4" fillId="0" borderId="10" xfId="0" applyNumberFormat="1" applyFont="1" applyBorder="1" applyAlignment="1">
      <alignment horizontal="left"/>
    </xf>
    <xf numFmtId="0" fontId="5" fillId="0" borderId="10" xfId="0" applyFont="1" applyBorder="1" applyAlignment="1">
      <alignment horizontal="left"/>
    </xf>
    <xf numFmtId="3" fontId="4" fillId="0" borderId="0" xfId="0" applyNumberFormat="1" applyFont="1" applyBorder="1" applyAlignment="1">
      <alignment horizontal="left"/>
    </xf>
    <xf numFmtId="3" fontId="4" fillId="0" borderId="0" xfId="0" applyNumberFormat="1" applyFont="1" applyBorder="1" applyAlignment="1">
      <alignment/>
    </xf>
    <xf numFmtId="3" fontId="4" fillId="0" borderId="0" xfId="0" applyNumberFormat="1" applyFont="1" applyBorder="1" applyAlignment="1">
      <alignment horizontal="center"/>
    </xf>
    <xf numFmtId="0" fontId="4" fillId="0" borderId="0" xfId="0" applyFont="1" applyAlignment="1">
      <alignment horizontal="center" wrapText="1"/>
    </xf>
    <xf numFmtId="0" fontId="0" fillId="0" borderId="0" xfId="59" applyFont="1" applyBorder="1" applyAlignment="1">
      <alignment wrapText="1"/>
      <protection/>
    </xf>
    <xf numFmtId="0" fontId="0" fillId="0" borderId="10" xfId="0" applyFill="1" applyBorder="1" applyAlignment="1">
      <alignment/>
    </xf>
    <xf numFmtId="3" fontId="0" fillId="0" borderId="0" xfId="0" applyNumberFormat="1" applyFont="1" applyBorder="1" applyAlignment="1">
      <alignment horizontal="center"/>
    </xf>
    <xf numFmtId="0" fontId="4" fillId="0" borderId="10" xfId="0" applyFont="1" applyBorder="1" applyAlignment="1">
      <alignment wrapText="1"/>
    </xf>
    <xf numFmtId="0" fontId="0" fillId="0" borderId="0" xfId="0" applyFont="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4" fontId="0" fillId="0" borderId="0" xfId="0" applyNumberFormat="1" applyFont="1" applyAlignment="1">
      <alignment horizontal="center"/>
    </xf>
    <xf numFmtId="3" fontId="0" fillId="0" borderId="0" xfId="0" applyNumberFormat="1" applyFont="1" applyAlignment="1">
      <alignment horizontal="center"/>
    </xf>
    <xf numFmtId="4" fontId="0" fillId="0" borderId="0" xfId="0" applyNumberFormat="1" applyFont="1" applyFill="1" applyAlignment="1">
      <alignment horizontal="center"/>
    </xf>
    <xf numFmtId="3" fontId="0" fillId="0" borderId="0" xfId="0" applyNumberFormat="1" applyAlignment="1">
      <alignment horizontal="left"/>
    </xf>
    <xf numFmtId="3" fontId="0" fillId="0" borderId="0" xfId="0" applyNumberFormat="1" applyFont="1" applyBorder="1" applyAlignment="1">
      <alignment horizontal="left"/>
    </xf>
    <xf numFmtId="164" fontId="0" fillId="0" borderId="0" xfId="0" applyNumberFormat="1" applyFont="1" applyFill="1" applyBorder="1" applyAlignment="1">
      <alignment/>
    </xf>
    <xf numFmtId="164" fontId="0" fillId="0" borderId="0" xfId="0" applyNumberFormat="1" applyFont="1" applyBorder="1" applyAlignment="1">
      <alignment/>
    </xf>
    <xf numFmtId="164" fontId="0" fillId="0" borderId="0" xfId="0" applyNumberFormat="1" applyBorder="1" applyAlignment="1">
      <alignment horizontal="right"/>
    </xf>
    <xf numFmtId="3" fontId="0" fillId="0" borderId="0" xfId="0" applyNumberFormat="1" applyFill="1" applyBorder="1" applyAlignment="1">
      <alignment/>
    </xf>
    <xf numFmtId="168" fontId="0" fillId="0" borderId="0" xfId="0" applyNumberFormat="1" applyAlignment="1">
      <alignment/>
    </xf>
    <xf numFmtId="3" fontId="4" fillId="0" borderId="0" xfId="0" applyNumberFormat="1" applyFont="1" applyAlignment="1">
      <alignment horizontal="center"/>
    </xf>
    <xf numFmtId="0" fontId="0" fillId="0" borderId="0" xfId="0" applyFont="1" applyFill="1" applyBorder="1" applyAlignment="1">
      <alignment horizontal="center"/>
    </xf>
    <xf numFmtId="0" fontId="0" fillId="0" borderId="0" xfId="0" applyAlignment="1">
      <alignment horizontal="right"/>
    </xf>
    <xf numFmtId="0" fontId="0" fillId="0" borderId="0" xfId="0" applyBorder="1" applyAlignment="1">
      <alignment horizontal="right"/>
    </xf>
    <xf numFmtId="169" fontId="0" fillId="0" borderId="0" xfId="0" applyNumberFormat="1" applyAlignment="1">
      <alignment/>
    </xf>
    <xf numFmtId="169" fontId="0" fillId="0" borderId="0" xfId="0" applyNumberFormat="1" applyBorder="1" applyAlignment="1">
      <alignment/>
    </xf>
    <xf numFmtId="0" fontId="4" fillId="0" borderId="0" xfId="0" applyFont="1" applyFill="1" applyBorder="1" applyAlignment="1">
      <alignment horizontal="center"/>
    </xf>
    <xf numFmtId="169" fontId="0" fillId="0" borderId="10" xfId="0" applyNumberFormat="1" applyFill="1" applyBorder="1" applyAlignment="1">
      <alignment/>
    </xf>
    <xf numFmtId="164" fontId="0" fillId="0" borderId="0" xfId="0" applyNumberFormat="1" applyFont="1" applyFill="1" applyBorder="1" applyAlignment="1">
      <alignment/>
    </xf>
    <xf numFmtId="164" fontId="0" fillId="0" borderId="0" xfId="0" applyNumberFormat="1" applyFill="1" applyBorder="1" applyAlignment="1">
      <alignment/>
    </xf>
    <xf numFmtId="0" fontId="11" fillId="0" borderId="0" xfId="0" applyFont="1" applyAlignment="1">
      <alignment horizontal="center"/>
    </xf>
    <xf numFmtId="0" fontId="9" fillId="0" borderId="0" xfId="0" applyFont="1" applyAlignment="1">
      <alignment horizontal="center"/>
    </xf>
    <xf numFmtId="0" fontId="13" fillId="0" borderId="0" xfId="0" applyFont="1" applyBorder="1" applyAlignment="1">
      <alignment/>
    </xf>
    <xf numFmtId="168" fontId="0" fillId="0" borderId="0" xfId="0" applyNumberFormat="1" applyBorder="1" applyAlignment="1">
      <alignment/>
    </xf>
    <xf numFmtId="0" fontId="13" fillId="0" borderId="0" xfId="0" applyFont="1" applyAlignment="1">
      <alignment/>
    </xf>
    <xf numFmtId="0" fontId="12" fillId="0" borderId="0" xfId="0" applyFont="1" applyAlignment="1">
      <alignment/>
    </xf>
    <xf numFmtId="0" fontId="8" fillId="0" borderId="0" xfId="0" applyFont="1" applyAlignment="1">
      <alignment horizontal="center"/>
    </xf>
    <xf numFmtId="0" fontId="10" fillId="0" borderId="0" xfId="0" applyFont="1" applyAlignment="1">
      <alignment horizontal="center"/>
    </xf>
    <xf numFmtId="0" fontId="0" fillId="0" borderId="0" xfId="0" applyAlignment="1">
      <alignment/>
    </xf>
    <xf numFmtId="0" fontId="4" fillId="0" borderId="10" xfId="0" applyFont="1" applyBorder="1" applyAlignment="1">
      <alignment horizontal="center" vertical="center"/>
    </xf>
    <xf numFmtId="169" fontId="0" fillId="0" borderId="10" xfId="0" applyNumberFormat="1" applyBorder="1" applyAlignment="1">
      <alignment horizontal="right"/>
    </xf>
    <xf numFmtId="169"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Font="1" applyBorder="1" applyAlignment="1">
      <alignment horizontal="right"/>
    </xf>
    <xf numFmtId="4" fontId="0" fillId="0" borderId="0" xfId="0" applyNumberFormat="1" applyAlignment="1">
      <alignment horizontal="right"/>
    </xf>
    <xf numFmtId="49" fontId="4" fillId="0" borderId="0" xfId="0" applyNumberFormat="1" applyFont="1" applyBorder="1" applyAlignment="1">
      <alignment horizontal="center" wrapText="1"/>
    </xf>
    <xf numFmtId="0" fontId="7" fillId="0" borderId="0" xfId="0" applyFont="1" applyAlignment="1">
      <alignment horizontal="center"/>
    </xf>
    <xf numFmtId="0" fontId="14" fillId="0" borderId="0" xfId="0" applyFont="1" applyAlignment="1">
      <alignment horizontal="center" wrapText="1"/>
    </xf>
    <xf numFmtId="0" fontId="4" fillId="0" borderId="10" xfId="0" applyFont="1" applyBorder="1" applyAlignment="1">
      <alignment horizontal="center" vertical="center" wrapText="1"/>
    </xf>
    <xf numFmtId="168" fontId="0" fillId="0" borderId="0" xfId="0" applyNumberFormat="1" applyFont="1" applyAlignment="1">
      <alignment/>
    </xf>
    <xf numFmtId="3" fontId="0" fillId="0" borderId="0" xfId="0" applyNumberFormat="1" applyFont="1" applyFill="1" applyBorder="1" applyAlignment="1">
      <alignment horizontal="left"/>
    </xf>
    <xf numFmtId="0" fontId="0" fillId="0" borderId="0" xfId="0" applyFont="1" applyFill="1" applyAlignment="1">
      <alignment horizontal="left"/>
    </xf>
    <xf numFmtId="0" fontId="6" fillId="0" borderId="0" xfId="0" applyFont="1" applyAlignment="1">
      <alignment horizontal="left" vertical="top"/>
    </xf>
    <xf numFmtId="3" fontId="0" fillId="0" borderId="10" xfId="0" applyNumberFormat="1" applyFill="1" applyBorder="1" applyAlignment="1">
      <alignment horizontal="right"/>
    </xf>
    <xf numFmtId="0" fontId="4" fillId="0" borderId="0" xfId="0" applyFont="1" applyBorder="1" applyAlignment="1">
      <alignment horizontal="left" wrapText="1"/>
    </xf>
    <xf numFmtId="3" fontId="0" fillId="0" borderId="0" xfId="0" applyNumberFormat="1" applyBorder="1" applyAlignment="1">
      <alignment horizontal="left"/>
    </xf>
    <xf numFmtId="3" fontId="0" fillId="0" borderId="0" xfId="0" applyNumberFormat="1" applyFont="1" applyFill="1" applyAlignment="1">
      <alignment horizontal="left"/>
    </xf>
    <xf numFmtId="0" fontId="0" fillId="0" borderId="0" xfId="0" applyFill="1" applyAlignment="1">
      <alignment/>
    </xf>
    <xf numFmtId="0" fontId="0" fillId="0" borderId="0" xfId="0" applyFill="1" applyAlignment="1">
      <alignment horizontal="right"/>
    </xf>
    <xf numFmtId="3" fontId="0" fillId="0" borderId="0" xfId="0" applyNumberFormat="1" applyFill="1" applyAlignment="1">
      <alignmen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Alignment="1">
      <alignment horizontal="center"/>
    </xf>
    <xf numFmtId="165" fontId="0" fillId="0" borderId="0" xfId="0" applyNumberFormat="1" applyFill="1" applyAlignment="1">
      <alignment horizontal="center"/>
    </xf>
    <xf numFmtId="164" fontId="0" fillId="0" borderId="0" xfId="0" applyNumberFormat="1" applyFill="1" applyAlignment="1">
      <alignment/>
    </xf>
    <xf numFmtId="164"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horizontal="center"/>
    </xf>
    <xf numFmtId="3" fontId="4" fillId="0" borderId="10" xfId="0" applyNumberFormat="1" applyFont="1" applyFill="1" applyBorder="1" applyAlignment="1">
      <alignment horizontal="right"/>
    </xf>
    <xf numFmtId="0" fontId="4" fillId="0" borderId="0" xfId="0" applyFont="1" applyFill="1" applyBorder="1" applyAlignment="1">
      <alignment horizontal="left"/>
    </xf>
    <xf numFmtId="0" fontId="0" fillId="0" borderId="10" xfId="0" applyFill="1" applyBorder="1" applyAlignment="1">
      <alignment horizontal="lef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0" fontId="4" fillId="0" borderId="0" xfId="0" applyFont="1" applyFill="1" applyAlignment="1">
      <alignment/>
    </xf>
    <xf numFmtId="0" fontId="0" fillId="0" borderId="0" xfId="0" applyFill="1" applyBorder="1" applyAlignment="1">
      <alignment horizontal="left"/>
    </xf>
    <xf numFmtId="0" fontId="0" fillId="0" borderId="0" xfId="0" applyFill="1" applyBorder="1" applyAlignment="1">
      <alignment horizontal="right"/>
    </xf>
    <xf numFmtId="4" fontId="0" fillId="0" borderId="0" xfId="0" applyNumberFormat="1" applyFill="1" applyAlignment="1">
      <alignment horizontal="left"/>
    </xf>
    <xf numFmtId="0" fontId="0" fillId="0" borderId="0" xfId="57">
      <alignment/>
      <protection/>
    </xf>
    <xf numFmtId="0" fontId="0" fillId="0" borderId="10" xfId="57" applyFont="1" applyBorder="1" applyAlignment="1">
      <alignment horizontal="left"/>
      <protection/>
    </xf>
    <xf numFmtId="0" fontId="0" fillId="0" borderId="0" xfId="57" applyBorder="1" applyAlignment="1">
      <alignment horizontal="center"/>
      <protection/>
    </xf>
    <xf numFmtId="0" fontId="4" fillId="0" borderId="0" xfId="57" applyFont="1" applyBorder="1" applyAlignment="1">
      <alignment horizontal="left"/>
      <protection/>
    </xf>
    <xf numFmtId="0" fontId="0" fillId="0" borderId="0" xfId="57" applyBorder="1" applyAlignment="1">
      <alignment horizontal="left"/>
      <protection/>
    </xf>
    <xf numFmtId="0" fontId="0" fillId="0" borderId="0" xfId="57" applyBorder="1" applyAlignment="1">
      <alignment horizontal="right"/>
      <protection/>
    </xf>
    <xf numFmtId="49" fontId="0" fillId="0" borderId="0" xfId="57" applyNumberFormat="1" applyBorder="1" applyAlignment="1">
      <alignment horizontal="right"/>
      <protection/>
    </xf>
    <xf numFmtId="0" fontId="4" fillId="0" borderId="0" xfId="57" applyFont="1" applyBorder="1">
      <alignment/>
      <protection/>
    </xf>
    <xf numFmtId="0" fontId="4" fillId="0" borderId="0" xfId="57" applyFont="1" applyBorder="1" applyAlignment="1">
      <alignment horizontal="center"/>
      <protection/>
    </xf>
    <xf numFmtId="3" fontId="0" fillId="0" borderId="0" xfId="57" applyNumberFormat="1" applyAlignment="1">
      <alignment horizontal="center"/>
      <protection/>
    </xf>
    <xf numFmtId="0" fontId="4" fillId="0" borderId="10" xfId="0" applyFont="1" applyBorder="1" applyAlignment="1">
      <alignment horizontal="left" vertical="center" wrapText="1"/>
    </xf>
    <xf numFmtId="0" fontId="4" fillId="0" borderId="0" xfId="0" applyFont="1" applyBorder="1" applyAlignment="1">
      <alignment horizontal="center" vertical="center"/>
    </xf>
    <xf numFmtId="164" fontId="0" fillId="0" borderId="0" xfId="0" applyNumberFormat="1" applyFont="1" applyBorder="1" applyAlignment="1">
      <alignment horizontal="right" vertical="center"/>
    </xf>
    <xf numFmtId="10" fontId="4" fillId="0" borderId="0" xfId="0" applyNumberFormat="1" applyFont="1" applyBorder="1" applyAlignment="1">
      <alignment horizontal="center" vertical="center"/>
    </xf>
    <xf numFmtId="164" fontId="0" fillId="0" borderId="11" xfId="0" applyNumberFormat="1" applyFont="1" applyFill="1" applyBorder="1" applyAlignment="1">
      <alignment/>
    </xf>
    <xf numFmtId="164" fontId="0" fillId="0" borderId="11" xfId="0" applyNumberFormat="1" applyFont="1" applyBorder="1" applyAlignment="1">
      <alignment/>
    </xf>
    <xf numFmtId="164" fontId="0" fillId="0" borderId="11" xfId="0" applyNumberFormat="1" applyBorder="1" applyAlignment="1">
      <alignment horizontal="right"/>
    </xf>
    <xf numFmtId="164" fontId="0" fillId="0" borderId="11" xfId="0" applyNumberFormat="1" applyBorder="1" applyAlignment="1">
      <alignment/>
    </xf>
    <xf numFmtId="164" fontId="0" fillId="0" borderId="0" xfId="0" applyNumberFormat="1" applyFill="1" applyBorder="1" applyAlignment="1">
      <alignment horizontal="right"/>
    </xf>
    <xf numFmtId="0" fontId="0" fillId="0" borderId="12" xfId="0" applyFont="1" applyFill="1" applyBorder="1" applyAlignment="1">
      <alignment horizontal="left" indent="1"/>
    </xf>
    <xf numFmtId="0" fontId="0" fillId="0" borderId="10" xfId="0" applyFont="1" applyFill="1" applyBorder="1" applyAlignment="1">
      <alignment horizontal="left" indent="1"/>
    </xf>
    <xf numFmtId="0" fontId="0" fillId="0" borderId="10" xfId="0" applyFont="1" applyBorder="1" applyAlignment="1">
      <alignment horizontal="left" indent="1"/>
    </xf>
    <xf numFmtId="0" fontId="0" fillId="0" borderId="12" xfId="0" applyFont="1" applyBorder="1" applyAlignment="1">
      <alignment horizontal="left" indent="1"/>
    </xf>
    <xf numFmtId="0" fontId="4" fillId="0" borderId="12" xfId="0" applyFont="1" applyBorder="1" applyAlignment="1">
      <alignment horizontal="left"/>
    </xf>
    <xf numFmtId="0" fontId="0" fillId="0" borderId="11" xfId="0" applyBorder="1" applyAlignment="1">
      <alignment/>
    </xf>
    <xf numFmtId="6" fontId="0" fillId="0" borderId="10" xfId="0" applyNumberFormat="1" applyFont="1" applyFill="1" applyBorder="1" applyAlignment="1">
      <alignment/>
    </xf>
    <xf numFmtId="0" fontId="4" fillId="0" borderId="0" xfId="0" applyFont="1" applyFill="1" applyBorder="1" applyAlignment="1">
      <alignment horizontal="left" wrapText="1"/>
    </xf>
    <xf numFmtId="169" fontId="0" fillId="0" borderId="0" xfId="0" applyNumberFormat="1" applyFill="1" applyBorder="1" applyAlignment="1">
      <alignment horizontal="center"/>
    </xf>
    <xf numFmtId="169" fontId="0" fillId="0" borderId="0" xfId="0" applyNumberFormat="1" applyFill="1" applyBorder="1" applyAlignment="1">
      <alignment horizontal="right"/>
    </xf>
    <xf numFmtId="0" fontId="4" fillId="0" borderId="10" xfId="0" applyFont="1" applyFill="1" applyBorder="1" applyAlignment="1">
      <alignment horizontal="left"/>
    </xf>
    <xf numFmtId="49" fontId="4" fillId="0" borderId="0" xfId="0" applyNumberFormat="1" applyFont="1" applyFill="1" applyAlignment="1">
      <alignment horizontal="center"/>
    </xf>
    <xf numFmtId="164" fontId="0" fillId="0" borderId="0" xfId="0" applyNumberFormat="1" applyFill="1" applyBorder="1" applyAlignment="1">
      <alignment horizontal="center"/>
    </xf>
    <xf numFmtId="49" fontId="0" fillId="0" borderId="0" xfId="0" applyNumberFormat="1" applyFill="1" applyBorder="1" applyAlignment="1">
      <alignment horizontal="center"/>
    </xf>
    <xf numFmtId="0" fontId="0" fillId="0" borderId="10" xfId="57" applyFont="1" applyFill="1" applyBorder="1">
      <alignment/>
      <protection/>
    </xf>
    <xf numFmtId="0" fontId="7" fillId="0" borderId="0" xfId="0" applyFont="1" applyAlignment="1">
      <alignment horizontal="center" wrapText="1"/>
    </xf>
    <xf numFmtId="0" fontId="0" fillId="0" borderId="13" xfId="0" applyFill="1" applyBorder="1" applyAlignment="1">
      <alignment/>
    </xf>
    <xf numFmtId="0" fontId="4" fillId="0" borderId="0" xfId="0" applyFont="1" applyBorder="1" applyAlignment="1">
      <alignment horizontal="center" wrapText="1"/>
    </xf>
    <xf numFmtId="3" fontId="0" fillId="0" borderId="0" xfId="0" applyNumberFormat="1" applyFill="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wrapText="1"/>
    </xf>
    <xf numFmtId="0" fontId="7" fillId="0" borderId="0" xfId="0" applyFont="1" applyBorder="1" applyAlignment="1">
      <alignment horizontal="center"/>
    </xf>
    <xf numFmtId="0" fontId="0" fillId="33" borderId="0" xfId="0" applyFill="1" applyAlignment="1">
      <alignment horizontal="left"/>
    </xf>
    <xf numFmtId="0" fontId="0" fillId="33" borderId="0" xfId="0" applyFill="1" applyAlignment="1">
      <alignment horizontal="center"/>
    </xf>
    <xf numFmtId="3" fontId="0" fillId="33" borderId="0" xfId="0" applyNumberFormat="1" applyFill="1" applyAlignment="1">
      <alignment horizontal="left"/>
    </xf>
    <xf numFmtId="6" fontId="0" fillId="0" borderId="10" xfId="0" applyNumberFormat="1" applyBorder="1" applyAlignment="1">
      <alignment/>
    </xf>
    <xf numFmtId="0" fontId="4" fillId="0" borderId="0" xfId="0" applyFont="1" applyBorder="1" applyAlignment="1">
      <alignment horizontal="center" vertical="center" wrapText="1"/>
    </xf>
    <xf numFmtId="3" fontId="0" fillId="0" borderId="0" xfId="59" applyNumberFormat="1" applyFont="1" applyBorder="1" applyAlignment="1">
      <alignment wrapText="1"/>
      <protection/>
    </xf>
    <xf numFmtId="0" fontId="0" fillId="0" borderId="10" xfId="59" applyFont="1" applyBorder="1" applyAlignment="1">
      <alignment horizontal="left" wrapText="1" indent="1"/>
      <protection/>
    </xf>
    <xf numFmtId="0" fontId="4" fillId="0" borderId="0" xfId="0" applyFont="1" applyFill="1" applyAlignment="1">
      <alignment horizontal="center" wrapText="1"/>
    </xf>
    <xf numFmtId="3" fontId="4" fillId="0" borderId="14" xfId="0" applyNumberFormat="1" applyFont="1" applyBorder="1" applyAlignment="1">
      <alignment horizontal="right"/>
    </xf>
    <xf numFmtId="0" fontId="4" fillId="0" borderId="11" xfId="0" applyFont="1" applyBorder="1" applyAlignment="1">
      <alignment/>
    </xf>
    <xf numFmtId="0" fontId="4" fillId="0" borderId="12" xfId="0" applyFont="1" applyBorder="1" applyAlignment="1">
      <alignment/>
    </xf>
    <xf numFmtId="169" fontId="4" fillId="0" borderId="10" xfId="0" applyNumberFormat="1" applyFont="1" applyBorder="1" applyAlignment="1">
      <alignment/>
    </xf>
    <xf numFmtId="0" fontId="4" fillId="0" borderId="0" xfId="0" applyFont="1" applyFill="1" applyBorder="1" applyAlignment="1">
      <alignment horizontal="center" wrapText="1"/>
    </xf>
    <xf numFmtId="0" fontId="0" fillId="0" borderId="0" xfId="0" applyFill="1" applyBorder="1" applyAlignment="1">
      <alignment/>
    </xf>
    <xf numFmtId="0" fontId="0" fillId="0" borderId="11" xfId="0" applyBorder="1" applyAlignment="1">
      <alignment horizontal="center"/>
    </xf>
    <xf numFmtId="0" fontId="4" fillId="0" borderId="11" xfId="0" applyFont="1" applyBorder="1" applyAlignment="1">
      <alignment horizontal="center" wrapText="1"/>
    </xf>
    <xf numFmtId="169" fontId="4" fillId="0" borderId="10" xfId="0" applyNumberFormat="1" applyFont="1" applyBorder="1" applyAlignment="1">
      <alignment horizontal="right"/>
    </xf>
    <xf numFmtId="169" fontId="4" fillId="0" borderId="10" xfId="0" applyNumberFormat="1" applyFont="1" applyFill="1" applyBorder="1" applyAlignment="1">
      <alignment horizontal="right"/>
    </xf>
    <xf numFmtId="0" fontId="0" fillId="0" borderId="0" xfId="57" applyFill="1" applyBorder="1" applyAlignment="1">
      <alignment horizontal="right"/>
      <protection/>
    </xf>
    <xf numFmtId="49" fontId="0" fillId="0" borderId="0" xfId="57" applyNumberFormat="1" applyFill="1" applyBorder="1" applyAlignment="1">
      <alignment horizontal="right"/>
      <protection/>
    </xf>
    <xf numFmtId="0" fontId="0" fillId="0" borderId="0" xfId="57" applyFill="1" applyBorder="1" applyAlignment="1">
      <alignment horizontal="center"/>
      <protection/>
    </xf>
    <xf numFmtId="0" fontId="4" fillId="0" borderId="0" xfId="0" applyFont="1" applyAlignment="1">
      <alignment horizontal="center" vertical="center" wrapText="1"/>
    </xf>
    <xf numFmtId="0" fontId="7" fillId="0" borderId="0" xfId="0" applyFont="1" applyBorder="1" applyAlignment="1">
      <alignment horizontal="left"/>
    </xf>
    <xf numFmtId="0" fontId="8" fillId="0" borderId="0" xfId="0" applyFont="1" applyAlignment="1">
      <alignment horizontal="left"/>
    </xf>
    <xf numFmtId="0" fontId="0" fillId="0" borderId="10" xfId="0" applyBorder="1" applyAlignment="1">
      <alignment horizontal="left" indent="1"/>
    </xf>
    <xf numFmtId="0" fontId="5" fillId="0" borderId="10" xfId="59" applyFont="1" applyBorder="1" applyAlignment="1">
      <alignment horizontal="left" wrapText="1"/>
      <protection/>
    </xf>
    <xf numFmtId="3" fontId="0" fillId="0" borderId="10" xfId="0" applyNumberFormat="1" applyFont="1" applyBorder="1" applyAlignment="1">
      <alignment horizontal="left" indent="1"/>
    </xf>
    <xf numFmtId="0" fontId="0" fillId="0" borderId="10" xfId="59" applyFont="1" applyBorder="1" applyAlignment="1">
      <alignment horizontal="left" wrapText="1" indent="2"/>
      <protection/>
    </xf>
    <xf numFmtId="0" fontId="0" fillId="0" borderId="10" xfId="0" applyFont="1" applyBorder="1" applyAlignment="1">
      <alignment horizontal="left" indent="2"/>
    </xf>
    <xf numFmtId="0" fontId="0" fillId="0" borderId="10" xfId="59" applyFont="1" applyFill="1" applyBorder="1" applyAlignment="1">
      <alignment horizontal="left" wrapText="1" indent="1"/>
      <protection/>
    </xf>
    <xf numFmtId="0" fontId="5" fillId="0" borderId="14" xfId="59" applyFont="1" applyFill="1" applyBorder="1" applyAlignment="1">
      <alignment horizontal="left" wrapText="1" indent="1"/>
      <protection/>
    </xf>
    <xf numFmtId="0" fontId="0" fillId="0" borderId="0" xfId="59" applyFont="1" applyFill="1" applyBorder="1" applyAlignment="1">
      <alignment horizontal="left" wrapText="1" indent="1"/>
      <protection/>
    </xf>
    <xf numFmtId="0" fontId="0" fillId="0" borderId="12" xfId="0" applyBorder="1" applyAlignment="1">
      <alignment horizontal="left" indent="1"/>
    </xf>
    <xf numFmtId="169" fontId="4" fillId="0" borderId="10" xfId="0" applyNumberFormat="1" applyFont="1" applyFill="1" applyBorder="1" applyAlignment="1">
      <alignment/>
    </xf>
    <xf numFmtId="10" fontId="0" fillId="0" borderId="0" xfId="0" applyNumberFormat="1" applyFill="1" applyAlignment="1">
      <alignment horizontal="center"/>
    </xf>
    <xf numFmtId="0" fontId="0" fillId="0" borderId="0" xfId="0" applyFont="1" applyFill="1" applyBorder="1" applyAlignment="1">
      <alignment horizontal="left"/>
    </xf>
    <xf numFmtId="6" fontId="0" fillId="0" borderId="10" xfId="0" applyNumberFormat="1" applyBorder="1" applyAlignment="1">
      <alignment/>
    </xf>
    <xf numFmtId="6" fontId="0" fillId="0" borderId="10" xfId="0" applyNumberFormat="1" applyFont="1" applyBorder="1" applyAlignment="1">
      <alignment horizontal="right" vertical="center"/>
    </xf>
    <xf numFmtId="6" fontId="0" fillId="0" borderId="10" xfId="0" applyNumberFormat="1" applyFill="1" applyBorder="1" applyAlignment="1">
      <alignment/>
    </xf>
    <xf numFmtId="8" fontId="0" fillId="0" borderId="10" xfId="0" applyNumberFormat="1" applyBorder="1" applyAlignment="1">
      <alignment/>
    </xf>
    <xf numFmtId="8" fontId="0" fillId="0" borderId="10" xfId="0" applyNumberFormat="1" applyFill="1" applyBorder="1" applyAlignment="1">
      <alignment/>
    </xf>
    <xf numFmtId="8" fontId="4" fillId="0" borderId="10" xfId="0" applyNumberFormat="1" applyFont="1" applyBorder="1" applyAlignment="1">
      <alignment/>
    </xf>
    <xf numFmtId="6" fontId="4" fillId="0" borderId="10" xfId="0" applyNumberFormat="1" applyFont="1" applyBorder="1" applyAlignment="1">
      <alignment/>
    </xf>
    <xf numFmtId="6" fontId="0" fillId="0" borderId="10" xfId="0" applyNumberFormat="1" applyFont="1" applyBorder="1" applyAlignment="1">
      <alignment/>
    </xf>
    <xf numFmtId="38" fontId="4" fillId="0" borderId="10" xfId="0" applyNumberFormat="1" applyFont="1" applyBorder="1" applyAlignment="1">
      <alignment/>
    </xf>
    <xf numFmtId="38" fontId="0" fillId="0" borderId="10" xfId="0" applyNumberFormat="1" applyBorder="1" applyAlignment="1">
      <alignment/>
    </xf>
    <xf numFmtId="6" fontId="0" fillId="0" borderId="10" xfId="0" applyNumberFormat="1" applyFill="1" applyBorder="1" applyAlignment="1">
      <alignment horizontal="right"/>
    </xf>
    <xf numFmtId="6" fontId="0" fillId="0" borderId="10" xfId="0" applyNumberFormat="1" applyFont="1" applyFill="1" applyBorder="1" applyAlignment="1">
      <alignment horizontal="right"/>
    </xf>
    <xf numFmtId="6" fontId="4" fillId="0" borderId="10" xfId="0" applyNumberFormat="1" applyFont="1" applyFill="1" applyBorder="1" applyAlignment="1">
      <alignment/>
    </xf>
    <xf numFmtId="38" fontId="0" fillId="0" borderId="10" xfId="0" applyNumberFormat="1" applyBorder="1" applyAlignment="1">
      <alignment horizontal="right"/>
    </xf>
    <xf numFmtId="38" fontId="0" fillId="0" borderId="10" xfId="0" applyNumberFormat="1" applyFont="1" applyBorder="1" applyAlignment="1">
      <alignment horizontal="right"/>
    </xf>
    <xf numFmtId="38" fontId="0" fillId="0" borderId="10" xfId="0" applyNumberFormat="1" applyFill="1" applyBorder="1" applyAlignment="1">
      <alignment horizontal="right"/>
    </xf>
    <xf numFmtId="38" fontId="0" fillId="0" borderId="10" xfId="0" applyNumberFormat="1" applyFont="1" applyFill="1" applyBorder="1" applyAlignment="1">
      <alignment horizontal="right"/>
    </xf>
    <xf numFmtId="38" fontId="4" fillId="0" borderId="10" xfId="0" applyNumberFormat="1" applyFont="1" applyFill="1" applyBorder="1" applyAlignment="1">
      <alignment horizontal="right"/>
    </xf>
    <xf numFmtId="38" fontId="0" fillId="0" borderId="0" xfId="0" applyNumberFormat="1" applyBorder="1" applyAlignment="1">
      <alignment/>
    </xf>
    <xf numFmtId="38" fontId="0" fillId="0" borderId="10" xfId="0" applyNumberFormat="1" applyFill="1" applyBorder="1" applyAlignment="1">
      <alignment/>
    </xf>
    <xf numFmtId="38" fontId="0" fillId="0" borderId="0" xfId="0" applyNumberFormat="1" applyFill="1" applyBorder="1" applyAlignment="1">
      <alignment/>
    </xf>
    <xf numFmtId="38" fontId="0" fillId="0" borderId="10" xfId="0" applyNumberFormat="1" applyFont="1" applyFill="1" applyBorder="1" applyAlignment="1">
      <alignment horizontal="center"/>
    </xf>
    <xf numFmtId="38" fontId="0" fillId="0" borderId="0" xfId="0" applyNumberFormat="1" applyBorder="1" applyAlignment="1">
      <alignment horizontal="right"/>
    </xf>
    <xf numFmtId="38" fontId="0" fillId="0" borderId="10" xfId="0" applyNumberFormat="1" applyFont="1" applyBorder="1" applyAlignment="1">
      <alignment/>
    </xf>
    <xf numFmtId="38" fontId="0" fillId="0" borderId="10" xfId="0" applyNumberFormat="1" applyFont="1" applyFill="1" applyBorder="1" applyAlignment="1">
      <alignment/>
    </xf>
    <xf numFmtId="38" fontId="0" fillId="0" borderId="14" xfId="0" applyNumberFormat="1" applyBorder="1" applyAlignment="1">
      <alignment horizontal="right"/>
    </xf>
    <xf numFmtId="38" fontId="4" fillId="0" borderId="10" xfId="0" applyNumberFormat="1" applyFont="1" applyBorder="1" applyAlignment="1">
      <alignment horizontal="right"/>
    </xf>
    <xf numFmtId="38" fontId="4" fillId="0" borderId="14" xfId="0" applyNumberFormat="1" applyFont="1" applyBorder="1" applyAlignment="1">
      <alignment horizontal="right"/>
    </xf>
    <xf numFmtId="38" fontId="4" fillId="0" borderId="0" xfId="0" applyNumberFormat="1" applyFont="1" applyBorder="1" applyAlignment="1">
      <alignment horizontal="right"/>
    </xf>
    <xf numFmtId="38" fontId="0" fillId="0" borderId="10" xfId="0" applyNumberFormat="1" applyFont="1" applyBorder="1" applyAlignment="1">
      <alignment/>
    </xf>
    <xf numFmtId="38" fontId="4" fillId="0" borderId="10" xfId="0" applyNumberFormat="1" applyFont="1" applyFill="1" applyBorder="1" applyAlignment="1">
      <alignment/>
    </xf>
    <xf numFmtId="38" fontId="4" fillId="0" borderId="14" xfId="0" applyNumberFormat="1" applyFont="1" applyFill="1" applyBorder="1" applyAlignment="1">
      <alignment horizontal="right"/>
    </xf>
    <xf numFmtId="38" fontId="0" fillId="0" borderId="0" xfId="0" applyNumberFormat="1" applyFont="1" applyBorder="1" applyAlignment="1">
      <alignment horizontal="center"/>
    </xf>
    <xf numFmtId="38" fontId="0" fillId="0" borderId="0" xfId="0" applyNumberFormat="1" applyFont="1" applyBorder="1" applyAlignment="1">
      <alignment horizontal="right"/>
    </xf>
    <xf numFmtId="38" fontId="5" fillId="0" borderId="10" xfId="0" applyNumberFormat="1" applyFont="1" applyFill="1" applyBorder="1" applyAlignment="1">
      <alignment horizontal="right"/>
    </xf>
    <xf numFmtId="6" fontId="0" fillId="0" borderId="10" xfId="0" applyNumberFormat="1" applyBorder="1" applyAlignment="1">
      <alignment horizontal="right"/>
    </xf>
    <xf numFmtId="44" fontId="4" fillId="0" borderId="10" xfId="0" applyNumberFormat="1" applyFont="1" applyBorder="1" applyAlignment="1">
      <alignment horizontal="right"/>
    </xf>
    <xf numFmtId="44" fontId="4" fillId="0" borderId="10" xfId="0" applyNumberFormat="1" applyFont="1" applyFill="1" applyBorder="1" applyAlignment="1">
      <alignment horizontal="right"/>
    </xf>
    <xf numFmtId="8" fontId="4" fillId="0" borderId="10" xfId="0" applyNumberFormat="1" applyFont="1" applyBorder="1" applyAlignment="1">
      <alignment/>
    </xf>
    <xf numFmtId="8" fontId="4" fillId="0" borderId="10" xfId="0" applyNumberFormat="1" applyFont="1" applyFill="1" applyBorder="1" applyAlignment="1">
      <alignment/>
    </xf>
    <xf numFmtId="38" fontId="0" fillId="0" borderId="10" xfId="0" applyNumberFormat="1" applyBorder="1" applyAlignment="1">
      <alignment horizontal="center"/>
    </xf>
    <xf numFmtId="8" fontId="0" fillId="0" borderId="10" xfId="0" applyNumberFormat="1" applyBorder="1" applyAlignment="1">
      <alignment horizontal="right"/>
    </xf>
    <xf numFmtId="8" fontId="0" fillId="0" borderId="10" xfId="0" applyNumberFormat="1" applyFill="1" applyBorder="1" applyAlignment="1">
      <alignment horizontal="right"/>
    </xf>
    <xf numFmtId="6" fontId="0" fillId="0" borderId="10" xfId="0" applyNumberFormat="1" applyBorder="1" applyAlignment="1">
      <alignment horizontal="center"/>
    </xf>
    <xf numFmtId="8" fontId="4" fillId="0" borderId="10" xfId="0" applyNumberFormat="1" applyFont="1" applyBorder="1" applyAlignment="1">
      <alignment horizontal="right"/>
    </xf>
    <xf numFmtId="8" fontId="4" fillId="0" borderId="10" xfId="0" applyNumberFormat="1" applyFont="1" applyBorder="1" applyAlignment="1">
      <alignment horizontal="center"/>
    </xf>
    <xf numFmtId="6" fontId="4" fillId="0" borderId="10" xfId="0" applyNumberFormat="1" applyFont="1" applyBorder="1" applyAlignment="1">
      <alignment horizontal="right"/>
    </xf>
    <xf numFmtId="38" fontId="0" fillId="0" borderId="12" xfId="0" applyNumberFormat="1" applyBorder="1" applyAlignment="1">
      <alignment horizontal="right"/>
    </xf>
    <xf numFmtId="38" fontId="0" fillId="0" borderId="12" xfId="0" applyNumberFormat="1" applyFill="1" applyBorder="1" applyAlignment="1">
      <alignment horizontal="right"/>
    </xf>
    <xf numFmtId="38" fontId="0" fillId="32" borderId="10" xfId="0" applyNumberFormat="1" applyFill="1" applyBorder="1" applyAlignment="1">
      <alignment horizontal="right"/>
    </xf>
    <xf numFmtId="6" fontId="0" fillId="0" borderId="0" xfId="0" applyNumberFormat="1" applyBorder="1" applyAlignment="1">
      <alignment/>
    </xf>
    <xf numFmtId="8" fontId="0" fillId="0" borderId="10" xfId="0" applyNumberFormat="1" applyFont="1" applyBorder="1" applyAlignment="1">
      <alignment horizontal="right"/>
    </xf>
    <xf numFmtId="8" fontId="4" fillId="0" borderId="10" xfId="0" applyNumberFormat="1" applyFont="1" applyFill="1" applyBorder="1" applyAlignment="1">
      <alignment horizontal="right"/>
    </xf>
    <xf numFmtId="38" fontId="4" fillId="0" borderId="10" xfId="0" applyNumberFormat="1" applyFont="1" applyBorder="1" applyAlignment="1">
      <alignment horizontal="left"/>
    </xf>
    <xf numFmtId="6" fontId="0" fillId="0" borderId="10" xfId="57" applyNumberFormat="1" applyBorder="1" applyAlignment="1">
      <alignment horizontal="right"/>
      <protection/>
    </xf>
    <xf numFmtId="6" fontId="0" fillId="0" borderId="10" xfId="57" applyNumberFormat="1" applyFill="1" applyBorder="1" applyAlignment="1">
      <alignment horizontal="right"/>
      <protection/>
    </xf>
    <xf numFmtId="6" fontId="0" fillId="0" borderId="0" xfId="57" applyNumberFormat="1" applyBorder="1" applyAlignment="1">
      <alignment horizontal="right"/>
      <protection/>
    </xf>
    <xf numFmtId="38" fontId="0" fillId="0" borderId="10" xfId="57" applyNumberFormat="1" applyFill="1" applyBorder="1" applyAlignment="1">
      <alignment horizontal="right"/>
      <protection/>
    </xf>
    <xf numFmtId="8" fontId="0" fillId="0" borderId="0" xfId="0" applyNumberFormat="1" applyBorder="1" applyAlignment="1">
      <alignment horizontal="right"/>
    </xf>
    <xf numFmtId="8" fontId="0" fillId="0" borderId="15" xfId="0" applyNumberFormat="1" applyBorder="1" applyAlignment="1">
      <alignment horizontal="right"/>
    </xf>
    <xf numFmtId="6" fontId="4" fillId="0" borderId="10" xfId="0" applyNumberFormat="1" applyFont="1" applyFill="1" applyBorder="1" applyAlignment="1">
      <alignment horizontal="right"/>
    </xf>
    <xf numFmtId="6" fontId="4" fillId="0" borderId="10" xfId="0" applyNumberFormat="1" applyFont="1" applyFill="1" applyBorder="1" applyAlignment="1">
      <alignment horizontal="center"/>
    </xf>
    <xf numFmtId="6" fontId="0" fillId="0" borderId="10" xfId="0" applyNumberFormat="1" applyFill="1" applyBorder="1" applyAlignment="1">
      <alignment horizontal="center"/>
    </xf>
    <xf numFmtId="6" fontId="4" fillId="0" borderId="10" xfId="0" applyNumberFormat="1" applyFont="1" applyBorder="1" applyAlignment="1">
      <alignment horizontal="center"/>
    </xf>
    <xf numFmtId="38" fontId="0" fillId="0" borderId="0" xfId="0" applyNumberFormat="1" applyFont="1" applyFill="1" applyBorder="1" applyAlignment="1">
      <alignment horizontal="right"/>
    </xf>
    <xf numFmtId="6" fontId="0" fillId="0" borderId="10" xfId="0" applyNumberFormat="1" applyFont="1" applyFill="1" applyBorder="1" applyAlignment="1">
      <alignment/>
    </xf>
    <xf numFmtId="6" fontId="0" fillId="0" borderId="10" xfId="0" applyNumberFormat="1" applyFont="1" applyBorder="1" applyAlignment="1">
      <alignment/>
    </xf>
    <xf numFmtId="6" fontId="0" fillId="0" borderId="12" xfId="0" applyNumberFormat="1" applyBorder="1" applyAlignment="1">
      <alignment horizontal="right"/>
    </xf>
    <xf numFmtId="6" fontId="0" fillId="0" borderId="12" xfId="0" applyNumberFormat="1" applyBorder="1" applyAlignment="1">
      <alignment/>
    </xf>
    <xf numFmtId="6" fontId="4" fillId="0" borderId="10" xfId="0" applyNumberFormat="1" applyFont="1" applyFill="1" applyBorder="1" applyAlignment="1">
      <alignment/>
    </xf>
    <xf numFmtId="6" fontId="4" fillId="0" borderId="10" xfId="0" applyNumberFormat="1" applyFont="1" applyBorder="1" applyAlignment="1">
      <alignment/>
    </xf>
    <xf numFmtId="8" fontId="0" fillId="0" borderId="16" xfId="0" applyNumberFormat="1" applyFill="1" applyBorder="1" applyAlignment="1">
      <alignment horizontal="right"/>
    </xf>
    <xf numFmtId="8" fontId="0" fillId="0" borderId="0" xfId="0" applyNumberFormat="1" applyFill="1" applyBorder="1" applyAlignment="1">
      <alignment horizontal="right"/>
    </xf>
    <xf numFmtId="38" fontId="0" fillId="0" borderId="15" xfId="0" applyNumberFormat="1" applyBorder="1" applyAlignment="1">
      <alignment horizontal="right"/>
    </xf>
    <xf numFmtId="38" fontId="0" fillId="0" borderId="0" xfId="0" applyNumberFormat="1" applyFill="1" applyBorder="1" applyAlignment="1">
      <alignment horizontal="right"/>
    </xf>
    <xf numFmtId="38" fontId="0" fillId="0" borderId="10" xfId="0" applyNumberFormat="1" applyFont="1" applyBorder="1" applyAlignment="1">
      <alignment horizontal="right" vertical="center"/>
    </xf>
    <xf numFmtId="38" fontId="0" fillId="0" borderId="12" xfId="0" applyNumberFormat="1" applyBorder="1" applyAlignment="1">
      <alignment/>
    </xf>
    <xf numFmtId="38" fontId="4" fillId="0" borderId="12" xfId="0" applyNumberFormat="1" applyFont="1" applyBorder="1" applyAlignment="1">
      <alignment/>
    </xf>
    <xf numFmtId="7" fontId="0" fillId="0" borderId="10" xfId="0" applyNumberFormat="1" applyBorder="1" applyAlignment="1">
      <alignment horizontal="right"/>
    </xf>
    <xf numFmtId="38" fontId="0" fillId="34" borderId="10" xfId="0" applyNumberFormat="1" applyFill="1" applyBorder="1" applyAlignment="1">
      <alignment horizontal="right"/>
    </xf>
    <xf numFmtId="38" fontId="0" fillId="34" borderId="12" xfId="0" applyNumberFormat="1" applyFill="1" applyBorder="1" applyAlignment="1">
      <alignment horizontal="right"/>
    </xf>
    <xf numFmtId="38" fontId="0" fillId="0" borderId="10" xfId="0" applyNumberFormat="1" applyFont="1" applyFill="1" applyBorder="1" applyAlignment="1">
      <alignment/>
    </xf>
    <xf numFmtId="38" fontId="4" fillId="0" borderId="12" xfId="0" applyNumberFormat="1" applyFont="1" applyFill="1" applyBorder="1" applyAlignment="1">
      <alignment horizontal="right"/>
    </xf>
    <xf numFmtId="0" fontId="0" fillId="0" borderId="10" xfId="0" applyFont="1" applyBorder="1" applyAlignment="1">
      <alignment horizontal="right"/>
    </xf>
    <xf numFmtId="0" fontId="0" fillId="0" borderId="10" xfId="0" applyFont="1" applyFill="1" applyBorder="1" applyAlignment="1">
      <alignment horizontal="right"/>
    </xf>
    <xf numFmtId="3" fontId="4" fillId="0" borderId="14" xfId="0" applyNumberFormat="1" applyFont="1" applyFill="1" applyBorder="1" applyAlignment="1">
      <alignment horizontal="right"/>
    </xf>
    <xf numFmtId="38" fontId="0" fillId="0" borderId="0" xfId="0" applyNumberFormat="1" applyFont="1" applyFill="1" applyBorder="1" applyAlignment="1">
      <alignment horizontal="center"/>
    </xf>
    <xf numFmtId="38" fontId="0" fillId="0" borderId="14" xfId="0" applyNumberFormat="1" applyFill="1" applyBorder="1" applyAlignment="1">
      <alignment horizontal="right"/>
    </xf>
    <xf numFmtId="38" fontId="4"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7" fillId="0" borderId="0" xfId="0" applyFont="1" applyFill="1" applyAlignment="1">
      <alignment/>
    </xf>
    <xf numFmtId="0" fontId="0" fillId="0" borderId="10" xfId="59" applyFont="1" applyFill="1" applyBorder="1" applyAlignment="1">
      <alignment horizontal="left" wrapText="1" indent="2"/>
      <protection/>
    </xf>
    <xf numFmtId="0" fontId="0" fillId="0" borderId="10" xfId="0" applyFont="1" applyFill="1" applyBorder="1" applyAlignment="1">
      <alignment horizontal="left" indent="2"/>
    </xf>
    <xf numFmtId="3" fontId="0" fillId="0" borderId="10" xfId="0" applyNumberFormat="1" applyFill="1" applyBorder="1" applyAlignment="1">
      <alignment horizontal="left" indent="1"/>
    </xf>
    <xf numFmtId="0" fontId="0" fillId="0" borderId="10" xfId="0" applyFill="1" applyBorder="1" applyAlignment="1">
      <alignment horizontal="left" indent="1"/>
    </xf>
    <xf numFmtId="0" fontId="0" fillId="0" borderId="0" xfId="0" applyFill="1" applyAlignment="1">
      <alignment horizontal="left"/>
    </xf>
    <xf numFmtId="0" fontId="0" fillId="0" borderId="10" xfId="0" applyFont="1" applyFill="1" applyBorder="1" applyAlignment="1">
      <alignment horizontal="left"/>
    </xf>
    <xf numFmtId="0" fontId="4" fillId="0" borderId="0" xfId="0" applyFont="1" applyFill="1" applyAlignment="1">
      <alignment horizontal="left"/>
    </xf>
    <xf numFmtId="8" fontId="4" fillId="0" borderId="10" xfId="0" applyNumberFormat="1" applyFont="1" applyFill="1" applyBorder="1" applyAlignment="1">
      <alignment horizontal="left"/>
    </xf>
    <xf numFmtId="3" fontId="4" fillId="0" borderId="0" xfId="0" applyNumberFormat="1" applyFont="1" applyFill="1" applyBorder="1" applyAlignment="1">
      <alignment horizontal="center" vertical="center"/>
    </xf>
    <xf numFmtId="164" fontId="0" fillId="0" borderId="10" xfId="0" applyNumberFormat="1" applyBorder="1" applyAlignment="1">
      <alignment horizontal="right"/>
    </xf>
    <xf numFmtId="164" fontId="0" fillId="0" borderId="10" xfId="0" applyNumberFormat="1" applyBorder="1" applyAlignment="1">
      <alignment horizontal="center"/>
    </xf>
    <xf numFmtId="0" fontId="4" fillId="0" borderId="11" xfId="0" applyFont="1" applyBorder="1" applyAlignment="1">
      <alignment horizontal="left"/>
    </xf>
    <xf numFmtId="169" fontId="4" fillId="0" borderId="10" xfId="0" applyNumberFormat="1" applyFont="1" applyBorder="1" applyAlignment="1">
      <alignment horizontal="center"/>
    </xf>
    <xf numFmtId="0" fontId="4" fillId="0" borderId="0" xfId="0" applyFont="1" applyBorder="1" applyAlignment="1">
      <alignment wrapText="1"/>
    </xf>
    <xf numFmtId="0" fontId="14" fillId="0" borderId="0" xfId="0" applyFont="1" applyFill="1" applyAlignment="1">
      <alignment horizontal="center" wrapText="1"/>
    </xf>
    <xf numFmtId="0" fontId="14" fillId="0" borderId="0" xfId="0" applyFont="1" applyFill="1" applyBorder="1" applyAlignment="1">
      <alignment horizontal="center" wrapText="1"/>
    </xf>
    <xf numFmtId="0" fontId="4" fillId="0" borderId="0" xfId="0" applyNumberFormat="1" applyFont="1" applyBorder="1" applyAlignment="1">
      <alignment horizontal="center" wrapText="1"/>
    </xf>
    <xf numFmtId="8" fontId="4" fillId="0" borderId="0" xfId="0" applyNumberFormat="1" applyFont="1" applyBorder="1" applyAlignment="1">
      <alignment horizontal="center" wrapText="1"/>
    </xf>
    <xf numFmtId="8" fontId="14" fillId="0" borderId="0" xfId="0" applyNumberFormat="1" applyFont="1" applyFill="1" applyAlignment="1">
      <alignment horizontal="center" wrapText="1"/>
    </xf>
    <xf numFmtId="3" fontId="4" fillId="0" borderId="0" xfId="0" applyNumberFormat="1" applyFont="1" applyAlignment="1">
      <alignment horizontal="center" wrapText="1"/>
    </xf>
    <xf numFmtId="0" fontId="4" fillId="0" borderId="0" xfId="57" applyFont="1" applyBorder="1" applyAlignment="1">
      <alignment horizontal="center" wrapText="1"/>
      <protection/>
    </xf>
    <xf numFmtId="0" fontId="4" fillId="0" borderId="0" xfId="0" applyNumberFormat="1" applyFont="1" applyFill="1" applyAlignment="1">
      <alignment horizontal="center"/>
    </xf>
    <xf numFmtId="0" fontId="14" fillId="0" borderId="0" xfId="0" applyNumberFormat="1" applyFont="1" applyFill="1" applyAlignment="1">
      <alignment horizontal="center" wrapText="1"/>
    </xf>
    <xf numFmtId="0" fontId="4" fillId="0" borderId="10" xfId="0" applyFont="1" applyBorder="1" applyAlignment="1">
      <alignment horizontal="center"/>
    </xf>
    <xf numFmtId="3" fontId="4" fillId="0" borderId="10" xfId="0" applyNumberFormat="1" applyFont="1" applyBorder="1" applyAlignment="1">
      <alignment horizontal="center"/>
    </xf>
    <xf numFmtId="3" fontId="0" fillId="0" borderId="10" xfId="0" applyNumberFormat="1" applyFont="1" applyBorder="1" applyAlignment="1">
      <alignment horizontal="center"/>
    </xf>
    <xf numFmtId="0" fontId="0" fillId="0" borderId="10" xfId="0" applyFont="1" applyBorder="1" applyAlignment="1">
      <alignment horizontal="center"/>
    </xf>
    <xf numFmtId="38" fontId="4" fillId="0" borderId="0" xfId="0" applyNumberFormat="1" applyFont="1" applyBorder="1" applyAlignment="1">
      <alignment/>
    </xf>
    <xf numFmtId="38" fontId="4" fillId="0" borderId="0" xfId="0" applyNumberFormat="1" applyFont="1" applyFill="1" applyBorder="1" applyAlignment="1">
      <alignment/>
    </xf>
    <xf numFmtId="0" fontId="3" fillId="0" borderId="0" xfId="0" applyFont="1" applyAlignment="1">
      <alignment/>
    </xf>
    <xf numFmtId="38" fontId="0" fillId="0" borderId="15" xfId="0" applyNumberFormat="1" applyFill="1" applyBorder="1" applyAlignment="1">
      <alignment horizontal="right"/>
    </xf>
    <xf numFmtId="38" fontId="4" fillId="0" borderId="15" xfId="0" applyNumberFormat="1" applyFont="1" applyFill="1" applyBorder="1" applyAlignment="1">
      <alignment horizontal="right"/>
    </xf>
    <xf numFmtId="38" fontId="4" fillId="0" borderId="17" xfId="0" applyNumberFormat="1" applyFont="1" applyFill="1" applyBorder="1" applyAlignment="1">
      <alignment horizontal="right"/>
    </xf>
    <xf numFmtId="0" fontId="0" fillId="0" borderId="11" xfId="0" applyFont="1" applyFill="1" applyBorder="1" applyAlignment="1">
      <alignment horizontal="center"/>
    </xf>
    <xf numFmtId="182" fontId="0" fillId="0" borderId="0" xfId="0" applyNumberFormat="1" applyFill="1" applyBorder="1" applyAlignment="1">
      <alignment/>
    </xf>
    <xf numFmtId="182" fontId="0" fillId="0" borderId="0" xfId="0" applyNumberFormat="1" applyFill="1" applyAlignment="1">
      <alignment/>
    </xf>
    <xf numFmtId="182" fontId="0" fillId="0" borderId="0" xfId="0" applyNumberFormat="1" applyAlignment="1">
      <alignment/>
    </xf>
    <xf numFmtId="0" fontId="0" fillId="35" borderId="0" xfId="0" applyFill="1" applyBorder="1" applyAlignment="1">
      <alignment horizontal="center"/>
    </xf>
    <xf numFmtId="0" fontId="0" fillId="35" borderId="0" xfId="0" applyFont="1" applyFill="1" applyAlignment="1">
      <alignment horizontal="center"/>
    </xf>
    <xf numFmtId="2" fontId="0" fillId="35" borderId="0" xfId="0" applyNumberFormat="1" applyFill="1" applyBorder="1" applyAlignment="1">
      <alignment/>
    </xf>
    <xf numFmtId="2" fontId="0" fillId="35" borderId="0" xfId="0" applyNumberFormat="1" applyFill="1" applyAlignment="1">
      <alignment/>
    </xf>
    <xf numFmtId="168" fontId="0" fillId="35" borderId="0" xfId="0" applyNumberFormat="1" applyFill="1" applyBorder="1" applyAlignment="1">
      <alignment/>
    </xf>
    <xf numFmtId="0" fontId="0" fillId="35" borderId="0" xfId="0" applyFill="1" applyBorder="1" applyAlignment="1">
      <alignment/>
    </xf>
    <xf numFmtId="0" fontId="0" fillId="35" borderId="0" xfId="0" applyFill="1" applyAlignment="1">
      <alignment/>
    </xf>
    <xf numFmtId="0" fontId="7" fillId="36" borderId="0" xfId="0" applyFont="1" applyFill="1" applyAlignment="1">
      <alignment horizontal="center"/>
    </xf>
    <xf numFmtId="169" fontId="0" fillId="0" borderId="10" xfId="0" applyNumberFormat="1" applyFont="1" applyFill="1" applyBorder="1" applyAlignment="1">
      <alignment/>
    </xf>
    <xf numFmtId="6" fontId="0" fillId="34" borderId="10" xfId="0" applyNumberFormat="1" applyFill="1" applyBorder="1" applyAlignment="1">
      <alignment horizontal="right"/>
    </xf>
    <xf numFmtId="8" fontId="0" fillId="34" borderId="10" xfId="0" applyNumberFormat="1" applyFill="1" applyBorder="1" applyAlignment="1">
      <alignment horizontal="right"/>
    </xf>
    <xf numFmtId="0" fontId="4" fillId="37" borderId="0" xfId="0" applyFont="1" applyFill="1" applyBorder="1" applyAlignment="1">
      <alignment/>
    </xf>
    <xf numFmtId="0" fontId="0" fillId="37" borderId="10" xfId="0" applyFont="1" applyFill="1" applyBorder="1" applyAlignment="1">
      <alignment/>
    </xf>
    <xf numFmtId="6" fontId="0" fillId="37" borderId="10" xfId="0" applyNumberFormat="1" applyFill="1" applyBorder="1" applyAlignment="1">
      <alignment horizontal="right"/>
    </xf>
    <xf numFmtId="8" fontId="0" fillId="37" borderId="10" xfId="0" applyNumberFormat="1" applyFill="1" applyBorder="1" applyAlignment="1">
      <alignment horizontal="right"/>
    </xf>
    <xf numFmtId="0" fontId="0" fillId="37" borderId="0" xfId="0" applyFill="1" applyBorder="1" applyAlignment="1">
      <alignment horizontal="left"/>
    </xf>
    <xf numFmtId="0" fontId="0" fillId="37" borderId="0" xfId="0" applyFill="1" applyBorder="1" applyAlignment="1">
      <alignment horizontal="right"/>
    </xf>
    <xf numFmtId="49" fontId="0" fillId="37" borderId="0" xfId="0" applyNumberFormat="1" applyFill="1" applyBorder="1" applyAlignment="1">
      <alignment horizontal="right"/>
    </xf>
    <xf numFmtId="8" fontId="0" fillId="37" borderId="0" xfId="0" applyNumberFormat="1" applyFill="1" applyBorder="1" applyAlignment="1">
      <alignment horizontal="right"/>
    </xf>
    <xf numFmtId="0" fontId="0" fillId="37" borderId="0" xfId="0" applyFill="1" applyBorder="1" applyAlignment="1">
      <alignment horizontal="center"/>
    </xf>
    <xf numFmtId="0" fontId="4" fillId="37" borderId="0" xfId="0" applyFont="1" applyFill="1" applyBorder="1" applyAlignment="1">
      <alignment horizontal="left"/>
    </xf>
    <xf numFmtId="38" fontId="0" fillId="37" borderId="10" xfId="0" applyNumberFormat="1" applyFill="1" applyBorder="1" applyAlignment="1">
      <alignment horizontal="right"/>
    </xf>
    <xf numFmtId="38" fontId="0" fillId="37" borderId="15" xfId="0" applyNumberFormat="1" applyFill="1" applyBorder="1" applyAlignment="1">
      <alignment horizontal="right"/>
    </xf>
    <xf numFmtId="38" fontId="0" fillId="37" borderId="0" xfId="0" applyNumberFormat="1" applyFill="1" applyBorder="1" applyAlignment="1">
      <alignment horizontal="right"/>
    </xf>
    <xf numFmtId="169" fontId="0" fillId="34" borderId="10" xfId="0" applyNumberFormat="1" applyFill="1" applyBorder="1" applyAlignment="1">
      <alignment horizontal="right"/>
    </xf>
    <xf numFmtId="6" fontId="0" fillId="34" borderId="10" xfId="0" applyNumberFormat="1" applyFill="1" applyBorder="1" applyAlignment="1">
      <alignment/>
    </xf>
    <xf numFmtId="3" fontId="0" fillId="34" borderId="10" xfId="0" applyNumberFormat="1" applyFill="1" applyBorder="1" applyAlignment="1">
      <alignment horizontal="right"/>
    </xf>
    <xf numFmtId="0" fontId="4" fillId="0" borderId="0" xfId="0" applyFont="1" applyBorder="1" applyAlignment="1">
      <alignment horizontal="left" vertical="center" wrapText="1"/>
    </xf>
    <xf numFmtId="0" fontId="14" fillId="0" borderId="10" xfId="0" applyFont="1" applyBorder="1" applyAlignment="1">
      <alignment horizontal="left"/>
    </xf>
    <xf numFmtId="3" fontId="0" fillId="0" borderId="10" xfId="0" applyNumberFormat="1" applyFont="1" applyBorder="1" applyAlignment="1">
      <alignment horizontal="left"/>
    </xf>
    <xf numFmtId="0" fontId="3" fillId="0" borderId="0" xfId="0" applyFont="1" applyBorder="1" applyAlignment="1">
      <alignment/>
    </xf>
    <xf numFmtId="0" fontId="0" fillId="0" borderId="0" xfId="0" applyFill="1" applyAlignment="1" quotePrefix="1">
      <alignment/>
    </xf>
    <xf numFmtId="0" fontId="4" fillId="0" borderId="0" xfId="0" applyFont="1" applyAlignment="1">
      <alignment horizontal="center" vertical="center"/>
    </xf>
    <xf numFmtId="0" fontId="8" fillId="0" borderId="0" xfId="0" applyFont="1" applyAlignment="1">
      <alignment/>
    </xf>
    <xf numFmtId="164" fontId="0" fillId="0" borderId="11" xfId="0" applyNumberFormat="1" applyFill="1" applyBorder="1" applyAlignment="1">
      <alignment/>
    </xf>
    <xf numFmtId="8" fontId="4" fillId="0" borderId="10" xfId="0" applyNumberFormat="1" applyFont="1" applyFill="1" applyBorder="1" applyAlignment="1">
      <alignment/>
    </xf>
    <xf numFmtId="0" fontId="4" fillId="0" borderId="17" xfId="0" applyFont="1" applyBorder="1" applyAlignment="1">
      <alignment/>
    </xf>
    <xf numFmtId="38" fontId="4" fillId="0" borderId="17" xfId="0" applyNumberFormat="1" applyFont="1" applyBorder="1" applyAlignment="1">
      <alignment/>
    </xf>
    <xf numFmtId="38" fontId="4" fillId="0" borderId="11" xfId="0" applyNumberFormat="1" applyFont="1" applyBorder="1" applyAlignment="1">
      <alignment/>
    </xf>
    <xf numFmtId="38" fontId="0" fillId="0" borderId="11" xfId="0" applyNumberFormat="1" applyFont="1" applyBorder="1" applyAlignment="1">
      <alignment horizontal="center"/>
    </xf>
    <xf numFmtId="0" fontId="4" fillId="0" borderId="14" xfId="0" applyFont="1" applyBorder="1" applyAlignment="1">
      <alignment horizontal="left"/>
    </xf>
    <xf numFmtId="6" fontId="0" fillId="0" borderId="14" xfId="0" applyNumberFormat="1" applyFont="1" applyBorder="1" applyAlignment="1">
      <alignment horizontal="right" vertical="center"/>
    </xf>
    <xf numFmtId="38" fontId="0" fillId="0" borderId="17" xfId="0" applyNumberFormat="1" applyBorder="1" applyAlignment="1">
      <alignment/>
    </xf>
    <xf numFmtId="38" fontId="0" fillId="0" borderId="11" xfId="0" applyNumberFormat="1" applyBorder="1" applyAlignment="1">
      <alignment/>
    </xf>
    <xf numFmtId="0" fontId="0" fillId="0" borderId="17" xfId="0" applyBorder="1" applyAlignment="1">
      <alignment horizontal="left" indent="1"/>
    </xf>
    <xf numFmtId="0" fontId="19" fillId="0" borderId="0" xfId="0" applyFont="1" applyBorder="1" applyAlignment="1">
      <alignment horizontal="left"/>
    </xf>
    <xf numFmtId="0" fontId="9" fillId="0" borderId="0" xfId="0" applyFont="1" applyBorder="1" applyAlignment="1">
      <alignment/>
    </xf>
    <xf numFmtId="0" fontId="9" fillId="0" borderId="11" xfId="0" applyFont="1" applyBorder="1" applyAlignment="1">
      <alignment/>
    </xf>
    <xf numFmtId="0" fontId="20" fillId="0" borderId="0" xfId="0" applyFont="1" applyBorder="1" applyAlignment="1">
      <alignment horizontal="left"/>
    </xf>
    <xf numFmtId="10" fontId="0" fillId="0" borderId="10" xfId="0" applyNumberFormat="1" applyFont="1" applyBorder="1" applyAlignment="1">
      <alignment horizontal="center" vertical="center"/>
    </xf>
    <xf numFmtId="0" fontId="0" fillId="0" borderId="0" xfId="0" applyFont="1" applyBorder="1" applyAlignment="1">
      <alignment/>
    </xf>
    <xf numFmtId="0" fontId="9" fillId="0" borderId="0" xfId="0" applyFont="1" applyFill="1" applyAlignment="1">
      <alignment/>
    </xf>
    <xf numFmtId="0" fontId="4" fillId="0" borderId="10" xfId="59" applyFont="1" applyFill="1" applyBorder="1" applyAlignment="1">
      <alignment horizontal="left" wrapText="1" indent="1"/>
      <protection/>
    </xf>
    <xf numFmtId="0" fontId="5" fillId="0" borderId="18" xfId="59" applyFont="1" applyFill="1" applyBorder="1" applyAlignment="1">
      <alignment wrapText="1"/>
      <protection/>
    </xf>
    <xf numFmtId="3" fontId="4" fillId="0" borderId="19" xfId="0" applyNumberFormat="1" applyFont="1" applyFill="1" applyBorder="1" applyAlignment="1">
      <alignment horizontal="right"/>
    </xf>
    <xf numFmtId="0" fontId="5" fillId="0" borderId="12" xfId="59" applyFont="1" applyFill="1" applyBorder="1" applyAlignment="1">
      <alignment wrapText="1"/>
      <protection/>
    </xf>
    <xf numFmtId="3" fontId="4" fillId="0" borderId="19" xfId="0" applyNumberFormat="1" applyFont="1" applyBorder="1" applyAlignment="1">
      <alignment horizontal="center"/>
    </xf>
    <xf numFmtId="0" fontId="5" fillId="0" borderId="12" xfId="59" applyFont="1" applyFill="1" applyBorder="1" applyAlignment="1">
      <alignment horizontal="left" wrapText="1" indent="1"/>
      <protection/>
    </xf>
    <xf numFmtId="3" fontId="4" fillId="0" borderId="15" xfId="0" applyNumberFormat="1" applyFont="1" applyBorder="1" applyAlignment="1">
      <alignment horizontal="right"/>
    </xf>
    <xf numFmtId="0" fontId="4" fillId="0" borderId="10" xfId="59" applyFont="1" applyBorder="1" applyAlignment="1">
      <alignment horizontal="left" wrapText="1"/>
      <protection/>
    </xf>
    <xf numFmtId="38" fontId="4" fillId="0" borderId="15" xfId="0" applyNumberFormat="1" applyFont="1" applyBorder="1" applyAlignment="1">
      <alignment horizontal="right"/>
    </xf>
    <xf numFmtId="0" fontId="4" fillId="0" borderId="10" xfId="0" applyFont="1" applyBorder="1" applyAlignment="1">
      <alignment horizontal="left" indent="1"/>
    </xf>
    <xf numFmtId="0" fontId="0" fillId="0" borderId="10" xfId="0" applyFont="1" applyFill="1" applyBorder="1" applyAlignment="1">
      <alignment horizontal="left" indent="3"/>
    </xf>
    <xf numFmtId="0" fontId="13" fillId="0" borderId="0" xfId="0" applyFont="1" applyBorder="1" applyAlignment="1">
      <alignment horizontal="left"/>
    </xf>
    <xf numFmtId="0" fontId="7" fillId="0" borderId="0" xfId="0" applyFont="1" applyBorder="1" applyAlignment="1">
      <alignment/>
    </xf>
    <xf numFmtId="3" fontId="0" fillId="0" borderId="0" xfId="0" applyNumberFormat="1" applyFont="1" applyBorder="1" applyAlignment="1">
      <alignment/>
    </xf>
    <xf numFmtId="0" fontId="0" fillId="0" borderId="10" xfId="0" applyFont="1" applyFill="1" applyBorder="1" applyAlignment="1">
      <alignment horizontal="center"/>
    </xf>
    <xf numFmtId="0" fontId="4" fillId="0" borderId="0" xfId="0" applyFont="1" applyBorder="1" applyAlignment="1">
      <alignment/>
    </xf>
    <xf numFmtId="0" fontId="0" fillId="0" borderId="12" xfId="0" applyFont="1" applyBorder="1" applyAlignment="1">
      <alignment horizontal="left"/>
    </xf>
    <xf numFmtId="0" fontId="0" fillId="0" borderId="12" xfId="0" applyBorder="1" applyAlignment="1">
      <alignment horizontal="left"/>
    </xf>
    <xf numFmtId="0" fontId="4" fillId="0" borderId="0" xfId="0" applyFont="1" applyAlignment="1">
      <alignment/>
    </xf>
    <xf numFmtId="0" fontId="0" fillId="0" borderId="11" xfId="0" applyFill="1" applyBorder="1" applyAlignment="1">
      <alignment horizontal="left"/>
    </xf>
    <xf numFmtId="0" fontId="0" fillId="0" borderId="11" xfId="0" applyFill="1" applyBorder="1" applyAlignment="1">
      <alignment horizontal="center"/>
    </xf>
    <xf numFmtId="3" fontId="0" fillId="0" borderId="11" xfId="0" applyNumberFormat="1" applyFill="1" applyBorder="1" applyAlignment="1">
      <alignment horizontal="center"/>
    </xf>
    <xf numFmtId="0" fontId="4" fillId="0" borderId="11" xfId="0" applyFont="1" applyFill="1" applyBorder="1" applyAlignment="1">
      <alignment horizontal="left"/>
    </xf>
    <xf numFmtId="0" fontId="0" fillId="0" borderId="10" xfId="57" applyBorder="1" applyAlignment="1">
      <alignment horizontal="left" indent="1"/>
      <protection/>
    </xf>
    <xf numFmtId="0" fontId="4" fillId="0" borderId="10" xfId="57" applyFont="1" applyBorder="1" applyAlignment="1">
      <alignment horizontal="left"/>
      <protection/>
    </xf>
    <xf numFmtId="6" fontId="4" fillId="0" borderId="10" xfId="57" applyNumberFormat="1" applyFont="1" applyBorder="1" applyAlignment="1">
      <alignment horizontal="right"/>
      <protection/>
    </xf>
    <xf numFmtId="6" fontId="4" fillId="0" borderId="10" xfId="57" applyNumberFormat="1" applyFont="1" applyFill="1" applyBorder="1" applyAlignment="1">
      <alignment horizontal="right"/>
      <protection/>
    </xf>
    <xf numFmtId="0" fontId="3" fillId="0" borderId="0" xfId="0" applyFont="1" applyBorder="1" applyAlignment="1">
      <alignment vertical="top" wrapText="1"/>
    </xf>
    <xf numFmtId="0" fontId="4" fillId="37" borderId="10" xfId="0" applyFont="1" applyFill="1" applyBorder="1" applyAlignment="1">
      <alignment horizontal="left"/>
    </xf>
    <xf numFmtId="6" fontId="4" fillId="37" borderId="10" xfId="0" applyNumberFormat="1" applyFont="1" applyFill="1" applyBorder="1" applyAlignment="1">
      <alignment horizontal="right"/>
    </xf>
    <xf numFmtId="8" fontId="4" fillId="37" borderId="10" xfId="0" applyNumberFormat="1" applyFont="1" applyFill="1" applyBorder="1" applyAlignment="1">
      <alignment horizontal="right"/>
    </xf>
    <xf numFmtId="0" fontId="0" fillId="37" borderId="10" xfId="0" applyFill="1" applyBorder="1" applyAlignment="1">
      <alignment horizontal="left" indent="1"/>
    </xf>
    <xf numFmtId="38" fontId="4" fillId="37" borderId="10" xfId="0" applyNumberFormat="1" applyFont="1" applyFill="1" applyBorder="1" applyAlignment="1">
      <alignment horizontal="right"/>
    </xf>
    <xf numFmtId="0" fontId="4" fillId="37" borderId="0" xfId="0" applyFont="1" applyFill="1" applyBorder="1" applyAlignment="1">
      <alignment horizontal="center" wrapText="1"/>
    </xf>
    <xf numFmtId="0" fontId="0" fillId="37" borderId="10" xfId="0" applyFont="1" applyFill="1" applyBorder="1" applyAlignment="1">
      <alignment horizontal="left" indent="1"/>
    </xf>
    <xf numFmtId="0" fontId="22" fillId="0" borderId="10" xfId="59" applyFont="1" applyFill="1" applyBorder="1" applyAlignment="1">
      <alignment wrapText="1"/>
      <protection/>
    </xf>
    <xf numFmtId="0" fontId="13" fillId="0" borderId="0" xfId="0" applyFont="1" applyFill="1" applyAlignment="1">
      <alignment/>
    </xf>
    <xf numFmtId="0" fontId="0" fillId="0" borderId="0" xfId="0" applyFont="1" applyFill="1" applyAlignment="1" quotePrefix="1">
      <alignment/>
    </xf>
    <xf numFmtId="40" fontId="0" fillId="0" borderId="10" xfId="0" applyNumberFormat="1" applyFill="1" applyBorder="1" applyAlignment="1">
      <alignment/>
    </xf>
    <xf numFmtId="2" fontId="0" fillId="0" borderId="10" xfId="0" applyNumberFormat="1" applyFill="1" applyBorder="1" applyAlignment="1">
      <alignment/>
    </xf>
    <xf numFmtId="2" fontId="4" fillId="0" borderId="10" xfId="0" applyNumberFormat="1" applyFont="1" applyFill="1" applyBorder="1" applyAlignment="1">
      <alignment/>
    </xf>
    <xf numFmtId="40" fontId="4" fillId="0" borderId="10" xfId="0" applyNumberFormat="1" applyFont="1" applyBorder="1" applyAlignment="1">
      <alignment/>
    </xf>
    <xf numFmtId="40" fontId="0" fillId="0" borderId="10" xfId="0" applyNumberFormat="1" applyBorder="1" applyAlignment="1">
      <alignment/>
    </xf>
    <xf numFmtId="176" fontId="4" fillId="0" borderId="10" xfId="0" applyNumberFormat="1" applyFont="1" applyBorder="1" applyAlignment="1">
      <alignment horizontal="center"/>
    </xf>
    <xf numFmtId="176" fontId="4" fillId="0" borderId="10" xfId="0" applyNumberFormat="1" applyFont="1" applyFill="1" applyBorder="1" applyAlignment="1">
      <alignment horizontal="center"/>
    </xf>
    <xf numFmtId="38" fontId="4" fillId="0" borderId="10" xfId="0" applyNumberFormat="1" applyFont="1" applyBorder="1" applyAlignment="1">
      <alignment horizontal="center"/>
    </xf>
    <xf numFmtId="38" fontId="4" fillId="0" borderId="10" xfId="0" applyNumberFormat="1" applyFont="1" applyFill="1" applyBorder="1" applyAlignment="1">
      <alignment horizontal="center"/>
    </xf>
    <xf numFmtId="3" fontId="0" fillId="0" borderId="10" xfId="0" applyNumberFormat="1" applyFont="1" applyFill="1" applyBorder="1" applyAlignment="1">
      <alignment horizontal="center"/>
    </xf>
    <xf numFmtId="6" fontId="0" fillId="34" borderId="10" xfId="0" applyNumberFormat="1" applyFill="1" applyBorder="1" applyAlignment="1">
      <alignment/>
    </xf>
    <xf numFmtId="169" fontId="0" fillId="34" borderId="10" xfId="0" applyNumberFormat="1" applyFill="1" applyBorder="1" applyAlignment="1">
      <alignment/>
    </xf>
    <xf numFmtId="8" fontId="0" fillId="34" borderId="10" xfId="0" applyNumberFormat="1" applyFill="1" applyBorder="1" applyAlignment="1">
      <alignment/>
    </xf>
    <xf numFmtId="49" fontId="4" fillId="0" borderId="0" xfId="0" applyNumberFormat="1" applyFont="1" applyAlignment="1">
      <alignment horizontal="center" wrapText="1"/>
    </xf>
    <xf numFmtId="49" fontId="4" fillId="0" borderId="0" xfId="0" applyNumberFormat="1" applyFont="1" applyFill="1" applyAlignment="1">
      <alignment horizontal="center" wrapText="1"/>
    </xf>
    <xf numFmtId="6" fontId="0" fillId="34" borderId="10" xfId="0" applyNumberFormat="1" applyFont="1" applyFill="1" applyBorder="1" applyAlignment="1">
      <alignment/>
    </xf>
    <xf numFmtId="3" fontId="4" fillId="0" borderId="0" xfId="0" applyNumberFormat="1" applyFont="1" applyBorder="1" applyAlignment="1">
      <alignment horizontal="center" wrapText="1"/>
    </xf>
    <xf numFmtId="3" fontId="4" fillId="0" borderId="0" xfId="0" applyNumberFormat="1" applyFont="1" applyFill="1" applyBorder="1" applyAlignment="1">
      <alignment horizontal="center" wrapText="1"/>
    </xf>
    <xf numFmtId="0" fontId="4" fillId="0" borderId="10" xfId="0" applyFont="1" applyBorder="1" applyAlignment="1">
      <alignment horizontal="right"/>
    </xf>
    <xf numFmtId="0" fontId="4" fillId="0" borderId="0" xfId="0" applyFont="1" applyBorder="1" applyAlignment="1">
      <alignment horizontal="right"/>
    </xf>
    <xf numFmtId="0" fontId="13" fillId="0" borderId="0" xfId="0" applyFont="1" applyBorder="1" applyAlignment="1">
      <alignment horizontal="right"/>
    </xf>
    <xf numFmtId="0" fontId="4" fillId="0" borderId="0" xfId="0" applyFont="1" applyAlignment="1">
      <alignment horizontal="right"/>
    </xf>
    <xf numFmtId="0" fontId="0" fillId="34" borderId="10" xfId="0" applyFont="1" applyFill="1" applyBorder="1" applyAlignment="1">
      <alignment horizontal="right"/>
    </xf>
    <xf numFmtId="38" fontId="4" fillId="34" borderId="10" xfId="0" applyNumberFormat="1" applyFont="1" applyFill="1" applyBorder="1" applyAlignment="1">
      <alignment horizontal="right"/>
    </xf>
    <xf numFmtId="38" fontId="0" fillId="34" borderId="10" xfId="0" applyNumberFormat="1" applyFont="1" applyFill="1" applyBorder="1" applyAlignment="1">
      <alignment horizontal="right"/>
    </xf>
    <xf numFmtId="38" fontId="0" fillId="34" borderId="10" xfId="0" applyNumberFormat="1" applyFill="1" applyBorder="1" applyAlignment="1">
      <alignment/>
    </xf>
    <xf numFmtId="6" fontId="0" fillId="34" borderId="10" xfId="0" applyNumberFormat="1" applyFont="1" applyFill="1" applyBorder="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15" fillId="0" borderId="17" xfId="0" applyFont="1" applyBorder="1" applyAlignment="1">
      <alignment horizontal="left" vertical="center" wrapText="1"/>
    </xf>
    <xf numFmtId="0" fontId="0" fillId="0" borderId="0" xfId="0" applyFont="1" applyAlignment="1">
      <alignment horizontal="center"/>
    </xf>
    <xf numFmtId="0" fontId="15" fillId="0" borderId="17" xfId="0" applyFont="1" applyBorder="1" applyAlignment="1">
      <alignment horizontal="left" wrapText="1"/>
    </xf>
    <xf numFmtId="0" fontId="15" fillId="0" borderId="17" xfId="0" applyFont="1" applyFill="1" applyBorder="1" applyAlignment="1">
      <alignment horizontal="left" wrapText="1"/>
    </xf>
    <xf numFmtId="0" fontId="3" fillId="0" borderId="0" xfId="0" applyFont="1" applyBorder="1" applyAlignment="1">
      <alignment horizontal="left" vertical="top" wrapText="1"/>
    </xf>
    <xf numFmtId="0" fontId="15" fillId="0" borderId="17" xfId="0" applyFont="1" applyFill="1" applyBorder="1" applyAlignment="1">
      <alignment horizontal="left" vertical="top" wrapText="1"/>
    </xf>
    <xf numFmtId="0" fontId="23" fillId="0" borderId="0" xfId="58" applyFont="1" applyAlignment="1">
      <alignment horizontal="left" vertical="top" wrapText="1"/>
      <protection/>
    </xf>
    <xf numFmtId="0" fontId="19" fillId="0" borderId="0" xfId="0" applyFont="1" applyAlignment="1">
      <alignment horizontal="left"/>
    </xf>
    <xf numFmtId="0" fontId="19" fillId="37" borderId="0" xfId="0" applyFont="1" applyFill="1" applyBorder="1" applyAlignment="1">
      <alignment horizontal="left"/>
    </xf>
    <xf numFmtId="0" fontId="7" fillId="0" borderId="0" xfId="0" applyFont="1" applyAlignment="1">
      <alignment/>
    </xf>
    <xf numFmtId="0" fontId="8" fillId="0" borderId="0" xfId="0" applyFont="1" applyAlignment="1">
      <alignment/>
    </xf>
    <xf numFmtId="0" fontId="4" fillId="0" borderId="17"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RDC Budget and Incentives 000112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Annual Savings from Electric                                       </a:t>
            </a:r>
            <a:r>
              <a:rPr lang="en-US" cap="none" sz="1000" b="1" i="0" u="none" baseline="0">
                <a:solidFill>
                  <a:srgbClr val="000000"/>
                </a:solidFill>
              </a:rPr>
              <a:t>(Annual MWh from measures installed in year shown)</a:t>
            </a:r>
          </a:p>
        </c:rich>
      </c:tx>
      <c:layout>
        <c:manualLayout>
          <c:xMode val="factor"/>
          <c:yMode val="factor"/>
          <c:x val="-0.00175"/>
          <c:y val="-0.01325"/>
        </c:manualLayout>
      </c:layout>
      <c:spPr>
        <a:noFill/>
        <a:ln w="3175">
          <a:noFill/>
        </a:ln>
      </c:spPr>
    </c:title>
    <c:plotArea>
      <c:layout>
        <c:manualLayout>
          <c:xMode val="edge"/>
          <c:yMode val="edge"/>
          <c:x val="-0.00875"/>
          <c:y val="0.13375"/>
          <c:w val="0.9895"/>
          <c:h val="0.86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Charts'!$B$4:$F$4</c:f>
              <c:numCache/>
            </c:numRef>
          </c:val>
        </c:ser>
        <c:axId val="22262423"/>
        <c:axId val="66144080"/>
      </c:barChart>
      <c:catAx>
        <c:axId val="222624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6144080"/>
        <c:crosses val="autoZero"/>
        <c:auto val="1"/>
        <c:lblOffset val="100"/>
        <c:tickLblSkip val="1"/>
        <c:noMultiLvlLbl val="0"/>
      </c:catAx>
      <c:valAx>
        <c:axId val="661440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624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Annual Generation from RE Systems                              </a:t>
            </a:r>
            <a:r>
              <a:rPr lang="en-US" cap="none" sz="1100" b="1" i="0" u="none" baseline="0">
                <a:solidFill>
                  <a:srgbClr val="000000"/>
                </a:solidFill>
              </a:rPr>
              <a:t>(</a:t>
            </a:r>
            <a:r>
              <a:rPr lang="en-US" cap="none" sz="1000" b="1" i="0" u="none" baseline="0">
                <a:solidFill>
                  <a:srgbClr val="000000"/>
                </a:solidFill>
              </a:rPr>
              <a:t>Annual MWh from measures installed in year shown</a:t>
            </a:r>
            <a:r>
              <a:rPr lang="en-US" cap="none" sz="1100" b="1" i="0" u="none" baseline="0">
                <a:solidFill>
                  <a:srgbClr val="000000"/>
                </a:solidFill>
              </a:rPr>
              <a:t>)</a:t>
            </a:r>
          </a:p>
        </c:rich>
      </c:tx>
      <c:layout>
        <c:manualLayout>
          <c:xMode val="factor"/>
          <c:yMode val="factor"/>
          <c:x val="-0.00175"/>
          <c:y val="-0.01325"/>
        </c:manualLayout>
      </c:layout>
      <c:spPr>
        <a:noFill/>
        <a:ln>
          <a:noFill/>
        </a:ln>
      </c:spPr>
    </c:title>
    <c:plotArea>
      <c:layout>
        <c:manualLayout>
          <c:xMode val="edge"/>
          <c:yMode val="edge"/>
          <c:x val="0.001"/>
          <c:y val="0.11625"/>
          <c:w val="0.978"/>
          <c:h val="0.876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Charts'!$B$9:$F$9</c:f>
              <c:numCache/>
            </c:numRef>
          </c:val>
        </c:ser>
        <c:axId val="58425809"/>
        <c:axId val="56070234"/>
      </c:barChart>
      <c:catAx>
        <c:axId val="584258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6070234"/>
        <c:crosses val="autoZero"/>
        <c:auto val="1"/>
        <c:lblOffset val="100"/>
        <c:tickLblSkip val="1"/>
        <c:noMultiLvlLbl val="0"/>
      </c:catAx>
      <c:valAx>
        <c:axId val="560702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258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Annual CO2 Emission Reduction                                       </a:t>
            </a:r>
            <a:r>
              <a:rPr lang="en-US" cap="none" sz="1000" b="1" i="0" u="none" baseline="0">
                <a:solidFill>
                  <a:srgbClr val="000000"/>
                </a:solidFill>
              </a:rPr>
              <a:t>(Metric Tons reduced from measures installed in year shown)</a:t>
            </a:r>
          </a:p>
        </c:rich>
      </c:tx>
      <c:layout>
        <c:manualLayout>
          <c:xMode val="factor"/>
          <c:yMode val="factor"/>
          <c:x val="0.04875"/>
          <c:y val="-0.01075"/>
        </c:manualLayout>
      </c:layout>
      <c:spPr>
        <a:noFill/>
        <a:ln>
          <a:noFill/>
        </a:ln>
      </c:spPr>
    </c:title>
    <c:plotArea>
      <c:layout>
        <c:manualLayout>
          <c:xMode val="edge"/>
          <c:yMode val="edge"/>
          <c:x val="0.0025"/>
          <c:y val="0.142"/>
          <c:w val="0.9765"/>
          <c:h val="0.850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Charts'!$B$14:$F$14</c:f>
              <c:numCache/>
            </c:numRef>
          </c:val>
        </c:ser>
        <c:axId val="34870059"/>
        <c:axId val="45395076"/>
      </c:barChart>
      <c:catAx>
        <c:axId val="348700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395076"/>
        <c:crosses val="autoZero"/>
        <c:auto val="1"/>
        <c:lblOffset val="100"/>
        <c:tickLblSkip val="1"/>
        <c:noMultiLvlLbl val="0"/>
      </c:catAx>
      <c:valAx>
        <c:axId val="453950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700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Annual Savings from Natural Gas                          </a:t>
            </a:r>
            <a:r>
              <a:rPr lang="en-US" cap="none" sz="1000" b="1" i="0" u="none" baseline="0">
                <a:solidFill>
                  <a:srgbClr val="000000"/>
                </a:solidFill>
              </a:rPr>
              <a:t>(Annual Dtherms from measures installed in year shown)</a:t>
            </a:r>
          </a:p>
        </c:rich>
      </c:tx>
      <c:layout>
        <c:manualLayout>
          <c:xMode val="factor"/>
          <c:yMode val="factor"/>
          <c:x val="-0.0035"/>
          <c:y val="-0.01325"/>
        </c:manualLayout>
      </c:layout>
      <c:spPr>
        <a:noFill/>
        <a:ln w="3175">
          <a:noFill/>
        </a:ln>
      </c:spPr>
    </c:title>
    <c:plotArea>
      <c:layout>
        <c:manualLayout>
          <c:xMode val="edge"/>
          <c:yMode val="edge"/>
          <c:x val="0.00275"/>
          <c:y val="0.141"/>
          <c:w val="0.97775"/>
          <c:h val="0.85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Charts'!$B$5:$F$5</c:f>
              <c:numCache/>
            </c:numRef>
          </c:val>
        </c:ser>
        <c:axId val="5902501"/>
        <c:axId val="53122510"/>
      </c:barChart>
      <c:catAx>
        <c:axId val="59025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122510"/>
        <c:crosses val="autoZero"/>
        <c:auto val="1"/>
        <c:lblOffset val="100"/>
        <c:tickLblSkip val="1"/>
        <c:noMultiLvlLbl val="0"/>
      </c:catAx>
      <c:valAx>
        <c:axId val="531225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25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Annual Generation from CHP Systems                     </a:t>
            </a:r>
            <a:r>
              <a:rPr lang="en-US" cap="none" sz="1000" b="1" i="0" u="none" baseline="0">
                <a:solidFill>
                  <a:srgbClr val="000000"/>
                </a:solidFill>
              </a:rPr>
              <a:t>(Annual MWh from measures installed in year shown)</a:t>
            </a:r>
          </a:p>
        </c:rich>
      </c:tx>
      <c:layout>
        <c:manualLayout>
          <c:xMode val="factor"/>
          <c:yMode val="factor"/>
          <c:x val="-0.0035"/>
          <c:y val="-0.01325"/>
        </c:manualLayout>
      </c:layout>
      <c:spPr>
        <a:noFill/>
        <a:ln>
          <a:noFill/>
        </a:ln>
      </c:spPr>
    </c:title>
    <c:plotArea>
      <c:layout>
        <c:manualLayout>
          <c:xMode val="edge"/>
          <c:yMode val="edge"/>
          <c:x val="0.001"/>
          <c:y val="0.14325"/>
          <c:w val="0.978"/>
          <c:h val="0.85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Charts'!$B$10:$F$10</c:f>
              <c:numCache/>
            </c:numRef>
          </c:val>
        </c:ser>
        <c:axId val="8340543"/>
        <c:axId val="7956024"/>
      </c:barChart>
      <c:catAx>
        <c:axId val="83405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7956024"/>
        <c:crosses val="autoZero"/>
        <c:auto val="1"/>
        <c:lblOffset val="100"/>
        <c:tickLblSkip val="1"/>
        <c:noMultiLvlLbl val="0"/>
      </c:catAx>
      <c:valAx>
        <c:axId val="79560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405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rPr>
              <a:t>EE Savings  + RE Generation                                    </a:t>
            </a:r>
            <a:r>
              <a:rPr lang="en-US" cap="none" sz="1800" b="1" i="0" u="none" baseline="0">
                <a:solidFill>
                  <a:srgbClr val="000000"/>
                </a:solidFill>
              </a:rPr>
              <a:t> </a:t>
            </a:r>
            <a:r>
              <a:rPr lang="en-US" cap="none" sz="1000" b="1" i="0" u="none" baseline="0">
                <a:solidFill>
                  <a:srgbClr val="000000"/>
                </a:solidFill>
              </a:rPr>
              <a:t>(Annual MWh from measures installed in year shown)</a:t>
            </a:r>
          </a:p>
        </c:rich>
      </c:tx>
      <c:layout>
        <c:manualLayout>
          <c:xMode val="factor"/>
          <c:yMode val="factor"/>
          <c:x val="-0.00175"/>
          <c:y val="-0.01325"/>
        </c:manualLayout>
      </c:layout>
      <c:spPr>
        <a:noFill/>
        <a:ln>
          <a:noFill/>
        </a:ln>
      </c:spPr>
    </c:title>
    <c:plotArea>
      <c:layout>
        <c:manualLayout>
          <c:xMode val="edge"/>
          <c:yMode val="edge"/>
          <c:x val="-0.00875"/>
          <c:y val="0.1395"/>
          <c:w val="0.98"/>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 Charts'!$B$3:$F$3</c:f>
              <c:strCache/>
            </c:strRef>
          </c:cat>
          <c:val>
            <c:numRef>
              <c:f>'Bar Charts'!$B$11:$F$11</c:f>
              <c:numCache/>
            </c:numRef>
          </c:val>
        </c:ser>
        <c:axId val="4495353"/>
        <c:axId val="40458178"/>
      </c:barChart>
      <c:catAx>
        <c:axId val="44953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0458178"/>
        <c:crosses val="autoZero"/>
        <c:auto val="1"/>
        <c:lblOffset val="100"/>
        <c:tickLblSkip val="1"/>
        <c:noMultiLvlLbl val="0"/>
      </c:catAx>
      <c:valAx>
        <c:axId val="404581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53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Annual Budget</a:t>
            </a:r>
          </a:p>
        </c:rich>
      </c:tx>
      <c:layout>
        <c:manualLayout>
          <c:xMode val="factor"/>
          <c:yMode val="factor"/>
          <c:x val="-0.0015"/>
          <c:y val="-0.0125"/>
        </c:manualLayout>
      </c:layout>
      <c:spPr>
        <a:noFill/>
        <a:ln w="3175">
          <a:noFill/>
        </a:ln>
      </c:spPr>
    </c:title>
    <c:plotArea>
      <c:layout>
        <c:manualLayout>
          <c:xMode val="edge"/>
          <c:yMode val="edge"/>
          <c:x val="0.00325"/>
          <c:y val="0.0855"/>
          <c:w val="0.97575"/>
          <c:h val="0.91425"/>
        </c:manualLayout>
      </c:layout>
      <c:barChart>
        <c:barDir val="col"/>
        <c:grouping val="clustered"/>
        <c:varyColors val="0"/>
        <c:ser>
          <c:idx val="0"/>
          <c:order val="0"/>
          <c:tx>
            <c:strRef>
              <c:f>'Program Summary'!$A$12</c:f>
              <c:strCache>
                <c:ptCount val="1"/>
                <c:pt idx="0">
                  <c:v>Budgets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Summary'!$M$12:$Q$12</c:f>
              <c:strCache>
                <c:ptCount val="5"/>
                <c:pt idx="0">
                  <c:v>2010</c:v>
                </c:pt>
                <c:pt idx="1">
                  <c:v>2011</c:v>
                </c:pt>
                <c:pt idx="2">
                  <c:v>(18 month)1
2012-2013</c:v>
                </c:pt>
                <c:pt idx="3">
                  <c:v>FY2014</c:v>
                </c:pt>
                <c:pt idx="4">
                  <c:v>FY2015</c:v>
                </c:pt>
              </c:strCache>
            </c:strRef>
          </c:cat>
          <c:val>
            <c:numRef>
              <c:f>'Program Summary'!$M$19:$Q$19</c:f>
              <c:numCache>
                <c:ptCount val="5"/>
                <c:pt idx="0">
                  <c:v>460728352.16999996</c:v>
                </c:pt>
                <c:pt idx="1">
                  <c:v>506323547.37</c:v>
                </c:pt>
                <c:pt idx="2">
                  <c:v>511366306.14</c:v>
                </c:pt>
                <c:pt idx="3">
                  <c:v>418086273.54</c:v>
                </c:pt>
                <c:pt idx="4">
                  <c:v>379630247.11</c:v>
                </c:pt>
              </c:numCache>
            </c:numRef>
          </c:val>
        </c:ser>
        <c:axId val="28579283"/>
        <c:axId val="55886956"/>
      </c:barChart>
      <c:catAx>
        <c:axId val="285792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886956"/>
        <c:crosses val="autoZero"/>
        <c:auto val="1"/>
        <c:lblOffset val="100"/>
        <c:tickLblSkip val="1"/>
        <c:noMultiLvlLbl val="0"/>
      </c:catAx>
      <c:valAx>
        <c:axId val="558869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79283"/>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Annual Expenditures</a:t>
            </a:r>
          </a:p>
        </c:rich>
      </c:tx>
      <c:layout>
        <c:manualLayout>
          <c:xMode val="factor"/>
          <c:yMode val="factor"/>
          <c:x val="-0.00175"/>
          <c:y val="-0.0125"/>
        </c:manualLayout>
      </c:layout>
      <c:spPr>
        <a:noFill/>
        <a:ln w="3175">
          <a:noFill/>
        </a:ln>
      </c:spPr>
    </c:title>
    <c:plotArea>
      <c:layout>
        <c:manualLayout>
          <c:xMode val="edge"/>
          <c:yMode val="edge"/>
          <c:x val="-0.0035"/>
          <c:y val="0.07675"/>
          <c:w val="0.98325"/>
          <c:h val="0.926"/>
        </c:manualLayout>
      </c:layout>
      <c:barChart>
        <c:barDir val="col"/>
        <c:grouping val="clustered"/>
        <c:varyColors val="0"/>
        <c:ser>
          <c:idx val="0"/>
          <c:order val="0"/>
          <c:tx>
            <c:strRef>
              <c:f>'Program Summary'!$A$21</c:f>
              <c:strCache>
                <c:ptCount val="1"/>
                <c:pt idx="0">
                  <c:v>Expenditures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Summary'!$M$21:$Q$21</c:f>
              <c:strCache>
                <c:ptCount val="5"/>
                <c:pt idx="0">
                  <c:v>2010</c:v>
                </c:pt>
                <c:pt idx="1">
                  <c:v>2011</c:v>
                </c:pt>
                <c:pt idx="2">
                  <c:v>(18 month)1
2012-2013</c:v>
                </c:pt>
                <c:pt idx="3">
                  <c:v>FY2014</c:v>
                </c:pt>
                <c:pt idx="4">
                  <c:v>FY2015</c:v>
                </c:pt>
              </c:strCache>
            </c:strRef>
          </c:cat>
          <c:val>
            <c:numRef>
              <c:f>'Program Summary'!$M$28:$Q$28</c:f>
              <c:numCache>
                <c:ptCount val="5"/>
                <c:pt idx="0">
                  <c:v>219585204.35999998</c:v>
                </c:pt>
                <c:pt idx="1">
                  <c:v>191875940.36</c:v>
                </c:pt>
                <c:pt idx="2">
                  <c:v>277843944.14</c:v>
                </c:pt>
                <c:pt idx="3">
                  <c:v>202221164.29000005</c:v>
                </c:pt>
                <c:pt idx="4">
                  <c:v>203338018.32</c:v>
                </c:pt>
              </c:numCache>
            </c:numRef>
          </c:val>
        </c:ser>
        <c:axId val="33220557"/>
        <c:axId val="30549558"/>
      </c:barChart>
      <c:catAx>
        <c:axId val="332205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0549558"/>
        <c:crosses val="autoZero"/>
        <c:auto val="1"/>
        <c:lblOffset val="100"/>
        <c:tickLblSkip val="1"/>
        <c:noMultiLvlLbl val="0"/>
      </c:catAx>
      <c:valAx>
        <c:axId val="305495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20557"/>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Year End Commitments</a:t>
            </a:r>
          </a:p>
        </c:rich>
      </c:tx>
      <c:layout>
        <c:manualLayout>
          <c:xMode val="factor"/>
          <c:yMode val="factor"/>
          <c:x val="-0.00175"/>
          <c:y val="-0.0125"/>
        </c:manualLayout>
      </c:layout>
      <c:spPr>
        <a:noFill/>
        <a:ln w="3175">
          <a:noFill/>
        </a:ln>
      </c:spPr>
    </c:title>
    <c:plotArea>
      <c:layout>
        <c:manualLayout>
          <c:xMode val="edge"/>
          <c:yMode val="edge"/>
          <c:x val="-0.00875"/>
          <c:y val="0.08775"/>
          <c:w val="0.98375"/>
          <c:h val="0.921"/>
        </c:manualLayout>
      </c:layout>
      <c:barChart>
        <c:barDir val="col"/>
        <c:grouping val="clustered"/>
        <c:varyColors val="0"/>
        <c:ser>
          <c:idx val="0"/>
          <c:order val="0"/>
          <c:tx>
            <c:strRef>
              <c:f>'Program Summary'!$A$30</c:f>
              <c:strCache>
                <c:ptCount val="1"/>
                <c:pt idx="0">
                  <c:v>Year End Commitments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Summary'!$M$30:$Q$30</c:f>
              <c:strCache>
                <c:ptCount val="5"/>
                <c:pt idx="0">
                  <c:v>2010</c:v>
                </c:pt>
                <c:pt idx="1">
                  <c:v>2011</c:v>
                </c:pt>
                <c:pt idx="2">
                  <c:v>(18 month)1
2012-2013</c:v>
                </c:pt>
                <c:pt idx="3">
                  <c:v>FY2014</c:v>
                </c:pt>
                <c:pt idx="4">
                  <c:v>FY2015</c:v>
                </c:pt>
              </c:strCache>
            </c:strRef>
          </c:cat>
          <c:val>
            <c:numRef>
              <c:f>'Program Summary'!$M$37:$Q$37</c:f>
              <c:numCache>
                <c:ptCount val="5"/>
                <c:pt idx="0">
                  <c:v>141768354.47</c:v>
                </c:pt>
                <c:pt idx="1">
                  <c:v>124590088.59</c:v>
                </c:pt>
                <c:pt idx="2">
                  <c:v>135449403.45</c:v>
                </c:pt>
                <c:pt idx="3">
                  <c:v>118973831.49999999</c:v>
                </c:pt>
                <c:pt idx="4">
                  <c:v>132051650.97</c:v>
                </c:pt>
              </c:numCache>
            </c:numRef>
          </c:val>
        </c:ser>
        <c:axId val="6510567"/>
        <c:axId val="58595104"/>
      </c:barChart>
      <c:catAx>
        <c:axId val="65105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8595104"/>
        <c:crosses val="autoZero"/>
        <c:auto val="1"/>
        <c:lblOffset val="100"/>
        <c:tickLblSkip val="1"/>
        <c:noMultiLvlLbl val="0"/>
      </c:catAx>
      <c:valAx>
        <c:axId val="585951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0567"/>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53</xdr:row>
      <xdr:rowOff>57150</xdr:rowOff>
    </xdr:from>
    <xdr:to>
      <xdr:col>3</xdr:col>
      <xdr:colOff>1333500</xdr:colOff>
      <xdr:row>75</xdr:row>
      <xdr:rowOff>152400</xdr:rowOff>
    </xdr:to>
    <xdr:graphicFrame>
      <xdr:nvGraphicFramePr>
        <xdr:cNvPr id="1" name="Chart 4"/>
        <xdr:cNvGraphicFramePr/>
      </xdr:nvGraphicFramePr>
      <xdr:xfrm>
        <a:off x="66675" y="8801100"/>
        <a:ext cx="5562600" cy="36576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23</xdr:row>
      <xdr:rowOff>47625</xdr:rowOff>
    </xdr:from>
    <xdr:to>
      <xdr:col>3</xdr:col>
      <xdr:colOff>1295400</xdr:colOff>
      <xdr:row>45</xdr:row>
      <xdr:rowOff>152400</xdr:rowOff>
    </xdr:to>
    <xdr:graphicFrame>
      <xdr:nvGraphicFramePr>
        <xdr:cNvPr id="2" name="Chart 6"/>
        <xdr:cNvGraphicFramePr/>
      </xdr:nvGraphicFramePr>
      <xdr:xfrm>
        <a:off x="38100" y="3933825"/>
        <a:ext cx="5553075" cy="3667125"/>
      </xdr:xfrm>
      <a:graphic>
        <a:graphicData uri="http://schemas.openxmlformats.org/drawingml/2006/chart">
          <c:chart xmlns:c="http://schemas.openxmlformats.org/drawingml/2006/chart" r:id="rId2"/>
        </a:graphicData>
      </a:graphic>
    </xdr:graphicFrame>
    <xdr:clientData/>
  </xdr:twoCellAnchor>
  <xdr:twoCellAnchor>
    <xdr:from>
      <xdr:col>4</xdr:col>
      <xdr:colOff>180975</xdr:colOff>
      <xdr:row>77</xdr:row>
      <xdr:rowOff>142875</xdr:rowOff>
    </xdr:from>
    <xdr:to>
      <xdr:col>8</xdr:col>
      <xdr:colOff>171450</xdr:colOff>
      <xdr:row>100</xdr:row>
      <xdr:rowOff>76200</xdr:rowOff>
    </xdr:to>
    <xdr:graphicFrame>
      <xdr:nvGraphicFramePr>
        <xdr:cNvPr id="3" name="Chart 8"/>
        <xdr:cNvGraphicFramePr/>
      </xdr:nvGraphicFramePr>
      <xdr:xfrm>
        <a:off x="5867400" y="12773025"/>
        <a:ext cx="5553075" cy="3657600"/>
      </xdr:xfrm>
      <a:graphic>
        <a:graphicData uri="http://schemas.openxmlformats.org/drawingml/2006/chart">
          <c:chart xmlns:c="http://schemas.openxmlformats.org/drawingml/2006/chart" r:id="rId3"/>
        </a:graphicData>
      </a:graphic>
    </xdr:graphicFrame>
    <xdr:clientData/>
  </xdr:twoCellAnchor>
  <xdr:twoCellAnchor>
    <xdr:from>
      <xdr:col>4</xdr:col>
      <xdr:colOff>171450</xdr:colOff>
      <xdr:row>53</xdr:row>
      <xdr:rowOff>57150</xdr:rowOff>
    </xdr:from>
    <xdr:to>
      <xdr:col>8</xdr:col>
      <xdr:colOff>142875</xdr:colOff>
      <xdr:row>76</xdr:row>
      <xdr:rowOff>9525</xdr:rowOff>
    </xdr:to>
    <xdr:graphicFrame>
      <xdr:nvGraphicFramePr>
        <xdr:cNvPr id="4" name="Chart 5"/>
        <xdr:cNvGraphicFramePr/>
      </xdr:nvGraphicFramePr>
      <xdr:xfrm>
        <a:off x="5857875" y="8801100"/>
        <a:ext cx="5534025" cy="3676650"/>
      </xdr:xfrm>
      <a:graphic>
        <a:graphicData uri="http://schemas.openxmlformats.org/drawingml/2006/chart">
          <c:chart xmlns:c="http://schemas.openxmlformats.org/drawingml/2006/chart" r:id="rId4"/>
        </a:graphicData>
      </a:graphic>
    </xdr:graphicFrame>
    <xdr:clientData/>
  </xdr:twoCellAnchor>
  <xdr:twoCellAnchor>
    <xdr:from>
      <xdr:col>4</xdr:col>
      <xdr:colOff>133350</xdr:colOff>
      <xdr:row>23</xdr:row>
      <xdr:rowOff>57150</xdr:rowOff>
    </xdr:from>
    <xdr:to>
      <xdr:col>8</xdr:col>
      <xdr:colOff>123825</xdr:colOff>
      <xdr:row>45</xdr:row>
      <xdr:rowOff>152400</xdr:rowOff>
    </xdr:to>
    <xdr:graphicFrame>
      <xdr:nvGraphicFramePr>
        <xdr:cNvPr id="5" name="Chart 7"/>
        <xdr:cNvGraphicFramePr/>
      </xdr:nvGraphicFramePr>
      <xdr:xfrm>
        <a:off x="5819775" y="3943350"/>
        <a:ext cx="5553075" cy="36576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77</xdr:row>
      <xdr:rowOff>142875</xdr:rowOff>
    </xdr:from>
    <xdr:to>
      <xdr:col>3</xdr:col>
      <xdr:colOff>1314450</xdr:colOff>
      <xdr:row>100</xdr:row>
      <xdr:rowOff>76200</xdr:rowOff>
    </xdr:to>
    <xdr:graphicFrame>
      <xdr:nvGraphicFramePr>
        <xdr:cNvPr id="6" name="Chart 3"/>
        <xdr:cNvGraphicFramePr/>
      </xdr:nvGraphicFramePr>
      <xdr:xfrm>
        <a:off x="57150" y="12773025"/>
        <a:ext cx="5553075" cy="3657600"/>
      </xdr:xfrm>
      <a:graphic>
        <a:graphicData uri="http://schemas.openxmlformats.org/drawingml/2006/chart">
          <c:chart xmlns:c="http://schemas.openxmlformats.org/drawingml/2006/chart" r:id="rId6"/>
        </a:graphicData>
      </a:graphic>
    </xdr:graphicFrame>
    <xdr:clientData/>
  </xdr:twoCellAnchor>
  <xdr:twoCellAnchor>
    <xdr:from>
      <xdr:col>1</xdr:col>
      <xdr:colOff>1076325</xdr:colOff>
      <xdr:row>108</xdr:row>
      <xdr:rowOff>47625</xdr:rowOff>
    </xdr:from>
    <xdr:to>
      <xdr:col>6</xdr:col>
      <xdr:colOff>381000</xdr:colOff>
      <xdr:row>132</xdr:row>
      <xdr:rowOff>57150</xdr:rowOff>
    </xdr:to>
    <xdr:graphicFrame>
      <xdr:nvGraphicFramePr>
        <xdr:cNvPr id="7" name="Chart 7"/>
        <xdr:cNvGraphicFramePr/>
      </xdr:nvGraphicFramePr>
      <xdr:xfrm>
        <a:off x="2590800" y="17697450"/>
        <a:ext cx="6257925" cy="3895725"/>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133</xdr:row>
      <xdr:rowOff>0</xdr:rowOff>
    </xdr:from>
    <xdr:to>
      <xdr:col>3</xdr:col>
      <xdr:colOff>1352550</xdr:colOff>
      <xdr:row>157</xdr:row>
      <xdr:rowOff>9525</xdr:rowOff>
    </xdr:to>
    <xdr:graphicFrame>
      <xdr:nvGraphicFramePr>
        <xdr:cNvPr id="8" name="Chart 7"/>
        <xdr:cNvGraphicFramePr/>
      </xdr:nvGraphicFramePr>
      <xdr:xfrm>
        <a:off x="57150" y="21697950"/>
        <a:ext cx="5591175" cy="3895725"/>
      </xdr:xfrm>
      <a:graphic>
        <a:graphicData uri="http://schemas.openxmlformats.org/drawingml/2006/chart">
          <c:chart xmlns:c="http://schemas.openxmlformats.org/drawingml/2006/chart" r:id="rId8"/>
        </a:graphicData>
      </a:graphic>
    </xdr:graphicFrame>
    <xdr:clientData/>
  </xdr:twoCellAnchor>
  <xdr:twoCellAnchor>
    <xdr:from>
      <xdr:col>4</xdr:col>
      <xdr:colOff>142875</xdr:colOff>
      <xdr:row>132</xdr:row>
      <xdr:rowOff>161925</xdr:rowOff>
    </xdr:from>
    <xdr:to>
      <xdr:col>8</xdr:col>
      <xdr:colOff>142875</xdr:colOff>
      <xdr:row>157</xdr:row>
      <xdr:rowOff>9525</xdr:rowOff>
    </xdr:to>
    <xdr:graphicFrame>
      <xdr:nvGraphicFramePr>
        <xdr:cNvPr id="9" name="Chart 7"/>
        <xdr:cNvGraphicFramePr/>
      </xdr:nvGraphicFramePr>
      <xdr:xfrm>
        <a:off x="5829300" y="21697950"/>
        <a:ext cx="5562600" cy="389572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ing%20Data\BPURpt_NJCEP_4QFY2015_DATA_FINAL-BTD-marked%20up.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eresco.com\d\aeg\Clients\NJ%20Clean%20Energy%20Program\PA%202016-X-23938\NJCEP%20-%20Reporting\Program%20Performace%20All%20Years\2012%20(18month)%20Prog%20Perfor%20Mike\BPURpt_2012-2013_NJCEP_DATA_DRAFT_20140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Data Sheet"/>
      <sheetName val="Budget Groups"/>
      <sheetName val="Monthly Report Printout"/>
      <sheetName val="Expenses Vs Budgets_NJCEP"/>
      <sheetName val="Expenses Vs Budgets_CHP"/>
      <sheetName val="Expenses Vs Budgets_EE"/>
      <sheetName val="Expenses Vs Budgets_RE"/>
      <sheetName val="Expenses Vs Budgets_EDA"/>
      <sheetName val="Expenses Vs Budgets_NJCEP Admin"/>
      <sheetName val="Electric Savings_NJCEP"/>
      <sheetName val="Gas Savings_NJCEP"/>
      <sheetName val="Tracking Metrics_NJCEP"/>
      <sheetName val="Electric Generation_NJCEP"/>
      <sheetName val="Emissions Reductions_NJCEP"/>
      <sheetName val="Expenses Vs Budgets_TRUE"/>
      <sheetName val="Expenses by CC NJCEP"/>
      <sheetName val="Expenses by CC EE Programs"/>
      <sheetName val="Expenses by CC CHP Programs"/>
      <sheetName val="Expenses by CC RE Programs"/>
      <sheetName val="Expenses by CC EDA Programs"/>
      <sheetName val="Expenses by CC NJCEP Admin"/>
      <sheetName val="Expense by CC TRUE Grant"/>
      <sheetName val="Electric Savings vs Goals_NJCEP"/>
      <sheetName val="Gas Savings vs Goals_NJCEP"/>
      <sheetName val="Notes_Cover"/>
      <sheetName val="Notes and Definition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s Data Sheet"/>
      <sheetName val="Budget Groups"/>
      <sheetName val="Monthly Report Printout"/>
      <sheetName val="Expenses vs Budgets_NJCEP"/>
      <sheetName val="Expenses vs Budgets_EE"/>
      <sheetName val="Expenses vs Budgets_RE"/>
      <sheetName val="Expenses vs Budgets_EDA"/>
      <sheetName val="Expenses vs Budgets_OCE"/>
      <sheetName val="Expenses vs Budgets_TRUE"/>
      <sheetName val="Expenses by Category_NJCEP"/>
      <sheetName val="Expenses by Category_EE"/>
      <sheetName val="Expenses by Category_RE"/>
      <sheetName val="Expenses by Category_EDA"/>
      <sheetName val="Expenses by Category_OCE"/>
      <sheetName val="Expenses by Category_TRUE"/>
      <sheetName val="Tracking Metrics_NJCEP"/>
      <sheetName val="Electric Savings vs Goals_NJCEP"/>
      <sheetName val="Gas Savings vs Goals_NJCEP"/>
      <sheetName val="Electric Savings_NJCEP"/>
      <sheetName val="Electric Generation_NJCEP"/>
      <sheetName val="Gas Savings_NJCEP"/>
      <sheetName val="Emissions Reductions_NJCEP"/>
      <sheetName val="Notes_Cover"/>
      <sheetName val="Notes and Definitions"/>
      <sheetName val="Report Graphs "/>
      <sheetName val="Control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I41"/>
  <sheetViews>
    <sheetView showGridLines="0" tabSelected="1" zoomScalePageLayoutView="0" workbookViewId="0" topLeftCell="A1">
      <selection activeCell="A1" sqref="A1:R1"/>
    </sheetView>
  </sheetViews>
  <sheetFormatPr defaultColWidth="9.140625" defaultRowHeight="12.75"/>
  <cols>
    <col min="1" max="1" width="22.7109375" style="0" bestFit="1" customWidth="1"/>
    <col min="2" max="9" width="20.8515625" style="0" customWidth="1"/>
  </cols>
  <sheetData>
    <row r="1" spans="1:9" ht="12.75">
      <c r="A1" s="483" t="s">
        <v>63</v>
      </c>
      <c r="B1" s="483"/>
      <c r="C1" s="483"/>
      <c r="D1" s="483"/>
      <c r="E1" s="483"/>
      <c r="F1" s="483"/>
      <c r="G1" s="483"/>
      <c r="H1" s="483"/>
      <c r="I1" s="483"/>
    </row>
    <row r="3" spans="1:6" ht="25.5">
      <c r="A3" s="1" t="s">
        <v>89</v>
      </c>
      <c r="B3" s="28">
        <v>2010</v>
      </c>
      <c r="C3" s="28">
        <v>2011</v>
      </c>
      <c r="D3" s="196" t="s">
        <v>349</v>
      </c>
      <c r="E3" s="196" t="s">
        <v>351</v>
      </c>
      <c r="F3" s="196" t="s">
        <v>440</v>
      </c>
    </row>
    <row r="4" spans="1:6" ht="12.75">
      <c r="A4" s="18" t="s">
        <v>382</v>
      </c>
      <c r="B4" s="246">
        <f>'Program Summary'!M44</f>
        <v>347906.80000000005</v>
      </c>
      <c r="C4" s="246">
        <f>'Program Summary'!N44</f>
        <v>453682.1</v>
      </c>
      <c r="D4" s="256">
        <f>'Program Summary'!O44</f>
        <v>638802</v>
      </c>
      <c r="E4" s="256">
        <f>'Program Summary'!P44</f>
        <v>518814</v>
      </c>
      <c r="F4" s="256">
        <f>'Program Summary'!Q44</f>
        <v>473959.4542867021</v>
      </c>
    </row>
    <row r="5" spans="1:6" ht="12.75">
      <c r="A5" s="18" t="s">
        <v>176</v>
      </c>
      <c r="B5" s="246">
        <f>'Program Summary'!M60</f>
        <v>934826</v>
      </c>
      <c r="C5" s="246">
        <f>'Program Summary'!N60</f>
        <v>782556.95</v>
      </c>
      <c r="D5" s="246">
        <f>'Program Summary'!O60</f>
        <v>1229205</v>
      </c>
      <c r="E5" s="246">
        <f>'Program Summary'!P60</f>
        <v>921791</v>
      </c>
      <c r="F5" s="246">
        <f>'Program Summary'!Q60</f>
        <v>983169.4762700018</v>
      </c>
    </row>
    <row r="6" spans="1:6" ht="12.75">
      <c r="A6" s="55" t="s">
        <v>243</v>
      </c>
      <c r="B6" s="237">
        <f>'Program Summary'!M28</f>
        <v>219585204.35999998</v>
      </c>
      <c r="C6" s="237">
        <f>'Program Summary'!N28</f>
        <v>191875940.36</v>
      </c>
      <c r="D6" s="237">
        <f>'Program Summary'!O28</f>
        <v>277843944.14</v>
      </c>
      <c r="E6" s="237">
        <f>'Program Summary'!P28</f>
        <v>202221164.29000005</v>
      </c>
      <c r="F6" s="237">
        <f>'Program Summary'!Q28</f>
        <v>203338018.32</v>
      </c>
    </row>
    <row r="7" ht="12.75">
      <c r="A7" s="86"/>
    </row>
    <row r="8" ht="12.75">
      <c r="A8" s="75" t="s">
        <v>177</v>
      </c>
    </row>
    <row r="9" spans="1:6" ht="12.75">
      <c r="A9" s="55" t="s">
        <v>383</v>
      </c>
      <c r="B9" s="246">
        <f>'Program Summary'!M48</f>
        <v>327579</v>
      </c>
      <c r="C9" s="246">
        <f>'Program Summary'!N48</f>
        <v>382066</v>
      </c>
      <c r="D9" s="246">
        <f>'Program Summary'!O48</f>
        <v>640636</v>
      </c>
      <c r="E9" s="246">
        <f>'Program Summary'!P48</f>
        <v>261660</v>
      </c>
      <c r="F9" s="246">
        <f>'Program Summary'!Q48</f>
        <v>217860</v>
      </c>
    </row>
    <row r="10" spans="1:6" ht="12.75">
      <c r="A10" s="55" t="s">
        <v>166</v>
      </c>
      <c r="B10" s="246">
        <f>'Program Summary'!M47</f>
        <v>47743</v>
      </c>
      <c r="C10" s="246">
        <f>'Program Summary'!N47</f>
        <v>0</v>
      </c>
      <c r="D10" s="246">
        <f>'Program Summary'!O47</f>
        <v>17520</v>
      </c>
      <c r="E10" s="246">
        <f>'Program Summary'!P47</f>
        <v>9409</v>
      </c>
      <c r="F10" s="246">
        <f>'Program Summary'!Q47</f>
        <v>46135</v>
      </c>
    </row>
    <row r="11" spans="1:6" ht="12.75">
      <c r="A11" s="55" t="s">
        <v>384</v>
      </c>
      <c r="B11" s="246">
        <f>B4+B9</f>
        <v>675485.8</v>
      </c>
      <c r="C11" s="246">
        <f>C4+C9</f>
        <v>835748.1</v>
      </c>
      <c r="D11" s="246">
        <f>D4+D9</f>
        <v>1279438</v>
      </c>
      <c r="E11" s="246">
        <f>E4+E9</f>
        <v>780474</v>
      </c>
      <c r="F11" s="246">
        <f>F4+F9</f>
        <v>691819.4542867021</v>
      </c>
    </row>
    <row r="13" ht="12.75">
      <c r="A13" s="1" t="s">
        <v>178</v>
      </c>
    </row>
    <row r="14" spans="1:6" ht="12.75">
      <c r="A14" s="18" t="s">
        <v>385</v>
      </c>
      <c r="B14" s="246">
        <f>'emmission reductions'!M10</f>
        <v>464605</v>
      </c>
      <c r="C14" s="246">
        <f>'emmission reductions'!N10</f>
        <v>730728.7884216309</v>
      </c>
      <c r="D14" s="246">
        <f>'emmission reductions'!O10</f>
        <v>1122457</v>
      </c>
      <c r="E14" s="246">
        <f>'emmission reductions'!P10</f>
        <v>615083</v>
      </c>
      <c r="F14" s="246">
        <f>'emmission reductions'!Q10</f>
        <v>395069</v>
      </c>
    </row>
    <row r="15" ht="12.75">
      <c r="B15" s="23"/>
    </row>
    <row r="16" ht="12.75">
      <c r="A16" s="357" t="s">
        <v>350</v>
      </c>
    </row>
    <row r="23" ht="12.75">
      <c r="E23" t="s">
        <v>88</v>
      </c>
    </row>
    <row r="41" ht="12.75">
      <c r="C41" s="86" t="s">
        <v>244</v>
      </c>
    </row>
  </sheetData>
  <sheetProtection/>
  <mergeCells count="1">
    <mergeCell ref="A1:I1"/>
  </mergeCells>
  <printOptions horizontalCentered="1"/>
  <pageMargins left="0.25" right="0.25" top="0.75" bottom="0.75" header="0.3" footer="0.3"/>
  <pageSetup fitToHeight="0" fitToWidth="1" horizontalDpi="600" verticalDpi="600" orientation="landscape" scale="72" r:id="rId2"/>
  <headerFooter scaleWithDoc="0" alignWithMargins="0">
    <oddFooter>&amp;L&amp;6&amp;A - Results by Program Year &amp;R&amp;6printed &amp;D at &amp;T</oddFooter>
  </headerFooter>
  <rowBreaks count="2" manualBreakCount="2">
    <brk id="50" max="255" man="1"/>
    <brk id="105" max="255" man="1"/>
  </rowBreaks>
  <drawing r:id="rId1"/>
</worksheet>
</file>

<file path=xl/worksheets/sheet10.xml><?xml version="1.0" encoding="utf-8"?>
<worksheet xmlns="http://schemas.openxmlformats.org/spreadsheetml/2006/main" xmlns:r="http://schemas.openxmlformats.org/officeDocument/2006/relationships">
  <sheetPr>
    <tabColor theme="6"/>
    <outlinePr summaryRight="0"/>
    <pageSetUpPr fitToPage="1"/>
  </sheetPr>
  <dimension ref="A1:X56"/>
  <sheetViews>
    <sheetView showGridLines="0" zoomScalePageLayoutView="0" workbookViewId="0" topLeftCell="A1">
      <selection activeCell="A1" sqref="A1:R1"/>
    </sheetView>
  </sheetViews>
  <sheetFormatPr defaultColWidth="10.7109375" defaultRowHeight="12.75" outlineLevelCol="1"/>
  <cols>
    <col min="1" max="1" width="32.140625" style="3" customWidth="1"/>
    <col min="2" max="2" width="14.421875" style="3" bestFit="1" customWidth="1" collapsed="1"/>
    <col min="3" max="3" width="10.8515625" style="6" hidden="1" customWidth="1" outlineLevel="1"/>
    <col min="4" max="4" width="13.57421875" style="6" hidden="1" customWidth="1" outlineLevel="1"/>
    <col min="5" max="5" width="13.421875" style="6" hidden="1" customWidth="1" outlineLevel="1"/>
    <col min="6" max="6" width="14.57421875" style="6" hidden="1" customWidth="1" outlineLevel="1"/>
    <col min="7" max="7" width="14.421875" style="6" hidden="1" customWidth="1" outlineLevel="1"/>
    <col min="8" max="9" width="14.421875" style="6" bestFit="1" customWidth="1"/>
    <col min="10" max="11" width="14.421875" style="6" customWidth="1"/>
    <col min="12" max="12" width="17.140625" style="6" customWidth="1"/>
    <col min="13" max="16384" width="10.7109375" style="6" customWidth="1"/>
  </cols>
  <sheetData>
    <row r="1" spans="1:12" ht="12.75">
      <c r="A1" s="484" t="s">
        <v>393</v>
      </c>
      <c r="B1" s="484"/>
      <c r="C1" s="486"/>
      <c r="D1" s="486"/>
      <c r="E1" s="486"/>
      <c r="F1" s="486"/>
      <c r="G1" s="486"/>
      <c r="H1" s="486"/>
      <c r="I1" s="486"/>
      <c r="J1" s="486"/>
      <c r="K1" s="486"/>
      <c r="L1" s="486"/>
    </row>
    <row r="2" spans="1:12" ht="12.75">
      <c r="A2" s="484" t="s">
        <v>406</v>
      </c>
      <c r="B2" s="484"/>
      <c r="C2" s="486"/>
      <c r="D2" s="486"/>
      <c r="E2" s="486"/>
      <c r="F2" s="486"/>
      <c r="G2" s="486"/>
      <c r="H2" s="486"/>
      <c r="I2" s="486"/>
      <c r="J2" s="486"/>
      <c r="K2" s="486"/>
      <c r="L2" s="486"/>
    </row>
    <row r="3" spans="1:2" ht="12.75">
      <c r="A3" s="40"/>
      <c r="B3" s="40"/>
    </row>
    <row r="4" spans="1:12" ht="25.5">
      <c r="A4" s="30" t="s">
        <v>206</v>
      </c>
      <c r="B4" s="196" t="s">
        <v>461</v>
      </c>
      <c r="C4" s="28">
        <v>2006</v>
      </c>
      <c r="D4" s="28">
        <v>2007</v>
      </c>
      <c r="E4" s="28">
        <v>2008</v>
      </c>
      <c r="F4" s="28">
        <v>2009</v>
      </c>
      <c r="G4" s="28">
        <v>2010</v>
      </c>
      <c r="H4" s="28">
        <v>2011</v>
      </c>
      <c r="I4" s="196" t="s">
        <v>346</v>
      </c>
      <c r="J4" s="196" t="s">
        <v>351</v>
      </c>
      <c r="K4" s="196" t="s">
        <v>440</v>
      </c>
      <c r="L4" s="196" t="str">
        <f>"Total "&amp;CHAR(10)&amp;C4&amp;" ~ "&amp;K4</f>
        <v>Total 
2006 ~ FY2015</v>
      </c>
    </row>
    <row r="5" spans="1:13" ht="12.75">
      <c r="A5" s="19" t="s">
        <v>411</v>
      </c>
      <c r="B5" s="278">
        <f>SUM(C5:G5)</f>
        <v>99632204.34</v>
      </c>
      <c r="C5" s="278"/>
      <c r="D5" s="278">
        <f>7368*1000</f>
        <v>7368000</v>
      </c>
      <c r="E5" s="278">
        <f>9829*1000</f>
        <v>9829000</v>
      </c>
      <c r="F5" s="278">
        <v>23652926.69</v>
      </c>
      <c r="G5" s="278">
        <v>58782277.65</v>
      </c>
      <c r="H5" s="278">
        <v>29760156.05</v>
      </c>
      <c r="I5" s="279">
        <v>44008734.71</v>
      </c>
      <c r="J5" s="279">
        <v>41478594.09</v>
      </c>
      <c r="K5" s="279">
        <v>45291975.16</v>
      </c>
      <c r="L5" s="278">
        <f>SUM(C5:K5)</f>
        <v>260171664.35</v>
      </c>
      <c r="M5" s="12"/>
    </row>
    <row r="6" spans="1:15" ht="12.75">
      <c r="A6" s="21"/>
      <c r="B6" s="120"/>
      <c r="C6" s="120"/>
      <c r="D6" s="120"/>
      <c r="E6" s="120"/>
      <c r="F6" s="120"/>
      <c r="G6" s="120"/>
      <c r="H6" s="120"/>
      <c r="I6" s="120"/>
      <c r="J6" s="120"/>
      <c r="K6" s="120"/>
      <c r="L6" s="120"/>
      <c r="M6" s="3"/>
      <c r="N6" s="3"/>
      <c r="O6" s="3"/>
    </row>
    <row r="7" spans="1:15" ht="12.75">
      <c r="A7" s="30" t="s">
        <v>207</v>
      </c>
      <c r="B7" s="120"/>
      <c r="C7" s="120"/>
      <c r="D7" s="120"/>
      <c r="E7" s="120"/>
      <c r="F7" s="120"/>
      <c r="G7" s="120"/>
      <c r="H7" s="120"/>
      <c r="I7" s="120"/>
      <c r="J7" s="120"/>
      <c r="K7" s="120"/>
      <c r="L7" s="120"/>
      <c r="M7" s="3"/>
      <c r="N7" s="3"/>
      <c r="O7" s="3"/>
    </row>
    <row r="8" spans="1:13" s="3" customFormat="1" ht="12.75">
      <c r="A8" s="19" t="s">
        <v>411</v>
      </c>
      <c r="B8" s="272">
        <f>SUM(C8:G8)</f>
        <v>60777315.55</v>
      </c>
      <c r="C8" s="119"/>
      <c r="D8" s="278">
        <f>3441*1000</f>
        <v>3441000</v>
      </c>
      <c r="E8" s="278">
        <f>5002*1000</f>
        <v>5002000</v>
      </c>
      <c r="F8" s="278">
        <v>10953485.23</v>
      </c>
      <c r="G8" s="278">
        <v>41380830.32</v>
      </c>
      <c r="H8" s="278">
        <v>15266819.3</v>
      </c>
      <c r="I8" s="279">
        <v>35243215.71</v>
      </c>
      <c r="J8" s="279">
        <v>31922364.9</v>
      </c>
      <c r="K8" s="279">
        <v>36234376.5</v>
      </c>
      <c r="L8" s="278">
        <f>SUM(C8:K8)</f>
        <v>179444091.96</v>
      </c>
      <c r="M8" s="4"/>
    </row>
    <row r="9" spans="1:12" s="3" customFormat="1" ht="12.75">
      <c r="A9" s="21"/>
      <c r="B9" s="40"/>
      <c r="C9" s="40"/>
      <c r="D9" s="40"/>
      <c r="E9" s="40"/>
      <c r="F9" s="40"/>
      <c r="G9" s="40"/>
      <c r="H9" s="40"/>
      <c r="I9" s="40"/>
      <c r="J9" s="40"/>
      <c r="K9" s="40"/>
      <c r="L9" s="40"/>
    </row>
    <row r="10" spans="1:12" s="3" customFormat="1" ht="12.75">
      <c r="A10" s="43"/>
      <c r="B10" s="43"/>
      <c r="C10" s="44"/>
      <c r="D10" s="44"/>
      <c r="E10" s="44"/>
      <c r="F10" s="44"/>
      <c r="G10" s="44"/>
      <c r="H10" s="44"/>
      <c r="I10" s="44"/>
      <c r="J10" s="44"/>
      <c r="K10" s="44"/>
      <c r="L10" s="44"/>
    </row>
    <row r="11" spans="1:12" s="3" customFormat="1" ht="12.75">
      <c r="A11" s="43" t="s">
        <v>338</v>
      </c>
      <c r="B11" s="43"/>
      <c r="C11" s="44"/>
      <c r="D11" s="44"/>
      <c r="E11" s="44"/>
      <c r="F11" s="44"/>
      <c r="G11" s="44"/>
      <c r="H11" s="44"/>
      <c r="I11" s="44"/>
      <c r="J11" s="44"/>
      <c r="K11" s="44"/>
      <c r="L11" s="44"/>
    </row>
    <row r="12" spans="1:12" s="3" customFormat="1" ht="12.75">
      <c r="A12" s="181" t="s">
        <v>213</v>
      </c>
      <c r="B12" s="320">
        <f>SUM(C12:G12)</f>
        <v>0</v>
      </c>
      <c r="C12" s="250"/>
      <c r="D12" s="250"/>
      <c r="E12" s="250"/>
      <c r="F12" s="250"/>
      <c r="G12" s="316"/>
      <c r="H12" s="316"/>
      <c r="I12" s="316"/>
      <c r="J12" s="316"/>
      <c r="K12" s="316"/>
      <c r="L12" s="250"/>
    </row>
    <row r="13" spans="1:13" s="3" customFormat="1" ht="12.75">
      <c r="A13" s="181" t="s">
        <v>269</v>
      </c>
      <c r="B13" s="320">
        <f>SUM(C13:G13)</f>
        <v>0</v>
      </c>
      <c r="C13" s="250"/>
      <c r="D13" s="250"/>
      <c r="E13" s="250"/>
      <c r="F13" s="250"/>
      <c r="G13" s="252"/>
      <c r="H13" s="252">
        <v>360</v>
      </c>
      <c r="I13" s="252">
        <v>352</v>
      </c>
      <c r="J13" s="252">
        <v>510</v>
      </c>
      <c r="K13" s="252">
        <v>623</v>
      </c>
      <c r="L13" s="250"/>
      <c r="M13" s="7"/>
    </row>
    <row r="14" spans="1:12" s="3" customFormat="1" ht="12.75">
      <c r="A14" s="181" t="s">
        <v>312</v>
      </c>
      <c r="B14" s="320">
        <f>SUM(C14:G14)</f>
        <v>0</v>
      </c>
      <c r="C14" s="250"/>
      <c r="D14" s="250"/>
      <c r="E14" s="250"/>
      <c r="F14" s="250"/>
      <c r="G14" s="250"/>
      <c r="H14" s="250">
        <v>2515</v>
      </c>
      <c r="I14" s="252">
        <v>6209</v>
      </c>
      <c r="J14" s="252">
        <v>5626</v>
      </c>
      <c r="K14" s="252">
        <v>7443</v>
      </c>
      <c r="L14" s="250"/>
    </row>
    <row r="15" spans="1:12" s="3" customFormat="1" ht="12.75">
      <c r="A15" s="16" t="s">
        <v>1</v>
      </c>
      <c r="B15" s="473">
        <f>SUM(C15:G15)</f>
        <v>94</v>
      </c>
      <c r="C15" s="263"/>
      <c r="D15" s="263"/>
      <c r="E15" s="263">
        <v>94</v>
      </c>
      <c r="F15" s="263"/>
      <c r="G15" s="263" t="s">
        <v>88</v>
      </c>
      <c r="H15" s="263">
        <f>SUM(H12:H14)</f>
        <v>2875</v>
      </c>
      <c r="I15" s="263">
        <f>SUM(I12:I14)</f>
        <v>6561</v>
      </c>
      <c r="J15" s="263">
        <f>SUM(J12:J14)</f>
        <v>6136</v>
      </c>
      <c r="K15" s="263">
        <f>SUM(K12:K14)</f>
        <v>8066</v>
      </c>
      <c r="L15" s="263">
        <f>SUM(C15:K15)</f>
        <v>23732</v>
      </c>
    </row>
    <row r="16" spans="1:12" s="3" customFormat="1" ht="12.75">
      <c r="A16" s="43"/>
      <c r="B16" s="474"/>
      <c r="C16" s="265"/>
      <c r="D16" s="265"/>
      <c r="E16" s="265"/>
      <c r="F16" s="265"/>
      <c r="G16" s="265"/>
      <c r="H16" s="265"/>
      <c r="I16" s="265"/>
      <c r="J16" s="265"/>
      <c r="K16" s="265"/>
      <c r="L16" s="265"/>
    </row>
    <row r="17" spans="1:12" s="3" customFormat="1" ht="12.75">
      <c r="A17" s="43" t="s">
        <v>339</v>
      </c>
      <c r="B17" s="474"/>
      <c r="C17" s="44"/>
      <c r="D17" s="44"/>
      <c r="E17" s="44"/>
      <c r="F17" s="44"/>
      <c r="G17" s="44"/>
      <c r="H17" s="44"/>
      <c r="I17" s="44"/>
      <c r="J17" s="44"/>
      <c r="K17" s="44"/>
      <c r="L17" s="44"/>
    </row>
    <row r="18" spans="1:13" s="3" customFormat="1" ht="12.75">
      <c r="A18" s="181" t="s">
        <v>213</v>
      </c>
      <c r="B18" s="320">
        <f>SUM(C18:G18)</f>
        <v>2170</v>
      </c>
      <c r="C18" s="250"/>
      <c r="D18" s="250"/>
      <c r="E18" s="250"/>
      <c r="F18" s="250">
        <v>2170</v>
      </c>
      <c r="G18" s="316"/>
      <c r="H18" s="316"/>
      <c r="I18" s="316"/>
      <c r="J18" s="316"/>
      <c r="K18" s="316"/>
      <c r="L18" s="250"/>
      <c r="M18" s="130"/>
    </row>
    <row r="19" spans="1:13" s="3" customFormat="1" ht="12.75">
      <c r="A19" s="181" t="s">
        <v>269</v>
      </c>
      <c r="B19" s="320">
        <f>SUM(C19:G19)</f>
        <v>0</v>
      </c>
      <c r="C19" s="250"/>
      <c r="D19" s="250"/>
      <c r="E19" s="250"/>
      <c r="F19" s="250"/>
      <c r="G19" s="252"/>
      <c r="H19" s="252">
        <v>296</v>
      </c>
      <c r="I19" s="252">
        <v>282</v>
      </c>
      <c r="J19" s="252">
        <v>416</v>
      </c>
      <c r="K19" s="252">
        <v>478</v>
      </c>
      <c r="L19" s="250"/>
      <c r="M19" s="130"/>
    </row>
    <row r="20" spans="1:13" s="3" customFormat="1" ht="12.75">
      <c r="A20" s="181" t="s">
        <v>312</v>
      </c>
      <c r="B20" s="320">
        <f>SUM(C20:G20)</f>
        <v>4385</v>
      </c>
      <c r="C20" s="250"/>
      <c r="D20" s="250"/>
      <c r="E20" s="250"/>
      <c r="F20" s="250">
        <v>1140</v>
      </c>
      <c r="G20" s="250">
        <v>3245</v>
      </c>
      <c r="H20" s="250">
        <v>2288</v>
      </c>
      <c r="I20" s="252">
        <v>5490</v>
      </c>
      <c r="J20" s="252">
        <v>4886</v>
      </c>
      <c r="K20" s="252">
        <v>5290</v>
      </c>
      <c r="L20" s="250"/>
      <c r="M20" s="7"/>
    </row>
    <row r="21" spans="1:12" s="3" customFormat="1" ht="12.75">
      <c r="A21" s="16" t="s">
        <v>1</v>
      </c>
      <c r="B21" s="263">
        <f>SUM(C21:G21)</f>
        <v>6741</v>
      </c>
      <c r="C21" s="263">
        <v>3</v>
      </c>
      <c r="D21" s="263">
        <v>20</v>
      </c>
      <c r="E21" s="263">
        <v>163</v>
      </c>
      <c r="F21" s="263">
        <f aca="true" t="shared" si="0" ref="F21:K21">SUM(F18:F20)</f>
        <v>3310</v>
      </c>
      <c r="G21" s="263">
        <f t="shared" si="0"/>
        <v>3245</v>
      </c>
      <c r="H21" s="263">
        <f t="shared" si="0"/>
        <v>2584</v>
      </c>
      <c r="I21" s="263">
        <f t="shared" si="0"/>
        <v>5772</v>
      </c>
      <c r="J21" s="263">
        <f t="shared" si="0"/>
        <v>5302</v>
      </c>
      <c r="K21" s="263">
        <f t="shared" si="0"/>
        <v>5768</v>
      </c>
      <c r="L21" s="263">
        <f>SUM(C21:K21)</f>
        <v>26167</v>
      </c>
    </row>
    <row r="22" spans="1:12" s="3" customFormat="1" ht="12.75">
      <c r="A22" s="43"/>
      <c r="B22" s="474"/>
      <c r="C22" s="44"/>
      <c r="D22" s="44"/>
      <c r="E22" s="44"/>
      <c r="F22" s="44"/>
      <c r="G22" s="44"/>
      <c r="H22" s="44"/>
      <c r="I22" s="44"/>
      <c r="J22" s="44"/>
      <c r="K22" s="44"/>
      <c r="L22" s="44"/>
    </row>
    <row r="23" spans="1:12" s="3" customFormat="1" ht="12.75">
      <c r="A23" s="43"/>
      <c r="B23" s="474"/>
      <c r="C23" s="44"/>
      <c r="D23" s="44"/>
      <c r="E23" s="44"/>
      <c r="F23" s="44"/>
      <c r="G23" s="44"/>
      <c r="H23" s="44"/>
      <c r="I23" s="44"/>
      <c r="J23" s="44"/>
      <c r="K23" s="44"/>
      <c r="L23" s="44"/>
    </row>
    <row r="24" spans="1:13" s="3" customFormat="1" ht="12.75">
      <c r="A24" s="428" t="s">
        <v>388</v>
      </c>
      <c r="B24" s="475"/>
      <c r="C24" s="40"/>
      <c r="D24" s="40"/>
      <c r="E24" s="40"/>
      <c r="F24" s="40"/>
      <c r="G24" s="40"/>
      <c r="H24" s="40"/>
      <c r="I24" s="40"/>
      <c r="J24" s="40"/>
      <c r="K24" s="40"/>
      <c r="L24" s="40"/>
      <c r="M24" s="7"/>
    </row>
    <row r="25" spans="1:12" s="3" customFormat="1" ht="25.5">
      <c r="A25" s="43" t="s">
        <v>6</v>
      </c>
      <c r="B25" s="474"/>
      <c r="C25" s="28">
        <v>2006</v>
      </c>
      <c r="D25" s="28">
        <v>2007</v>
      </c>
      <c r="E25" s="28">
        <v>2008</v>
      </c>
      <c r="F25" s="28">
        <v>2009</v>
      </c>
      <c r="G25" s="28">
        <v>2010</v>
      </c>
      <c r="H25" s="28">
        <v>2011</v>
      </c>
      <c r="I25" s="196" t="str">
        <f>I4</f>
        <v>(18 month)
2012-2013</v>
      </c>
      <c r="J25" s="196" t="str">
        <f>J4</f>
        <v>FY2014</v>
      </c>
      <c r="K25" s="196" t="str">
        <f>K4</f>
        <v>FY2015</v>
      </c>
      <c r="L25" s="196" t="str">
        <f>L4</f>
        <v>Total 
2006 ~ FY2015</v>
      </c>
    </row>
    <row r="26" spans="1:12" s="3" customFormat="1" ht="12.75">
      <c r="A26" s="43" t="s">
        <v>7</v>
      </c>
      <c r="B26" s="474"/>
      <c r="C26" s="40" t="s">
        <v>8</v>
      </c>
      <c r="D26" s="40" t="s">
        <v>8</v>
      </c>
      <c r="E26" s="45" t="s">
        <v>8</v>
      </c>
      <c r="F26" s="45" t="s">
        <v>8</v>
      </c>
      <c r="G26" s="45" t="s">
        <v>8</v>
      </c>
      <c r="H26" s="45" t="s">
        <v>8</v>
      </c>
      <c r="I26" s="45" t="s">
        <v>8</v>
      </c>
      <c r="J26" s="45" t="s">
        <v>8</v>
      </c>
      <c r="K26" s="45" t="s">
        <v>8</v>
      </c>
      <c r="L26" s="40" t="s">
        <v>8</v>
      </c>
    </row>
    <row r="27" spans="1:13" s="3" customFormat="1" ht="12.75">
      <c r="A27" s="19" t="s">
        <v>343</v>
      </c>
      <c r="B27" s="251">
        <f>SUM(C27:G27)</f>
        <v>2226</v>
      </c>
      <c r="C27" s="252">
        <v>2</v>
      </c>
      <c r="D27" s="252">
        <v>22</v>
      </c>
      <c r="E27" s="252">
        <v>108</v>
      </c>
      <c r="F27" s="252">
        <v>1155</v>
      </c>
      <c r="G27" s="252">
        <v>939</v>
      </c>
      <c r="H27" s="252">
        <v>2131</v>
      </c>
      <c r="I27" s="252">
        <v>3479</v>
      </c>
      <c r="J27" s="252">
        <v>4661</v>
      </c>
      <c r="K27" s="252">
        <v>4644</v>
      </c>
      <c r="L27" s="250">
        <f>SUM(C27:K27)</f>
        <v>17141</v>
      </c>
      <c r="M27" s="7"/>
    </row>
    <row r="28" spans="1:14" s="3" customFormat="1" ht="12.75">
      <c r="A28" s="19" t="s">
        <v>344</v>
      </c>
      <c r="B28" s="320">
        <f>SUM(C28:G28)</f>
        <v>41191</v>
      </c>
      <c r="C28" s="252">
        <v>26</v>
      </c>
      <c r="D28" s="252">
        <v>442</v>
      </c>
      <c r="E28" s="252">
        <v>1456</v>
      </c>
      <c r="F28" s="252">
        <v>18378</v>
      </c>
      <c r="G28" s="252">
        <v>20889</v>
      </c>
      <c r="H28" s="252">
        <v>38314</v>
      </c>
      <c r="I28" s="252">
        <v>56224</v>
      </c>
      <c r="J28" s="252">
        <v>76998</v>
      </c>
      <c r="K28" s="252">
        <v>79266</v>
      </c>
      <c r="L28" s="250">
        <f>SUM(C28:K28)</f>
        <v>291993</v>
      </c>
      <c r="M28" s="141"/>
      <c r="N28" s="141"/>
    </row>
    <row r="29" spans="1:14" ht="12.75">
      <c r="A29" s="21"/>
      <c r="B29" s="102"/>
      <c r="C29" s="58"/>
      <c r="D29" s="58"/>
      <c r="E29" s="58"/>
      <c r="F29" s="58"/>
      <c r="G29" s="58"/>
      <c r="H29" s="58"/>
      <c r="I29" s="58"/>
      <c r="J29" s="58"/>
      <c r="K29" s="58"/>
      <c r="L29" s="44"/>
      <c r="M29" s="130"/>
      <c r="N29" s="65"/>
    </row>
    <row r="30" spans="1:14" ht="12.75">
      <c r="A30" s="43" t="s">
        <v>111</v>
      </c>
      <c r="B30" s="474"/>
      <c r="C30" s="63" t="s">
        <v>397</v>
      </c>
      <c r="D30" s="63" t="s">
        <v>397</v>
      </c>
      <c r="E30" s="87" t="s">
        <v>397</v>
      </c>
      <c r="F30" s="87" t="s">
        <v>397</v>
      </c>
      <c r="G30" s="87" t="s">
        <v>397</v>
      </c>
      <c r="H30" s="87" t="s">
        <v>397</v>
      </c>
      <c r="I30" s="87" t="s">
        <v>397</v>
      </c>
      <c r="J30" s="87" t="s">
        <v>397</v>
      </c>
      <c r="K30" s="87" t="s">
        <v>397</v>
      </c>
      <c r="L30" s="40" t="s">
        <v>397</v>
      </c>
      <c r="M30" s="65"/>
      <c r="N30" s="65"/>
    </row>
    <row r="31" spans="1:14" ht="12.75">
      <c r="A31" s="19" t="s">
        <v>424</v>
      </c>
      <c r="B31" s="320">
        <f>SUM(C31:G31)</f>
        <v>1232</v>
      </c>
      <c r="C31" s="252">
        <v>0</v>
      </c>
      <c r="D31" s="252"/>
      <c r="E31" s="252">
        <v>51</v>
      </c>
      <c r="F31" s="252">
        <v>366</v>
      </c>
      <c r="G31" s="252">
        <v>815</v>
      </c>
      <c r="H31" s="252">
        <v>894</v>
      </c>
      <c r="I31" s="252">
        <v>1081</v>
      </c>
      <c r="J31" s="252">
        <v>1551</v>
      </c>
      <c r="K31" s="252">
        <v>1824.39</v>
      </c>
      <c r="L31" s="250">
        <f>SUM(C31:K31)</f>
        <v>6582.39</v>
      </c>
      <c r="M31" s="65"/>
      <c r="N31" s="65"/>
    </row>
    <row r="32" spans="1:14" ht="12.75">
      <c r="A32" s="5"/>
      <c r="B32" s="476"/>
      <c r="C32" s="3"/>
      <c r="D32" s="3"/>
      <c r="E32" s="3"/>
      <c r="F32" s="3"/>
      <c r="G32" s="3"/>
      <c r="H32" s="3"/>
      <c r="I32" s="3"/>
      <c r="J32" s="3"/>
      <c r="K32" s="3"/>
      <c r="L32" s="3"/>
      <c r="M32" s="130"/>
      <c r="N32" s="65"/>
    </row>
    <row r="33" spans="1:12" ht="12.75">
      <c r="A33" s="43" t="s">
        <v>10</v>
      </c>
      <c r="B33" s="474"/>
      <c r="C33" s="40" t="s">
        <v>11</v>
      </c>
      <c r="D33" s="40" t="s">
        <v>11</v>
      </c>
      <c r="E33" s="45" t="s">
        <v>11</v>
      </c>
      <c r="F33" s="45" t="s">
        <v>11</v>
      </c>
      <c r="G33" s="45" t="s">
        <v>11</v>
      </c>
      <c r="H33" s="87" t="s">
        <v>11</v>
      </c>
      <c r="I33" s="87" t="s">
        <v>11</v>
      </c>
      <c r="J33" s="87" t="s">
        <v>11</v>
      </c>
      <c r="K33" s="87" t="s">
        <v>11</v>
      </c>
      <c r="L33" s="63" t="s">
        <v>11</v>
      </c>
    </row>
    <row r="34" spans="1:24" ht="12.75">
      <c r="A34" s="19" t="s">
        <v>343</v>
      </c>
      <c r="B34" s="320">
        <f>SUM(C34:G34)</f>
        <v>102093</v>
      </c>
      <c r="C34" s="252">
        <v>108</v>
      </c>
      <c r="D34" s="252">
        <v>803</v>
      </c>
      <c r="E34" s="252">
        <v>3835</v>
      </c>
      <c r="F34" s="252">
        <v>23909</v>
      </c>
      <c r="G34" s="252">
        <v>73438</v>
      </c>
      <c r="H34" s="252">
        <v>95298.35</v>
      </c>
      <c r="I34" s="252">
        <v>136412</v>
      </c>
      <c r="J34" s="252">
        <v>82585</v>
      </c>
      <c r="K34" s="252">
        <v>126541</v>
      </c>
      <c r="L34" s="252">
        <f>SUM(C34:K34)</f>
        <v>542929.35</v>
      </c>
      <c r="M34" s="9"/>
      <c r="N34" s="9"/>
      <c r="O34" s="9"/>
      <c r="P34" s="9"/>
      <c r="Q34" s="9"/>
      <c r="R34" s="9"/>
      <c r="S34" s="9"/>
      <c r="T34" s="9"/>
      <c r="U34" s="9"/>
      <c r="V34" s="9"/>
      <c r="W34" s="9"/>
      <c r="X34" s="9"/>
    </row>
    <row r="35" spans="1:24" ht="12.75">
      <c r="A35" s="19" t="s">
        <v>344</v>
      </c>
      <c r="B35" s="320">
        <f>SUM(C35:G35)</f>
        <v>2282308</v>
      </c>
      <c r="C35" s="252">
        <v>2152</v>
      </c>
      <c r="D35" s="252">
        <v>19299</v>
      </c>
      <c r="E35" s="252">
        <v>88013</v>
      </c>
      <c r="F35" s="252">
        <v>537652</v>
      </c>
      <c r="G35" s="252">
        <v>1635192</v>
      </c>
      <c r="H35" s="252">
        <v>2058386.84</v>
      </c>
      <c r="I35" s="252">
        <v>2972663</v>
      </c>
      <c r="J35" s="252">
        <v>2005100</v>
      </c>
      <c r="K35" s="252">
        <v>2957155</v>
      </c>
      <c r="L35" s="252">
        <f>SUM(C35:K35)</f>
        <v>12275612.84</v>
      </c>
      <c r="M35" s="9"/>
      <c r="N35" s="9"/>
      <c r="O35" s="9"/>
      <c r="P35" s="9"/>
      <c r="Q35" s="9"/>
      <c r="R35" s="9"/>
      <c r="S35" s="9"/>
      <c r="T35" s="9"/>
      <c r="U35" s="9"/>
      <c r="V35" s="9"/>
      <c r="W35" s="9"/>
      <c r="X35" s="9"/>
    </row>
    <row r="36" spans="1:2" ht="12.75">
      <c r="A36" s="2"/>
      <c r="B36" s="101"/>
    </row>
    <row r="37" spans="1:16" ht="12.75">
      <c r="A37" s="2"/>
      <c r="B37" s="101"/>
      <c r="C37" s="9"/>
      <c r="D37" s="9"/>
      <c r="E37" s="9"/>
      <c r="F37" s="9"/>
      <c r="G37" s="9"/>
      <c r="H37" s="9"/>
      <c r="I37" s="9"/>
      <c r="J37" s="9"/>
      <c r="K37" s="9"/>
      <c r="L37" s="9"/>
      <c r="M37" s="9"/>
      <c r="N37" s="9"/>
      <c r="O37" s="9"/>
      <c r="P37" s="9"/>
    </row>
    <row r="38" spans="1:16" ht="12.75">
      <c r="A38" s="428" t="s">
        <v>19</v>
      </c>
      <c r="B38" s="475"/>
      <c r="C38" s="9"/>
      <c r="D38" s="9"/>
      <c r="E38" s="9"/>
      <c r="F38" s="9"/>
      <c r="G38" s="9"/>
      <c r="H38" s="9"/>
      <c r="I38" s="9"/>
      <c r="J38" s="9"/>
      <c r="K38" s="9"/>
      <c r="L38" s="9"/>
      <c r="M38" s="9"/>
      <c r="N38" s="9"/>
      <c r="O38" s="9"/>
      <c r="P38" s="9"/>
    </row>
    <row r="39" spans="1:16" ht="25.5">
      <c r="A39" s="43" t="s">
        <v>6</v>
      </c>
      <c r="B39" s="474"/>
      <c r="C39" s="28">
        <v>2006</v>
      </c>
      <c r="D39" s="28">
        <v>2007</v>
      </c>
      <c r="E39" s="28">
        <v>2008</v>
      </c>
      <c r="F39" s="28">
        <v>2009</v>
      </c>
      <c r="G39" s="28">
        <v>2010</v>
      </c>
      <c r="H39" s="28">
        <v>2011</v>
      </c>
      <c r="I39" s="196" t="str">
        <f>I4</f>
        <v>(18 month)
2012-2013</v>
      </c>
      <c r="J39" s="196" t="str">
        <f>J4</f>
        <v>FY2014</v>
      </c>
      <c r="K39" s="196" t="str">
        <f>K4</f>
        <v>FY2015</v>
      </c>
      <c r="L39" s="196" t="str">
        <f>L4</f>
        <v>Total 
2006 ~ FY2015</v>
      </c>
      <c r="M39" s="9"/>
      <c r="N39" s="9"/>
      <c r="O39" s="9"/>
      <c r="P39" s="9"/>
    </row>
    <row r="40" spans="1:16" ht="12.75">
      <c r="A40" s="43" t="s">
        <v>7</v>
      </c>
      <c r="B40" s="474"/>
      <c r="C40" s="40" t="s">
        <v>8</v>
      </c>
      <c r="D40" s="40" t="s">
        <v>8</v>
      </c>
      <c r="E40" s="45" t="s">
        <v>8</v>
      </c>
      <c r="F40" s="45" t="s">
        <v>8</v>
      </c>
      <c r="G40" s="45" t="s">
        <v>8</v>
      </c>
      <c r="H40" s="45" t="s">
        <v>8</v>
      </c>
      <c r="I40" s="45" t="s">
        <v>8</v>
      </c>
      <c r="J40" s="45" t="s">
        <v>8</v>
      </c>
      <c r="K40" s="45" t="s">
        <v>8</v>
      </c>
      <c r="L40" s="40" t="s">
        <v>8</v>
      </c>
      <c r="M40" s="9"/>
      <c r="N40" s="9"/>
      <c r="O40" s="9"/>
      <c r="P40" s="9"/>
    </row>
    <row r="41" spans="1:13" ht="12.75">
      <c r="A41" s="19" t="s">
        <v>343</v>
      </c>
      <c r="B41" s="320">
        <f>SUM(C41:G41)</f>
        <v>0</v>
      </c>
      <c r="C41" s="252"/>
      <c r="D41" s="252"/>
      <c r="E41" s="252"/>
      <c r="F41" s="252"/>
      <c r="G41" s="252"/>
      <c r="H41" s="252"/>
      <c r="I41" s="252"/>
      <c r="J41" s="252">
        <v>240</v>
      </c>
      <c r="K41" s="252">
        <v>2167.4147018030512</v>
      </c>
      <c r="L41" s="250">
        <f>SUM(C41:K41)</f>
        <v>2407.4147018030512</v>
      </c>
      <c r="M41" s="8"/>
    </row>
    <row r="42" spans="1:12" ht="12.75">
      <c r="A42" s="19" t="s">
        <v>344</v>
      </c>
      <c r="B42" s="320">
        <f>SUM(C42:G42)</f>
        <v>0</v>
      </c>
      <c r="C42" s="252"/>
      <c r="D42" s="252"/>
      <c r="E42" s="252"/>
      <c r="F42" s="252"/>
      <c r="G42" s="252"/>
      <c r="H42" s="252"/>
      <c r="I42" s="252"/>
      <c r="J42" s="252">
        <v>3970</v>
      </c>
      <c r="K42" s="252">
        <v>36994.464632454925</v>
      </c>
      <c r="L42" s="250">
        <f>SUM(C42:K42)</f>
        <v>40964.464632454925</v>
      </c>
    </row>
    <row r="43" spans="1:16" ht="12.75">
      <c r="A43" s="21"/>
      <c r="B43" s="102"/>
      <c r="C43" s="58"/>
      <c r="D43" s="58"/>
      <c r="E43" s="58"/>
      <c r="F43" s="58"/>
      <c r="G43" s="58"/>
      <c r="H43" s="58"/>
      <c r="I43" s="58"/>
      <c r="J43" s="58"/>
      <c r="K43" s="58"/>
      <c r="L43" s="44"/>
      <c r="M43" s="9"/>
      <c r="N43" s="9"/>
      <c r="O43" s="9"/>
      <c r="P43" s="9"/>
    </row>
    <row r="44" spans="1:16" ht="12.75">
      <c r="A44" s="43" t="s">
        <v>111</v>
      </c>
      <c r="B44" s="474"/>
      <c r="C44" s="63" t="s">
        <v>397</v>
      </c>
      <c r="D44" s="63" t="s">
        <v>397</v>
      </c>
      <c r="E44" s="87" t="s">
        <v>397</v>
      </c>
      <c r="F44" s="87" t="s">
        <v>397</v>
      </c>
      <c r="G44" s="87" t="s">
        <v>397</v>
      </c>
      <c r="H44" s="87" t="s">
        <v>397</v>
      </c>
      <c r="I44" s="87" t="s">
        <v>397</v>
      </c>
      <c r="J44" s="87" t="s">
        <v>397</v>
      </c>
      <c r="K44" s="87" t="s">
        <v>397</v>
      </c>
      <c r="L44" s="40" t="s">
        <v>397</v>
      </c>
      <c r="M44" s="9"/>
      <c r="N44" s="9"/>
      <c r="O44" s="9"/>
      <c r="P44" s="9"/>
    </row>
    <row r="45" spans="1:16" ht="12.75">
      <c r="A45" s="19" t="s">
        <v>424</v>
      </c>
      <c r="B45" s="320">
        <f>SUM(C45:G45)</f>
        <v>0</v>
      </c>
      <c r="C45" s="252"/>
      <c r="D45" s="252"/>
      <c r="E45" s="252"/>
      <c r="F45" s="252"/>
      <c r="G45" s="252"/>
      <c r="H45" s="252"/>
      <c r="I45" s="252"/>
      <c r="J45" s="252">
        <v>80</v>
      </c>
      <c r="K45" s="252">
        <v>851.4663453536756</v>
      </c>
      <c r="L45" s="250">
        <f>SUM(C45:K45)</f>
        <v>931.4663453536756</v>
      </c>
      <c r="M45" s="9"/>
      <c r="N45" s="9"/>
      <c r="O45" s="9"/>
      <c r="P45" s="9"/>
    </row>
    <row r="46" spans="1:16" ht="12.75">
      <c r="A46" s="5"/>
      <c r="B46" s="476"/>
      <c r="C46" s="3"/>
      <c r="D46" s="3"/>
      <c r="E46" s="3"/>
      <c r="F46" s="3"/>
      <c r="G46" s="3"/>
      <c r="H46" s="3"/>
      <c r="I46" s="3"/>
      <c r="J46" s="3"/>
      <c r="K46" s="3"/>
      <c r="L46" s="3"/>
      <c r="M46" s="9"/>
      <c r="N46" s="9"/>
      <c r="O46" s="9"/>
      <c r="P46" s="9"/>
    </row>
    <row r="47" spans="1:12" ht="12.75">
      <c r="A47" s="43" t="s">
        <v>10</v>
      </c>
      <c r="B47" s="474"/>
      <c r="C47" s="40" t="s">
        <v>11</v>
      </c>
      <c r="D47" s="40" t="s">
        <v>11</v>
      </c>
      <c r="E47" s="45" t="s">
        <v>11</v>
      </c>
      <c r="F47" s="45" t="s">
        <v>11</v>
      </c>
      <c r="G47" s="45" t="s">
        <v>11</v>
      </c>
      <c r="H47" s="87" t="s">
        <v>11</v>
      </c>
      <c r="I47" s="87" t="s">
        <v>11</v>
      </c>
      <c r="J47" s="87" t="s">
        <v>11</v>
      </c>
      <c r="K47" s="87" t="s">
        <v>11</v>
      </c>
      <c r="L47" s="63" t="s">
        <v>11</v>
      </c>
    </row>
    <row r="48" spans="1:12" ht="12.75">
      <c r="A48" s="19" t="s">
        <v>343</v>
      </c>
      <c r="B48" s="320">
        <f>SUM(C48:G48)</f>
        <v>0</v>
      </c>
      <c r="C48" s="252"/>
      <c r="D48" s="252"/>
      <c r="E48" s="252"/>
      <c r="F48" s="252"/>
      <c r="G48" s="252"/>
      <c r="H48" s="252"/>
      <c r="I48" s="252"/>
      <c r="J48" s="252">
        <v>4258</v>
      </c>
      <c r="K48" s="252">
        <v>59058.316920943136</v>
      </c>
      <c r="L48" s="252">
        <f>SUM(C48:K48)</f>
        <v>63316.316920943136</v>
      </c>
    </row>
    <row r="49" spans="1:12" ht="12.75">
      <c r="A49" s="19" t="s">
        <v>344</v>
      </c>
      <c r="B49" s="320">
        <f>SUM(C49:G49)</f>
        <v>0</v>
      </c>
      <c r="C49" s="252"/>
      <c r="D49" s="252"/>
      <c r="E49" s="252"/>
      <c r="F49" s="252"/>
      <c r="G49" s="252"/>
      <c r="H49" s="252"/>
      <c r="I49" s="252"/>
      <c r="J49" s="252">
        <v>103386</v>
      </c>
      <c r="K49" s="252">
        <v>1380142.3821081833</v>
      </c>
      <c r="L49" s="252">
        <f>SUM(C49:K49)</f>
        <v>1483528.3821081833</v>
      </c>
    </row>
    <row r="50" spans="1:2" ht="12.75">
      <c r="A50" s="2"/>
      <c r="B50" s="2"/>
    </row>
    <row r="51" spans="1:3" ht="12.75">
      <c r="A51" s="117" t="s">
        <v>159</v>
      </c>
      <c r="B51" s="117"/>
      <c r="C51" s="117"/>
    </row>
    <row r="54" spans="1:2" ht="12.75">
      <c r="A54" s="2"/>
      <c r="B54" s="2"/>
    </row>
    <row r="55" spans="1:2" ht="12.75">
      <c r="A55" s="2"/>
      <c r="B55" s="2"/>
    </row>
    <row r="56" spans="1:2" ht="12.75">
      <c r="A56" s="2"/>
      <c r="B56" s="2"/>
    </row>
  </sheetData>
  <sheetProtection/>
  <mergeCells count="2">
    <mergeCell ref="A1:L1"/>
    <mergeCell ref="A2:L2"/>
  </mergeCells>
  <printOptions/>
  <pageMargins left="0.17" right="0.17" top="0.4" bottom="0.6" header="0.24" footer="0.24"/>
  <pageSetup fitToHeight="1" fitToWidth="1" horizontalDpi="600" verticalDpi="600" orientation="landscape" scale="81" r:id="rId1"/>
  <headerFooter scaleWithDoc="0" alignWithMargins="0">
    <oddFooter>&amp;L&amp;6&amp;A - Results by Program Year&amp;R&amp;6printed &amp;D at &amp;T</oddFooter>
  </headerFooter>
</worksheet>
</file>

<file path=xl/worksheets/sheet11.xml><?xml version="1.0" encoding="utf-8"?>
<worksheet xmlns="http://schemas.openxmlformats.org/spreadsheetml/2006/main" xmlns:r="http://schemas.openxmlformats.org/officeDocument/2006/relationships">
  <sheetPr>
    <tabColor theme="6"/>
    <outlinePr summaryRight="0"/>
    <pageSetUpPr fitToPage="1"/>
  </sheetPr>
  <dimension ref="A1:AC62"/>
  <sheetViews>
    <sheetView showGridLines="0" zoomScalePageLayoutView="0" workbookViewId="0" topLeftCell="A1">
      <selection activeCell="A1" sqref="A1:R1"/>
    </sheetView>
  </sheetViews>
  <sheetFormatPr defaultColWidth="10.7109375" defaultRowHeight="12.75" outlineLevelCol="1"/>
  <cols>
    <col min="1" max="1" width="25.7109375" style="3" customWidth="1"/>
    <col min="2" max="2" width="15.28125" style="3" customWidth="1"/>
    <col min="3" max="3" width="15.28125" style="3" customWidth="1" collapsed="1"/>
    <col min="4" max="4" width="15.140625" style="6" hidden="1" customWidth="1" outlineLevel="1"/>
    <col min="5" max="5" width="15.421875" style="6" hidden="1" customWidth="1" outlineLevel="1"/>
    <col min="6" max="6" width="14.8515625" style="6" hidden="1" customWidth="1" outlineLevel="1"/>
    <col min="7" max="7" width="15.421875" style="6" hidden="1" customWidth="1" outlineLevel="1"/>
    <col min="8" max="8" width="15.57421875" style="6" hidden="1" customWidth="1" outlineLevel="1"/>
    <col min="9" max="9" width="15.421875" style="6" hidden="1" customWidth="1" outlineLevel="1"/>
    <col min="10" max="13" width="15.57421875" style="6" hidden="1" customWidth="1" outlineLevel="1"/>
    <col min="14" max="17" width="15.57421875" style="6" customWidth="1"/>
    <col min="18" max="18" width="16.28125" style="6" bestFit="1" customWidth="1"/>
    <col min="19" max="16384" width="10.7109375" style="6" customWidth="1"/>
  </cols>
  <sheetData>
    <row r="1" spans="1:18" ht="12.75">
      <c r="A1" s="484" t="s">
        <v>393</v>
      </c>
      <c r="B1" s="484"/>
      <c r="C1" s="484"/>
      <c r="D1" s="484"/>
      <c r="E1" s="484"/>
      <c r="F1" s="484"/>
      <c r="G1" s="484"/>
      <c r="H1" s="484"/>
      <c r="I1" s="484"/>
      <c r="J1" s="484"/>
      <c r="K1" s="484"/>
      <c r="L1" s="484"/>
      <c r="M1" s="484"/>
      <c r="N1" s="484"/>
      <c r="O1" s="484"/>
      <c r="P1" s="484"/>
      <c r="Q1" s="484"/>
      <c r="R1" s="484"/>
    </row>
    <row r="2" spans="1:18" ht="12.75">
      <c r="A2" s="484" t="s">
        <v>0</v>
      </c>
      <c r="B2" s="484"/>
      <c r="C2" s="484"/>
      <c r="D2" s="484"/>
      <c r="E2" s="484"/>
      <c r="F2" s="484"/>
      <c r="G2" s="484"/>
      <c r="H2" s="484"/>
      <c r="I2" s="484"/>
      <c r="J2" s="484"/>
      <c r="K2" s="484"/>
      <c r="L2" s="484"/>
      <c r="M2" s="484"/>
      <c r="N2" s="484"/>
      <c r="O2" s="484"/>
      <c r="P2" s="484"/>
      <c r="Q2" s="484"/>
      <c r="R2" s="484"/>
    </row>
    <row r="3" spans="1:18" ht="15.75">
      <c r="A3" s="110"/>
      <c r="B3" s="110"/>
      <c r="C3" s="110"/>
      <c r="D3" s="115"/>
      <c r="E3" s="115"/>
      <c r="F3" s="115"/>
      <c r="G3" s="115"/>
      <c r="H3" s="115"/>
      <c r="I3" s="115"/>
      <c r="J3" s="115"/>
      <c r="K3" s="115"/>
      <c r="L3" s="115"/>
      <c r="M3" s="115"/>
      <c r="N3" s="115"/>
      <c r="O3" s="115"/>
      <c r="P3" s="115"/>
      <c r="Q3" s="115"/>
      <c r="R3" s="115"/>
    </row>
    <row r="4" spans="1:20" ht="25.5">
      <c r="A4" s="30" t="s">
        <v>254</v>
      </c>
      <c r="B4" s="196" t="s">
        <v>289</v>
      </c>
      <c r="C4" s="196" t="s">
        <v>461</v>
      </c>
      <c r="D4" s="28">
        <v>2001</v>
      </c>
      <c r="E4" s="28">
        <v>2002</v>
      </c>
      <c r="F4" s="28">
        <v>2003</v>
      </c>
      <c r="G4" s="28">
        <v>2004</v>
      </c>
      <c r="H4" s="28">
        <v>2005</v>
      </c>
      <c r="I4" s="28">
        <v>2006</v>
      </c>
      <c r="J4" s="28" t="s">
        <v>297</v>
      </c>
      <c r="K4" s="28">
        <v>2008</v>
      </c>
      <c r="L4" s="28">
        <v>2009</v>
      </c>
      <c r="M4" s="28">
        <v>2010</v>
      </c>
      <c r="N4" s="28">
        <v>2011</v>
      </c>
      <c r="O4" s="196" t="s">
        <v>346</v>
      </c>
      <c r="P4" s="196" t="s">
        <v>351</v>
      </c>
      <c r="Q4" s="196" t="s">
        <v>440</v>
      </c>
      <c r="R4" s="344" t="str">
        <f>"Total "&amp;CHAR(10)&amp;D4&amp;" ~ "&amp;Q4</f>
        <v>Total 
2001 ~ FY2015</v>
      </c>
      <c r="S4" s="3"/>
      <c r="T4" s="3"/>
    </row>
    <row r="5" spans="1:20" ht="12.75">
      <c r="A5" s="225" t="s">
        <v>2</v>
      </c>
      <c r="B5" s="272">
        <f aca="true" t="shared" si="0" ref="B5:B10">SUM(D5:H5)</f>
        <v>85733</v>
      </c>
      <c r="C5" s="278">
        <f>SUM(I5:K5)*1000+SUM(L5:M5)</f>
        <v>136394261.39</v>
      </c>
      <c r="D5" s="280">
        <v>15224</v>
      </c>
      <c r="E5" s="280">
        <v>15497</v>
      </c>
      <c r="F5" s="280">
        <v>15412</v>
      </c>
      <c r="G5" s="280">
        <v>14640</v>
      </c>
      <c r="H5" s="272">
        <v>24960</v>
      </c>
      <c r="I5" s="272">
        <v>21330</v>
      </c>
      <c r="J5" s="272">
        <v>20175</v>
      </c>
      <c r="K5" s="272">
        <v>26373</v>
      </c>
      <c r="L5" s="272">
        <v>36309764.38</v>
      </c>
      <c r="M5" s="272">
        <v>32206497.01</v>
      </c>
      <c r="N5" s="272">
        <v>30829308.11</v>
      </c>
      <c r="O5" s="247">
        <v>50000000</v>
      </c>
      <c r="P5" s="247">
        <v>35102476.2</v>
      </c>
      <c r="Q5" s="247">
        <v>35000000</v>
      </c>
      <c r="R5" s="272"/>
      <c r="S5" s="3"/>
      <c r="T5" s="3"/>
    </row>
    <row r="6" spans="1:20" ht="12.75">
      <c r="A6" s="225" t="s">
        <v>3</v>
      </c>
      <c r="B6" s="272">
        <f t="shared" si="0"/>
        <v>1255</v>
      </c>
      <c r="C6" s="272">
        <f>SUM(I6:K6)*1000+SUM(L6:M6)</f>
        <v>0</v>
      </c>
      <c r="D6" s="280"/>
      <c r="E6" s="280"/>
      <c r="F6" s="280">
        <v>722</v>
      </c>
      <c r="G6" s="280">
        <v>493</v>
      </c>
      <c r="H6" s="272">
        <v>40</v>
      </c>
      <c r="I6" s="272" t="s">
        <v>4</v>
      </c>
      <c r="J6" s="374"/>
      <c r="K6" s="374"/>
      <c r="L6" s="374"/>
      <c r="M6" s="374"/>
      <c r="N6" s="374"/>
      <c r="O6" s="374"/>
      <c r="P6" s="374"/>
      <c r="Q6" s="374"/>
      <c r="R6" s="272"/>
      <c r="S6" s="3"/>
      <c r="T6" s="3"/>
    </row>
    <row r="7" spans="1:20" ht="12.75">
      <c r="A7" s="225" t="s">
        <v>136</v>
      </c>
      <c r="B7" s="272">
        <f t="shared" si="0"/>
        <v>0</v>
      </c>
      <c r="C7" s="272">
        <f>SUM(I7:K7)*1000+SUM(L7:M7)</f>
        <v>12517000</v>
      </c>
      <c r="D7" s="280"/>
      <c r="E7" s="280"/>
      <c r="F7" s="280"/>
      <c r="G7" s="280"/>
      <c r="H7" s="272"/>
      <c r="I7" s="272">
        <v>3725</v>
      </c>
      <c r="J7" s="272">
        <v>6933</v>
      </c>
      <c r="K7" s="272">
        <v>1859</v>
      </c>
      <c r="L7" s="374"/>
      <c r="M7" s="374"/>
      <c r="N7" s="374"/>
      <c r="O7" s="374"/>
      <c r="P7" s="374"/>
      <c r="Q7" s="374"/>
      <c r="R7" s="272"/>
      <c r="S7" s="3"/>
      <c r="T7" s="3"/>
    </row>
    <row r="8" spans="1:20" ht="12.75">
      <c r="A8" s="225" t="s">
        <v>137</v>
      </c>
      <c r="B8" s="272">
        <f t="shared" si="0"/>
        <v>0</v>
      </c>
      <c r="C8" s="272">
        <f>SUM(I8:K8)*1000+SUM(L8:M8)</f>
        <v>800000</v>
      </c>
      <c r="D8" s="280"/>
      <c r="E8" s="280"/>
      <c r="F8" s="280"/>
      <c r="G8" s="280"/>
      <c r="H8" s="272"/>
      <c r="I8" s="272">
        <v>200</v>
      </c>
      <c r="J8" s="272">
        <v>300</v>
      </c>
      <c r="K8" s="272">
        <v>300</v>
      </c>
      <c r="L8" s="374"/>
      <c r="M8" s="374"/>
      <c r="N8" s="374"/>
      <c r="O8" s="374"/>
      <c r="P8" s="374"/>
      <c r="Q8" s="374"/>
      <c r="R8" s="272"/>
      <c r="S8" s="3"/>
      <c r="T8" s="3"/>
    </row>
    <row r="9" spans="1:20" ht="12.75">
      <c r="A9" s="16" t="s">
        <v>1</v>
      </c>
      <c r="B9" s="272">
        <f t="shared" si="0"/>
        <v>86988</v>
      </c>
      <c r="C9" s="272">
        <f>SUM(I9:K9)*1000+SUM(L9:M9)</f>
        <v>81195000</v>
      </c>
      <c r="D9" s="280">
        <f>SUM(D5:D7)</f>
        <v>15224</v>
      </c>
      <c r="E9" s="280">
        <f>SUM(E5:E7)</f>
        <v>15497</v>
      </c>
      <c r="F9" s="280">
        <f>SUM(F5:F7)</f>
        <v>16134</v>
      </c>
      <c r="G9" s="280">
        <f>SUM(G5:G7)</f>
        <v>15133</v>
      </c>
      <c r="H9" s="272">
        <f>SUM(H5:H7)</f>
        <v>25000</v>
      </c>
      <c r="I9" s="272">
        <f>SUM(I5:I8)</f>
        <v>25255</v>
      </c>
      <c r="J9" s="272">
        <f>SUM(J5:J8)</f>
        <v>27408</v>
      </c>
      <c r="K9" s="272">
        <f>SUM(K5:K8)</f>
        <v>28532</v>
      </c>
      <c r="L9" s="374"/>
      <c r="M9" s="374"/>
      <c r="N9" s="374"/>
      <c r="O9" s="374"/>
      <c r="P9" s="374"/>
      <c r="Q9" s="374"/>
      <c r="R9" s="272"/>
      <c r="S9" s="4"/>
      <c r="T9" s="3"/>
    </row>
    <row r="10" spans="1:20" ht="12.75">
      <c r="A10" s="16" t="s">
        <v>205</v>
      </c>
      <c r="B10" s="281">
        <f t="shared" si="0"/>
        <v>86988000</v>
      </c>
      <c r="C10" s="281">
        <f>SUM(I10:M10)</f>
        <v>149711261.39</v>
      </c>
      <c r="D10" s="282">
        <f>D9*1000</f>
        <v>15224000</v>
      </c>
      <c r="E10" s="282">
        <f aca="true" t="shared" si="1" ref="E10:K10">E9*1000</f>
        <v>15497000</v>
      </c>
      <c r="F10" s="282">
        <f t="shared" si="1"/>
        <v>16134000</v>
      </c>
      <c r="G10" s="282">
        <f t="shared" si="1"/>
        <v>15133000</v>
      </c>
      <c r="H10" s="281">
        <f t="shared" si="1"/>
        <v>25000000</v>
      </c>
      <c r="I10" s="281">
        <f t="shared" si="1"/>
        <v>25255000</v>
      </c>
      <c r="J10" s="281">
        <f t="shared" si="1"/>
        <v>27408000</v>
      </c>
      <c r="K10" s="281">
        <f t="shared" si="1"/>
        <v>28532000</v>
      </c>
      <c r="L10" s="281">
        <f aca="true" t="shared" si="2" ref="L10:Q10">SUM(L5:L8)</f>
        <v>36309764.38</v>
      </c>
      <c r="M10" s="281">
        <f t="shared" si="2"/>
        <v>32206497.01</v>
      </c>
      <c r="N10" s="281">
        <f t="shared" si="2"/>
        <v>30829308.11</v>
      </c>
      <c r="O10" s="281">
        <f t="shared" si="2"/>
        <v>50000000</v>
      </c>
      <c r="P10" s="281">
        <f t="shared" si="2"/>
        <v>35102476.2</v>
      </c>
      <c r="Q10" s="281">
        <f t="shared" si="2"/>
        <v>35000000</v>
      </c>
      <c r="R10" s="281">
        <f>SUM(D10:Q10)</f>
        <v>387631045.7</v>
      </c>
      <c r="S10" s="4"/>
      <c r="T10" s="3"/>
    </row>
    <row r="11" spans="1:20" ht="24.75" customHeight="1">
      <c r="A11" s="487" t="s">
        <v>310</v>
      </c>
      <c r="B11" s="487"/>
      <c r="C11" s="487"/>
      <c r="D11" s="487"/>
      <c r="E11" s="487"/>
      <c r="F11" s="487"/>
      <c r="G11" s="487"/>
      <c r="H11" s="487"/>
      <c r="I11" s="487"/>
      <c r="J11" s="487"/>
      <c r="K11" s="487"/>
      <c r="L11" s="487"/>
      <c r="M11" s="487"/>
      <c r="N11" s="487"/>
      <c r="O11" s="487"/>
      <c r="P11" s="487"/>
      <c r="Q11" s="487"/>
      <c r="R11" s="487"/>
      <c r="S11" s="3"/>
      <c r="T11" s="3"/>
    </row>
    <row r="12" spans="1:20" ht="12.75">
      <c r="A12" s="133"/>
      <c r="B12" s="133"/>
      <c r="C12" s="133"/>
      <c r="D12" s="133"/>
      <c r="E12" s="133"/>
      <c r="F12" s="133"/>
      <c r="G12" s="133"/>
      <c r="H12" s="133"/>
      <c r="I12" s="133"/>
      <c r="J12" s="133"/>
      <c r="K12" s="133"/>
      <c r="L12" s="133"/>
      <c r="M12" s="133"/>
      <c r="N12" s="133"/>
      <c r="O12" s="133"/>
      <c r="P12" s="133"/>
      <c r="Q12" s="133"/>
      <c r="R12" s="133"/>
      <c r="S12" s="3"/>
      <c r="T12" s="3"/>
    </row>
    <row r="13" spans="1:20" ht="12.75">
      <c r="A13" s="30" t="s">
        <v>207</v>
      </c>
      <c r="B13" s="30"/>
      <c r="C13" s="30"/>
      <c r="D13" s="41"/>
      <c r="E13" s="41"/>
      <c r="F13" s="41"/>
      <c r="G13" s="41"/>
      <c r="H13" s="121"/>
      <c r="I13" s="121"/>
      <c r="J13" s="121"/>
      <c r="K13" s="121"/>
      <c r="L13" s="121"/>
      <c r="M13" s="121"/>
      <c r="N13" s="121"/>
      <c r="O13" s="121"/>
      <c r="P13" s="121"/>
      <c r="Q13" s="121"/>
      <c r="R13" s="102"/>
      <c r="S13" s="3"/>
      <c r="T13" s="3"/>
    </row>
    <row r="14" spans="1:18" s="3" customFormat="1" ht="12.75">
      <c r="A14" s="225" t="s">
        <v>2</v>
      </c>
      <c r="B14" s="272">
        <f aca="true" t="shared" si="3" ref="B14:B19">SUM(D14:H14)</f>
        <v>67812</v>
      </c>
      <c r="C14" s="272">
        <f>SUM(I14:K14)*1000+SUM(L14:M14)</f>
        <v>120453639.83</v>
      </c>
      <c r="D14" s="280">
        <v>10354</v>
      </c>
      <c r="E14" s="280">
        <v>13268</v>
      </c>
      <c r="F14" s="280">
        <v>14756</v>
      </c>
      <c r="G14" s="280">
        <v>13974</v>
      </c>
      <c r="H14" s="272">
        <v>15460</v>
      </c>
      <c r="I14" s="272">
        <v>16557</v>
      </c>
      <c r="J14" s="272">
        <v>21096</v>
      </c>
      <c r="K14" s="272">
        <v>20682</v>
      </c>
      <c r="L14" s="272">
        <v>30741450.93</v>
      </c>
      <c r="M14" s="272">
        <v>31377188.9</v>
      </c>
      <c r="N14" s="272">
        <v>28405761.97</v>
      </c>
      <c r="O14" s="247">
        <v>48397526.8</v>
      </c>
      <c r="P14" s="247">
        <v>31739536.69</v>
      </c>
      <c r="Q14" s="247">
        <v>27510017.07</v>
      </c>
      <c r="R14" s="272"/>
    </row>
    <row r="15" spans="1:18" s="3" customFormat="1" ht="12.75">
      <c r="A15" s="225" t="s">
        <v>3</v>
      </c>
      <c r="B15" s="272">
        <f t="shared" si="3"/>
        <v>978</v>
      </c>
      <c r="C15" s="272">
        <f>SUM(I15:K15)*1000+SUM(L15:M15)</f>
        <v>0</v>
      </c>
      <c r="D15" s="280" t="s">
        <v>4</v>
      </c>
      <c r="E15" s="280" t="s">
        <v>4</v>
      </c>
      <c r="F15" s="280">
        <v>679</v>
      </c>
      <c r="G15" s="280">
        <v>292</v>
      </c>
      <c r="H15" s="272">
        <v>7</v>
      </c>
      <c r="I15" s="272" t="s">
        <v>4</v>
      </c>
      <c r="J15" s="374"/>
      <c r="K15" s="374"/>
      <c r="L15" s="374"/>
      <c r="M15" s="374"/>
      <c r="N15" s="374"/>
      <c r="O15" s="374"/>
      <c r="P15" s="374"/>
      <c r="Q15" s="374"/>
      <c r="R15" s="272"/>
    </row>
    <row r="16" spans="1:18" s="3" customFormat="1" ht="12.75">
      <c r="A16" s="225" t="s">
        <v>136</v>
      </c>
      <c r="B16" s="272">
        <f t="shared" si="3"/>
        <v>0</v>
      </c>
      <c r="C16" s="272">
        <f>SUM(I16:K16)*1000+SUM(L16:M16)</f>
        <v>6699000</v>
      </c>
      <c r="D16" s="280"/>
      <c r="E16" s="280"/>
      <c r="F16" s="280"/>
      <c r="G16" s="280"/>
      <c r="H16" s="272"/>
      <c r="I16" s="272">
        <v>1652</v>
      </c>
      <c r="J16" s="272">
        <v>5074</v>
      </c>
      <c r="K16" s="272">
        <v>-27</v>
      </c>
      <c r="L16" s="374"/>
      <c r="M16" s="374"/>
      <c r="N16" s="374"/>
      <c r="O16" s="374"/>
      <c r="P16" s="374"/>
      <c r="Q16" s="374"/>
      <c r="R16" s="272"/>
    </row>
    <row r="17" spans="1:18" s="3" customFormat="1" ht="12.75">
      <c r="A17" s="225" t="s">
        <v>137</v>
      </c>
      <c r="B17" s="272">
        <f t="shared" si="3"/>
        <v>0</v>
      </c>
      <c r="C17" s="272">
        <f>SUM(I17:K17)*1000+SUM(L17:M17)</f>
        <v>0</v>
      </c>
      <c r="D17" s="280"/>
      <c r="E17" s="280"/>
      <c r="F17" s="280"/>
      <c r="G17" s="280"/>
      <c r="H17" s="272"/>
      <c r="I17" s="272">
        <v>0</v>
      </c>
      <c r="J17" s="272">
        <v>0</v>
      </c>
      <c r="K17" s="272">
        <v>0</v>
      </c>
      <c r="L17" s="374"/>
      <c r="M17" s="374"/>
      <c r="N17" s="374"/>
      <c r="O17" s="374"/>
      <c r="P17" s="374"/>
      <c r="Q17" s="374"/>
      <c r="R17" s="272"/>
    </row>
    <row r="18" spans="1:18" s="3" customFormat="1" ht="12.75">
      <c r="A18" s="16" t="s">
        <v>1</v>
      </c>
      <c r="B18" s="272">
        <f t="shared" si="3"/>
        <v>68790</v>
      </c>
      <c r="C18" s="272">
        <f>SUM(I18:K18)*1000+SUM(L18:M18)</f>
        <v>65034000</v>
      </c>
      <c r="D18" s="280">
        <f>SUM(D14:D15)</f>
        <v>10354</v>
      </c>
      <c r="E18" s="280">
        <f>SUM(E14:E15)</f>
        <v>13268</v>
      </c>
      <c r="F18" s="280">
        <f>SUM(F14:F15)</f>
        <v>15435</v>
      </c>
      <c r="G18" s="280">
        <f>SUM(G14:G15)</f>
        <v>14266</v>
      </c>
      <c r="H18" s="272">
        <f>SUM(H14:H15)</f>
        <v>15467</v>
      </c>
      <c r="I18" s="272">
        <f>SUM(I14:I17)</f>
        <v>18209</v>
      </c>
      <c r="J18" s="272">
        <f>SUM(J14:J17)</f>
        <v>26170</v>
      </c>
      <c r="K18" s="272">
        <f>SUM(K14:K17)</f>
        <v>20655</v>
      </c>
      <c r="L18" s="374"/>
      <c r="M18" s="374"/>
      <c r="N18" s="374"/>
      <c r="O18" s="374"/>
      <c r="P18" s="374"/>
      <c r="Q18" s="374"/>
      <c r="R18" s="272"/>
    </row>
    <row r="19" spans="1:18" s="3" customFormat="1" ht="12.75">
      <c r="A19" s="16" t="s">
        <v>205</v>
      </c>
      <c r="B19" s="281">
        <f t="shared" si="3"/>
        <v>68790000</v>
      </c>
      <c r="C19" s="281">
        <f>SUM(I19:M19)</f>
        <v>127152639.83000001</v>
      </c>
      <c r="D19" s="282">
        <f>D18*1000</f>
        <v>10354000</v>
      </c>
      <c r="E19" s="282">
        <f aca="true" t="shared" si="4" ref="E19:K19">E18*1000</f>
        <v>13268000</v>
      </c>
      <c r="F19" s="282">
        <f t="shared" si="4"/>
        <v>15435000</v>
      </c>
      <c r="G19" s="282">
        <f t="shared" si="4"/>
        <v>14266000</v>
      </c>
      <c r="H19" s="281">
        <f t="shared" si="4"/>
        <v>15467000</v>
      </c>
      <c r="I19" s="281">
        <f t="shared" si="4"/>
        <v>18209000</v>
      </c>
      <c r="J19" s="281">
        <f t="shared" si="4"/>
        <v>26170000</v>
      </c>
      <c r="K19" s="281">
        <f t="shared" si="4"/>
        <v>20655000</v>
      </c>
      <c r="L19" s="281">
        <f aca="true" t="shared" si="5" ref="L19:Q19">SUM(L14:L17)</f>
        <v>30741450.93</v>
      </c>
      <c r="M19" s="281">
        <f t="shared" si="5"/>
        <v>31377188.9</v>
      </c>
      <c r="N19" s="281">
        <f t="shared" si="5"/>
        <v>28405761.97</v>
      </c>
      <c r="O19" s="281">
        <f t="shared" si="5"/>
        <v>48397526.8</v>
      </c>
      <c r="P19" s="281">
        <f t="shared" si="5"/>
        <v>31739536.69</v>
      </c>
      <c r="Q19" s="281">
        <f t="shared" si="5"/>
        <v>27510017.07</v>
      </c>
      <c r="R19" s="281">
        <f>SUM(D19:Q19)</f>
        <v>331995482.36</v>
      </c>
    </row>
    <row r="20" spans="1:18" s="3" customFormat="1" ht="12.75">
      <c r="A20" s="21"/>
      <c r="B20" s="21"/>
      <c r="C20" s="21"/>
      <c r="D20" s="40"/>
      <c r="E20" s="40"/>
      <c r="F20" s="40"/>
      <c r="G20" s="40"/>
      <c r="H20" s="40"/>
      <c r="I20" s="40"/>
      <c r="J20" s="40"/>
      <c r="K20" s="40"/>
      <c r="L20" s="40"/>
      <c r="M20" s="40"/>
      <c r="N20" s="40"/>
      <c r="O20" s="40"/>
      <c r="P20" s="40"/>
      <c r="Q20" s="40"/>
      <c r="R20" s="40"/>
    </row>
    <row r="21" spans="1:18" s="3" customFormat="1" ht="12.75">
      <c r="A21" s="43" t="s">
        <v>414</v>
      </c>
      <c r="B21" s="43"/>
      <c r="C21" s="43"/>
      <c r="D21" s="40"/>
      <c r="E21" s="40"/>
      <c r="F21" s="40"/>
      <c r="G21" s="40"/>
      <c r="H21" s="40"/>
      <c r="I21" s="40"/>
      <c r="J21" s="40"/>
      <c r="K21" s="40"/>
      <c r="L21" s="40"/>
      <c r="M21" s="40"/>
      <c r="N21" s="40"/>
      <c r="O21" s="40"/>
      <c r="P21" s="40"/>
      <c r="Q21" s="40"/>
      <c r="R21" s="40"/>
    </row>
    <row r="22" spans="1:18" s="3" customFormat="1" ht="12.75">
      <c r="A22" s="225" t="s">
        <v>2</v>
      </c>
      <c r="B22" s="250">
        <f>SUM(D22:H22)</f>
        <v>31014</v>
      </c>
      <c r="C22" s="250">
        <f>SUM(I22:M22)</f>
        <v>36728</v>
      </c>
      <c r="D22" s="250">
        <v>5848</v>
      </c>
      <c r="E22" s="250">
        <v>5937</v>
      </c>
      <c r="F22" s="250">
        <v>6268</v>
      </c>
      <c r="G22" s="250">
        <v>6558</v>
      </c>
      <c r="H22" s="250">
        <v>6403</v>
      </c>
      <c r="I22" s="250">
        <v>7190</v>
      </c>
      <c r="J22" s="250">
        <v>7706</v>
      </c>
      <c r="K22" s="250">
        <v>7239</v>
      </c>
      <c r="L22" s="250">
        <v>7779</v>
      </c>
      <c r="M22" s="250">
        <v>6814</v>
      </c>
      <c r="N22" s="250">
        <v>7054</v>
      </c>
      <c r="O22" s="252">
        <v>11760</v>
      </c>
      <c r="P22" s="252">
        <v>6054</v>
      </c>
      <c r="Q22" s="252">
        <v>5188</v>
      </c>
      <c r="R22" s="250">
        <f>SUM(D22:Q22)</f>
        <v>97798</v>
      </c>
    </row>
    <row r="23" spans="1:18" s="3" customFormat="1" ht="12.75">
      <c r="A23" s="225" t="s">
        <v>3</v>
      </c>
      <c r="B23" s="250">
        <f>SUM(D23:H23)</f>
        <v>541</v>
      </c>
      <c r="C23" s="250">
        <f>SUM(I23:M23)</f>
        <v>0</v>
      </c>
      <c r="D23" s="250" t="s">
        <v>4</v>
      </c>
      <c r="E23" s="250" t="s">
        <v>4</v>
      </c>
      <c r="F23" s="250">
        <v>393</v>
      </c>
      <c r="G23" s="250">
        <v>148</v>
      </c>
      <c r="H23" s="250">
        <v>0</v>
      </c>
      <c r="I23" s="250">
        <v>0</v>
      </c>
      <c r="J23" s="250">
        <v>0</v>
      </c>
      <c r="K23" s="316"/>
      <c r="L23" s="316"/>
      <c r="M23" s="316"/>
      <c r="N23" s="316"/>
      <c r="O23" s="316"/>
      <c r="P23" s="316"/>
      <c r="Q23" s="316"/>
      <c r="R23" s="250">
        <f>SUM(D23:Q23)</f>
        <v>541</v>
      </c>
    </row>
    <row r="24" spans="1:18" s="3" customFormat="1" ht="12.75">
      <c r="A24" s="225" t="s">
        <v>136</v>
      </c>
      <c r="B24" s="250">
        <f>SUM(D24:H24)</f>
        <v>0</v>
      </c>
      <c r="C24" s="250">
        <f>SUM(I24:M24)</f>
        <v>2140</v>
      </c>
      <c r="D24" s="250"/>
      <c r="E24" s="250"/>
      <c r="F24" s="250"/>
      <c r="G24" s="250"/>
      <c r="H24" s="250"/>
      <c r="I24" s="250">
        <v>1362</v>
      </c>
      <c r="J24" s="250">
        <v>778</v>
      </c>
      <c r="K24" s="316"/>
      <c r="L24" s="316"/>
      <c r="M24" s="316"/>
      <c r="N24" s="316"/>
      <c r="O24" s="316"/>
      <c r="P24" s="316"/>
      <c r="Q24" s="316"/>
      <c r="R24" s="250">
        <f>SUM(D24:Q24)</f>
        <v>2140</v>
      </c>
    </row>
    <row r="25" spans="1:20" s="3" customFormat="1" ht="12.75">
      <c r="A25" s="225" t="s">
        <v>137</v>
      </c>
      <c r="B25" s="250">
        <f>SUM(D25:H25)</f>
        <v>0</v>
      </c>
      <c r="C25" s="250">
        <f>SUM(I25:M25)</f>
        <v>0</v>
      </c>
      <c r="D25" s="250"/>
      <c r="E25" s="250"/>
      <c r="F25" s="250"/>
      <c r="G25" s="250"/>
      <c r="H25" s="250"/>
      <c r="I25" s="250">
        <v>0</v>
      </c>
      <c r="J25" s="250">
        <v>0</v>
      </c>
      <c r="K25" s="316"/>
      <c r="L25" s="316"/>
      <c r="M25" s="316"/>
      <c r="N25" s="316"/>
      <c r="O25" s="316"/>
      <c r="P25" s="316"/>
      <c r="Q25" s="316"/>
      <c r="R25" s="250">
        <f>SUM(D25:Q25)</f>
        <v>0</v>
      </c>
      <c r="T25" s="26" t="s">
        <v>88</v>
      </c>
    </row>
    <row r="26" spans="1:19" s="3" customFormat="1" ht="12.75">
      <c r="A26" s="16" t="s">
        <v>1</v>
      </c>
      <c r="B26" s="263">
        <f>SUM(D26:H26)</f>
        <v>31555</v>
      </c>
      <c r="C26" s="263">
        <f>SUM(I26:M26)</f>
        <v>38868</v>
      </c>
      <c r="D26" s="263">
        <f>SUM(D22:D23)</f>
        <v>5848</v>
      </c>
      <c r="E26" s="263">
        <f>SUM(E22:E23)</f>
        <v>5937</v>
      </c>
      <c r="F26" s="263">
        <f>SUM(F22:F23)</f>
        <v>6661</v>
      </c>
      <c r="G26" s="263">
        <f>SUM(G22:G23)</f>
        <v>6706</v>
      </c>
      <c r="H26" s="263">
        <f>SUM(H22:H23)</f>
        <v>6403</v>
      </c>
      <c r="I26" s="263">
        <f aca="true" t="shared" si="6" ref="I26:N26">SUM(I22:I25)</f>
        <v>8552</v>
      </c>
      <c r="J26" s="263">
        <f t="shared" si="6"/>
        <v>8484</v>
      </c>
      <c r="K26" s="263">
        <f t="shared" si="6"/>
        <v>7239</v>
      </c>
      <c r="L26" s="263">
        <f t="shared" si="6"/>
        <v>7779</v>
      </c>
      <c r="M26" s="263">
        <f t="shared" si="6"/>
        <v>6814</v>
      </c>
      <c r="N26" s="263">
        <f t="shared" si="6"/>
        <v>7054</v>
      </c>
      <c r="O26" s="263">
        <f>SUM(O22:O25)</f>
        <v>11760</v>
      </c>
      <c r="P26" s="263">
        <f>SUM(P22:P25)</f>
        <v>6054</v>
      </c>
      <c r="Q26" s="263">
        <f>SUM(Q22:Q25)</f>
        <v>5188</v>
      </c>
      <c r="R26" s="263">
        <f>SUM(D26:Q26)</f>
        <v>100479</v>
      </c>
      <c r="S26" s="6"/>
    </row>
    <row r="27" spans="1:19" s="3" customFormat="1" ht="12.75">
      <c r="A27" s="43"/>
      <c r="B27" s="265"/>
      <c r="C27" s="265"/>
      <c r="D27" s="265"/>
      <c r="E27" s="265"/>
      <c r="F27" s="265"/>
      <c r="G27" s="265"/>
      <c r="H27" s="265"/>
      <c r="I27" s="265"/>
      <c r="J27" s="265"/>
      <c r="K27" s="265"/>
      <c r="L27" s="265"/>
      <c r="M27" s="265"/>
      <c r="N27" s="265"/>
      <c r="O27" s="265"/>
      <c r="P27" s="265"/>
      <c r="Q27" s="265"/>
      <c r="R27" s="265"/>
      <c r="S27" s="6"/>
    </row>
    <row r="28" spans="1:19" s="3" customFormat="1" ht="12.75">
      <c r="A28" s="43"/>
      <c r="B28" s="265"/>
      <c r="C28" s="265"/>
      <c r="D28" s="265"/>
      <c r="E28" s="265"/>
      <c r="F28" s="265"/>
      <c r="G28" s="265"/>
      <c r="H28" s="265"/>
      <c r="I28" s="265"/>
      <c r="J28" s="265"/>
      <c r="K28" s="265"/>
      <c r="L28" s="265"/>
      <c r="M28" s="265"/>
      <c r="N28" s="265"/>
      <c r="O28" s="265"/>
      <c r="P28" s="265"/>
      <c r="Q28" s="265"/>
      <c r="R28" s="265"/>
      <c r="S28" s="6"/>
    </row>
    <row r="29" spans="1:18" s="3" customFormat="1" ht="12.75">
      <c r="A29" s="428" t="s">
        <v>388</v>
      </c>
      <c r="B29" s="40"/>
      <c r="C29" s="40"/>
      <c r="D29" s="40"/>
      <c r="E29" s="40"/>
      <c r="F29" s="40"/>
      <c r="G29" s="40"/>
      <c r="H29" s="40"/>
      <c r="I29" s="40"/>
      <c r="J29" s="40"/>
      <c r="K29" s="40"/>
      <c r="L29" s="40"/>
      <c r="M29" s="40"/>
      <c r="N29" s="40"/>
      <c r="O29" s="40"/>
      <c r="P29" s="40"/>
      <c r="Q29" s="40"/>
      <c r="R29" s="40"/>
    </row>
    <row r="30" spans="1:18" s="3" customFormat="1" ht="12.75">
      <c r="A30" s="428"/>
      <c r="B30" s="40"/>
      <c r="C30" s="40"/>
      <c r="D30" s="40"/>
      <c r="E30" s="40"/>
      <c r="F30" s="40"/>
      <c r="G30" s="40"/>
      <c r="H30" s="40"/>
      <c r="I30" s="40"/>
      <c r="J30" s="40"/>
      <c r="K30" s="40"/>
      <c r="L30" s="40"/>
      <c r="M30" s="40"/>
      <c r="N30" s="40"/>
      <c r="O30" s="40"/>
      <c r="P30" s="40"/>
      <c r="Q30" s="40"/>
      <c r="R30" s="40"/>
    </row>
    <row r="31" spans="1:18" s="3" customFormat="1" ht="12.75">
      <c r="A31" s="43" t="s">
        <v>6</v>
      </c>
      <c r="B31" s="43"/>
      <c r="C31" s="43"/>
      <c r="D31" s="40"/>
      <c r="E31" s="40"/>
      <c r="F31" s="40"/>
      <c r="G31" s="40"/>
      <c r="H31" s="40"/>
      <c r="I31" s="40"/>
      <c r="J31" s="40"/>
      <c r="K31" s="40"/>
      <c r="L31" s="40"/>
      <c r="M31" s="40"/>
      <c r="N31" s="40"/>
      <c r="O31" s="40"/>
      <c r="P31" s="40"/>
      <c r="Q31" s="40"/>
      <c r="R31" s="40"/>
    </row>
    <row r="32" spans="1:18" s="3" customFormat="1" ht="12.75">
      <c r="A32" s="43" t="s">
        <v>7</v>
      </c>
      <c r="B32" s="40" t="s">
        <v>8</v>
      </c>
      <c r="C32" s="40" t="s">
        <v>8</v>
      </c>
      <c r="D32" s="40" t="s">
        <v>8</v>
      </c>
      <c r="E32" s="40" t="s">
        <v>8</v>
      </c>
      <c r="F32" s="40" t="s">
        <v>8</v>
      </c>
      <c r="G32" s="40" t="s">
        <v>8</v>
      </c>
      <c r="H32" s="40" t="s">
        <v>8</v>
      </c>
      <c r="I32" s="40" t="s">
        <v>8</v>
      </c>
      <c r="J32" s="40" t="s">
        <v>8</v>
      </c>
      <c r="K32" s="45" t="s">
        <v>8</v>
      </c>
      <c r="L32" s="45" t="s">
        <v>8</v>
      </c>
      <c r="M32" s="45" t="s">
        <v>8</v>
      </c>
      <c r="N32" s="45" t="s">
        <v>8</v>
      </c>
      <c r="O32" s="87" t="s">
        <v>8</v>
      </c>
      <c r="P32" s="87" t="s">
        <v>8</v>
      </c>
      <c r="Q32" s="87" t="s">
        <v>8</v>
      </c>
      <c r="R32" s="40" t="s">
        <v>8</v>
      </c>
    </row>
    <row r="33" spans="1:18" ht="12.75">
      <c r="A33" s="15" t="s">
        <v>343</v>
      </c>
      <c r="B33" s="252">
        <f>SUM(D33:H33)</f>
        <v>30987</v>
      </c>
      <c r="C33" s="252">
        <f>SUM(I33:M33)</f>
        <v>48396</v>
      </c>
      <c r="D33" s="250">
        <v>7386</v>
      </c>
      <c r="E33" s="250">
        <v>5196</v>
      </c>
      <c r="F33" s="250">
        <v>5774</v>
      </c>
      <c r="G33" s="250">
        <f>6786+209</f>
        <v>6995</v>
      </c>
      <c r="H33" s="250">
        <v>5636</v>
      </c>
      <c r="I33" s="252">
        <v>10708</v>
      </c>
      <c r="J33" s="252">
        <f>6181+4433</f>
        <v>10614</v>
      </c>
      <c r="K33" s="252">
        <v>8778</v>
      </c>
      <c r="L33" s="252">
        <v>9302</v>
      </c>
      <c r="M33" s="252">
        <v>8994</v>
      </c>
      <c r="N33" s="252">
        <v>10069</v>
      </c>
      <c r="O33" s="252">
        <v>12048</v>
      </c>
      <c r="P33" s="252">
        <v>5082</v>
      </c>
      <c r="Q33" s="252">
        <v>4591.24</v>
      </c>
      <c r="R33" s="250">
        <f>SUM(D33:Q33)</f>
        <v>111173.24</v>
      </c>
    </row>
    <row r="34" spans="1:19" ht="12.75">
      <c r="A34" s="15" t="s">
        <v>344</v>
      </c>
      <c r="B34" s="252">
        <f>SUM(D34:H34)</f>
        <v>550945</v>
      </c>
      <c r="C34" s="252">
        <f>SUM(I34:M34)</f>
        <v>569179</v>
      </c>
      <c r="D34" s="250">
        <v>147716</v>
      </c>
      <c r="E34" s="250">
        <v>83203</v>
      </c>
      <c r="F34" s="250">
        <v>106522</v>
      </c>
      <c r="G34" s="250">
        <f>116346+3192</f>
        <v>119538</v>
      </c>
      <c r="H34" s="250">
        <v>93966</v>
      </c>
      <c r="I34" s="252">
        <v>177208</v>
      </c>
      <c r="J34" s="252">
        <f>27468+164462</f>
        <v>191930</v>
      </c>
      <c r="K34" s="252">
        <v>66525</v>
      </c>
      <c r="L34" s="252">
        <v>68712</v>
      </c>
      <c r="M34" s="252">
        <v>64804</v>
      </c>
      <c r="N34" s="252">
        <v>89465</v>
      </c>
      <c r="O34" s="252">
        <v>103693</v>
      </c>
      <c r="P34" s="252">
        <v>47362</v>
      </c>
      <c r="Q34" s="252">
        <v>41046.35</v>
      </c>
      <c r="R34" s="250">
        <f>SUM(D34:Q34)</f>
        <v>1401690.35</v>
      </c>
      <c r="S34" s="93"/>
    </row>
    <row r="35" spans="1:19" ht="12.75">
      <c r="A35" s="21"/>
      <c r="B35" s="21"/>
      <c r="C35" s="21"/>
      <c r="D35" s="44"/>
      <c r="E35" s="44"/>
      <c r="F35" s="44"/>
      <c r="G35" s="44"/>
      <c r="H35" s="44"/>
      <c r="I35" s="58"/>
      <c r="J35" s="58"/>
      <c r="K35" s="58"/>
      <c r="L35" s="58"/>
      <c r="M35" s="58"/>
      <c r="N35" s="58"/>
      <c r="O35" s="58"/>
      <c r="P35" s="58"/>
      <c r="Q35" s="58"/>
      <c r="R35" s="44"/>
      <c r="S35" s="92"/>
    </row>
    <row r="36" spans="1:18" ht="12.75">
      <c r="A36" s="43" t="s">
        <v>111</v>
      </c>
      <c r="B36" s="44" t="s">
        <v>397</v>
      </c>
      <c r="C36" s="44" t="s">
        <v>397</v>
      </c>
      <c r="D36" s="44" t="s">
        <v>397</v>
      </c>
      <c r="E36" s="44" t="s">
        <v>397</v>
      </c>
      <c r="F36" s="44" t="s">
        <v>397</v>
      </c>
      <c r="G36" s="44" t="s">
        <v>397</v>
      </c>
      <c r="H36" s="44" t="s">
        <v>397</v>
      </c>
      <c r="I36" s="58" t="s">
        <v>397</v>
      </c>
      <c r="J36" s="58" t="s">
        <v>397</v>
      </c>
      <c r="K36" s="88" t="s">
        <v>397</v>
      </c>
      <c r="L36" s="88" t="s">
        <v>397</v>
      </c>
      <c r="M36" s="88" t="s">
        <v>397</v>
      </c>
      <c r="N36" s="88" t="s">
        <v>397</v>
      </c>
      <c r="O36" s="88" t="s">
        <v>397</v>
      </c>
      <c r="P36" s="88" t="s">
        <v>397</v>
      </c>
      <c r="Q36" s="88" t="s">
        <v>397</v>
      </c>
      <c r="R36" s="44" t="s">
        <v>397</v>
      </c>
    </row>
    <row r="37" spans="1:18" ht="12.75">
      <c r="A37" s="15" t="s">
        <v>424</v>
      </c>
      <c r="B37" s="252">
        <f>SUM(D37:H37)</f>
        <v>3916</v>
      </c>
      <c r="C37" s="252">
        <f>SUM(I37:M37)</f>
        <v>6521</v>
      </c>
      <c r="D37" s="250">
        <v>1032</v>
      </c>
      <c r="E37" s="250">
        <v>627</v>
      </c>
      <c r="F37" s="250">
        <v>868</v>
      </c>
      <c r="G37" s="250">
        <f>770+50</f>
        <v>820</v>
      </c>
      <c r="H37" s="250">
        <v>569</v>
      </c>
      <c r="I37" s="252">
        <v>1645</v>
      </c>
      <c r="J37" s="252">
        <f>854+746</f>
        <v>1600</v>
      </c>
      <c r="K37" s="252">
        <v>1268</v>
      </c>
      <c r="L37" s="252">
        <v>1071</v>
      </c>
      <c r="M37" s="252">
        <v>937</v>
      </c>
      <c r="N37" s="252">
        <v>1072</v>
      </c>
      <c r="O37" s="252">
        <v>1368</v>
      </c>
      <c r="P37" s="252">
        <v>601</v>
      </c>
      <c r="Q37" s="252">
        <v>545.18</v>
      </c>
      <c r="R37" s="250">
        <f>SUM(D37:Q37)</f>
        <v>14023.18</v>
      </c>
    </row>
    <row r="38" spans="1:18" ht="12.75">
      <c r="A38" s="40"/>
      <c r="B38" s="40"/>
      <c r="C38" s="40"/>
      <c r="D38" s="44"/>
      <c r="E38" s="44"/>
      <c r="F38" s="44"/>
      <c r="G38" s="44"/>
      <c r="H38" s="44"/>
      <c r="I38" s="44"/>
      <c r="J38" s="44"/>
      <c r="K38" s="44"/>
      <c r="L38" s="58"/>
      <c r="M38" s="58"/>
      <c r="N38" s="58"/>
      <c r="O38" s="58"/>
      <c r="P38" s="58"/>
      <c r="Q38" s="58"/>
      <c r="R38" s="44"/>
    </row>
    <row r="39" spans="1:18" ht="12.75">
      <c r="A39" s="43" t="s">
        <v>10</v>
      </c>
      <c r="B39" s="44" t="s">
        <v>11</v>
      </c>
      <c r="C39" s="44" t="s">
        <v>11</v>
      </c>
      <c r="D39" s="44" t="s">
        <v>11</v>
      </c>
      <c r="E39" s="44" t="s">
        <v>11</v>
      </c>
      <c r="F39" s="44" t="s">
        <v>11</v>
      </c>
      <c r="G39" s="44" t="s">
        <v>11</v>
      </c>
      <c r="H39" s="44" t="s">
        <v>11</v>
      </c>
      <c r="I39" s="44" t="s">
        <v>11</v>
      </c>
      <c r="J39" s="44" t="s">
        <v>11</v>
      </c>
      <c r="K39" s="84" t="s">
        <v>11</v>
      </c>
      <c r="L39" s="88" t="s">
        <v>11</v>
      </c>
      <c r="M39" s="88" t="s">
        <v>11</v>
      </c>
      <c r="N39" s="88" t="s">
        <v>11</v>
      </c>
      <c r="O39" s="88" t="s">
        <v>11</v>
      </c>
      <c r="P39" s="88" t="s">
        <v>11</v>
      </c>
      <c r="Q39" s="88" t="s">
        <v>11</v>
      </c>
      <c r="R39" s="44" t="s">
        <v>11</v>
      </c>
    </row>
    <row r="40" spans="1:18" ht="12.75">
      <c r="A40" s="15" t="s">
        <v>343</v>
      </c>
      <c r="B40" s="250">
        <f>SUM(D40:H40)</f>
        <v>338487</v>
      </c>
      <c r="C40" s="250">
        <f>SUM(I40:M40)</f>
        <v>310308</v>
      </c>
      <c r="D40" s="250">
        <v>91776</v>
      </c>
      <c r="E40" s="250">
        <v>73523</v>
      </c>
      <c r="F40" s="250">
        <v>65035</v>
      </c>
      <c r="G40" s="250">
        <v>59420</v>
      </c>
      <c r="H40" s="250">
        <v>48733</v>
      </c>
      <c r="I40" s="250">
        <v>42526</v>
      </c>
      <c r="J40" s="250">
        <f>31415+16686</f>
        <v>48101</v>
      </c>
      <c r="K40" s="250">
        <v>73535</v>
      </c>
      <c r="L40" s="252">
        <v>80504</v>
      </c>
      <c r="M40" s="252">
        <v>65642</v>
      </c>
      <c r="N40" s="252">
        <v>88278</v>
      </c>
      <c r="O40" s="252">
        <v>87348</v>
      </c>
      <c r="P40" s="252">
        <v>60794</v>
      </c>
      <c r="Q40" s="252">
        <v>45107.58</v>
      </c>
      <c r="R40" s="250">
        <f>SUM(D40:Q40)</f>
        <v>930322.58</v>
      </c>
    </row>
    <row r="41" spans="1:18" ht="12.75">
      <c r="A41" s="15" t="s">
        <v>344</v>
      </c>
      <c r="B41" s="250">
        <f>SUM(D41:H41)</f>
        <v>6729837</v>
      </c>
      <c r="C41" s="250">
        <f>SUM(I41:M41)</f>
        <v>4678586</v>
      </c>
      <c r="D41" s="250">
        <v>1835511</v>
      </c>
      <c r="E41" s="250">
        <v>1470460</v>
      </c>
      <c r="F41" s="250">
        <v>1284711</v>
      </c>
      <c r="G41" s="250">
        <v>1183165</v>
      </c>
      <c r="H41" s="250">
        <v>955990</v>
      </c>
      <c r="I41" s="250">
        <v>703101</v>
      </c>
      <c r="J41" s="250">
        <f>598791+333720</f>
        <v>932511</v>
      </c>
      <c r="K41" s="250">
        <v>1054201</v>
      </c>
      <c r="L41" s="252">
        <v>1105591</v>
      </c>
      <c r="M41" s="252">
        <v>883182</v>
      </c>
      <c r="N41" s="252">
        <v>1264890</v>
      </c>
      <c r="O41" s="252">
        <v>1111649</v>
      </c>
      <c r="P41" s="252">
        <v>738319</v>
      </c>
      <c r="Q41" s="252">
        <v>644604.56</v>
      </c>
      <c r="R41" s="250">
        <f>SUM(D41:Q41)</f>
        <v>15167885.56</v>
      </c>
    </row>
    <row r="42" spans="1:17" ht="12.75">
      <c r="A42" s="2" t="s">
        <v>291</v>
      </c>
      <c r="L42" s="65"/>
      <c r="M42" s="65"/>
      <c r="N42" s="65"/>
      <c r="O42" s="65"/>
      <c r="P42" s="65"/>
      <c r="Q42" s="65"/>
    </row>
    <row r="43" spans="1:3" ht="12.75">
      <c r="A43" s="7" t="s">
        <v>298</v>
      </c>
      <c r="B43" s="7"/>
      <c r="C43" s="7"/>
    </row>
    <row r="44" spans="1:19" ht="12.75">
      <c r="A44" s="2"/>
      <c r="B44" s="2"/>
      <c r="C44" s="2"/>
      <c r="D44" s="7"/>
      <c r="E44" s="7"/>
      <c r="F44" s="7"/>
      <c r="G44" s="7"/>
      <c r="H44" s="7"/>
      <c r="I44" s="7"/>
      <c r="J44" s="7"/>
      <c r="K44" s="7"/>
      <c r="L44" s="7"/>
      <c r="M44" s="7"/>
      <c r="N44" s="7"/>
      <c r="O44" s="7"/>
      <c r="P44" s="7"/>
      <c r="Q44" s="7"/>
      <c r="S44" s="8"/>
    </row>
    <row r="46" spans="1:3" ht="12.75">
      <c r="A46" s="2"/>
      <c r="B46" s="2"/>
      <c r="C46" s="2"/>
    </row>
    <row r="47" spans="1:29" ht="12.75">
      <c r="A47" s="2"/>
      <c r="B47" s="2"/>
      <c r="C47" s="2"/>
      <c r="D47" s="9"/>
      <c r="E47" s="9"/>
      <c r="F47" s="9"/>
      <c r="G47" s="9"/>
      <c r="H47" s="9"/>
      <c r="I47" s="9"/>
      <c r="J47" s="9"/>
      <c r="K47" s="9"/>
      <c r="L47" s="9"/>
      <c r="M47" s="9"/>
      <c r="N47" s="9"/>
      <c r="O47" s="9"/>
      <c r="P47" s="9"/>
      <c r="Q47" s="9"/>
      <c r="R47" s="9"/>
      <c r="S47" s="9"/>
      <c r="T47" s="9"/>
      <c r="U47" s="9"/>
      <c r="V47" s="9"/>
      <c r="W47" s="9"/>
      <c r="X47" s="9"/>
      <c r="Y47" s="9"/>
      <c r="Z47" s="9"/>
      <c r="AA47" s="9"/>
      <c r="AB47" s="9"/>
      <c r="AC47" s="9"/>
    </row>
    <row r="48" spans="1:4" ht="12.75">
      <c r="A48" s="2"/>
      <c r="B48" s="2"/>
      <c r="C48" s="2"/>
      <c r="D48" s="8"/>
    </row>
    <row r="49" spans="1:3" ht="12.75">
      <c r="A49" s="2"/>
      <c r="B49" s="2"/>
      <c r="C49" s="2"/>
    </row>
    <row r="50" spans="1:21" ht="12.75">
      <c r="A50" s="2"/>
      <c r="B50" s="2"/>
      <c r="C50" s="2"/>
      <c r="D50" s="9"/>
      <c r="E50" s="9"/>
      <c r="F50" s="9"/>
      <c r="G50" s="9"/>
      <c r="H50" s="9"/>
      <c r="I50" s="9"/>
      <c r="J50" s="9"/>
      <c r="K50" s="9"/>
      <c r="L50" s="9"/>
      <c r="M50" s="9"/>
      <c r="N50" s="9"/>
      <c r="O50" s="9"/>
      <c r="P50" s="9"/>
      <c r="Q50" s="9"/>
      <c r="R50" s="9"/>
      <c r="S50" s="9"/>
      <c r="T50" s="9"/>
      <c r="U50" s="9"/>
    </row>
    <row r="51" spans="1:21" ht="12.75">
      <c r="A51" s="2"/>
      <c r="B51" s="2"/>
      <c r="C51" s="2"/>
      <c r="D51" s="9"/>
      <c r="E51" s="9"/>
      <c r="F51" s="9"/>
      <c r="G51" s="9"/>
      <c r="H51" s="9"/>
      <c r="I51" s="9"/>
      <c r="J51" s="9"/>
      <c r="K51" s="9"/>
      <c r="L51" s="9"/>
      <c r="M51" s="9"/>
      <c r="N51" s="9"/>
      <c r="O51" s="9"/>
      <c r="P51" s="9"/>
      <c r="Q51" s="9"/>
      <c r="R51" s="9"/>
      <c r="S51" s="9"/>
      <c r="T51" s="9"/>
      <c r="U51" s="9"/>
    </row>
    <row r="52" spans="1:21" ht="12.75">
      <c r="A52" s="2"/>
      <c r="B52" s="2"/>
      <c r="C52" s="2"/>
      <c r="D52" s="9"/>
      <c r="E52" s="9"/>
      <c r="F52" s="9"/>
      <c r="G52" s="9"/>
      <c r="H52" s="9"/>
      <c r="I52" s="9"/>
      <c r="J52" s="9"/>
      <c r="K52" s="9"/>
      <c r="L52" s="9"/>
      <c r="M52" s="9"/>
      <c r="N52" s="9"/>
      <c r="O52" s="9"/>
      <c r="P52" s="9"/>
      <c r="Q52" s="9"/>
      <c r="R52" s="9"/>
      <c r="S52" s="9"/>
      <c r="T52" s="9"/>
      <c r="U52" s="9"/>
    </row>
    <row r="53" spans="4:21" ht="12.75">
      <c r="D53" s="9"/>
      <c r="E53" s="9"/>
      <c r="F53" s="9"/>
      <c r="G53" s="9"/>
      <c r="H53" s="9"/>
      <c r="I53" s="9"/>
      <c r="J53" s="9"/>
      <c r="K53" s="9"/>
      <c r="L53" s="9"/>
      <c r="M53" s="9"/>
      <c r="N53" s="9"/>
      <c r="O53" s="9"/>
      <c r="P53" s="9"/>
      <c r="Q53" s="9"/>
      <c r="R53" s="9"/>
      <c r="S53" s="9"/>
      <c r="T53" s="9"/>
      <c r="U53" s="9"/>
    </row>
    <row r="54" spans="1:19" ht="12.75">
      <c r="A54" s="2"/>
      <c r="B54" s="2"/>
      <c r="C54" s="2"/>
      <c r="D54" s="7"/>
      <c r="E54" s="7"/>
      <c r="F54" s="7"/>
      <c r="G54" s="7"/>
      <c r="H54" s="7"/>
      <c r="I54" s="7"/>
      <c r="J54" s="7"/>
      <c r="K54" s="7"/>
      <c r="L54" s="7"/>
      <c r="M54" s="7"/>
      <c r="N54" s="7"/>
      <c r="O54" s="7"/>
      <c r="P54" s="7"/>
      <c r="Q54" s="7"/>
      <c r="S54" s="8"/>
    </row>
    <row r="56" spans="1:21" ht="12.75">
      <c r="A56" s="2"/>
      <c r="B56" s="2"/>
      <c r="C56" s="2"/>
      <c r="D56" s="9"/>
      <c r="E56" s="9"/>
      <c r="F56" s="9"/>
      <c r="G56" s="9"/>
      <c r="H56" s="9"/>
      <c r="I56" s="9"/>
      <c r="J56" s="9"/>
      <c r="K56" s="9"/>
      <c r="L56" s="9"/>
      <c r="M56" s="9"/>
      <c r="N56" s="9"/>
      <c r="O56" s="9"/>
      <c r="P56" s="9"/>
      <c r="Q56" s="9"/>
      <c r="R56" s="9"/>
      <c r="S56" s="9"/>
      <c r="T56" s="9"/>
      <c r="U56" s="9"/>
    </row>
    <row r="57" spans="1:21" ht="12.75">
      <c r="A57" s="2"/>
      <c r="B57" s="2"/>
      <c r="C57" s="2"/>
      <c r="D57" s="9"/>
      <c r="E57" s="9"/>
      <c r="F57" s="9"/>
      <c r="G57" s="9"/>
      <c r="H57" s="9"/>
      <c r="I57" s="9"/>
      <c r="J57" s="9"/>
      <c r="K57" s="9"/>
      <c r="L57" s="9"/>
      <c r="M57" s="9"/>
      <c r="N57" s="9"/>
      <c r="O57" s="9"/>
      <c r="P57" s="9"/>
      <c r="Q57" s="9"/>
      <c r="R57" s="9"/>
      <c r="S57" s="9"/>
      <c r="T57" s="9"/>
      <c r="U57" s="9"/>
    </row>
    <row r="58" spans="1:4" ht="12.75">
      <c r="A58" s="2"/>
      <c r="B58" s="2"/>
      <c r="C58" s="2"/>
      <c r="D58" s="8"/>
    </row>
    <row r="59" spans="1:3" ht="12.75">
      <c r="A59" s="2"/>
      <c r="B59" s="2"/>
      <c r="C59" s="2"/>
    </row>
    <row r="60" spans="1:3" ht="12.75">
      <c r="A60" s="2"/>
      <c r="B60" s="2"/>
      <c r="C60" s="2"/>
    </row>
    <row r="61" spans="1:3" ht="12.75">
      <c r="A61" s="2"/>
      <c r="B61" s="2"/>
      <c r="C61" s="2"/>
    </row>
    <row r="62" spans="1:3" ht="12.75">
      <c r="A62" s="2"/>
      <c r="B62" s="2"/>
      <c r="C62" s="2"/>
    </row>
  </sheetData>
  <sheetProtection/>
  <mergeCells count="3">
    <mergeCell ref="A2:R2"/>
    <mergeCell ref="A11:R11"/>
    <mergeCell ref="A1:R1"/>
  </mergeCells>
  <printOptions/>
  <pageMargins left="0.17" right="0.17" top="0.4" bottom="0.6" header="0.24" footer="0.24"/>
  <pageSetup fitToHeight="1" fitToWidth="1" horizontalDpi="600" verticalDpi="600" orientation="landscape" scale="96" r:id="rId1"/>
  <headerFooter scaleWithDoc="0" alignWithMargins="0">
    <oddFooter>&amp;L&amp;6&amp;A - Results by Program Year&amp;R&amp;6printed &amp;D at &amp;T</oddFooter>
  </headerFooter>
  <ignoredErrors>
    <ignoredError sqref="D9:H9 J9:K9" formulaRange="1"/>
    <ignoredError sqref="I9" formula="1" formulaRange="1"/>
  </ignoredErrors>
</worksheet>
</file>

<file path=xl/worksheets/sheet12.xml><?xml version="1.0" encoding="utf-8"?>
<worksheet xmlns="http://schemas.openxmlformats.org/spreadsheetml/2006/main" xmlns:r="http://schemas.openxmlformats.org/officeDocument/2006/relationships">
  <sheetPr>
    <tabColor theme="6"/>
    <outlinePr summaryRight="0"/>
    <pageSetUpPr fitToPage="1"/>
  </sheetPr>
  <dimension ref="A1:AC57"/>
  <sheetViews>
    <sheetView showGridLines="0" zoomScalePageLayoutView="0" workbookViewId="0" topLeftCell="A1">
      <selection activeCell="A1" sqref="A1:R1"/>
    </sheetView>
  </sheetViews>
  <sheetFormatPr defaultColWidth="10.7109375" defaultRowHeight="12.75" outlineLevelCol="1"/>
  <cols>
    <col min="1" max="1" width="28.28125" style="3" customWidth="1"/>
    <col min="2" max="2" width="14.421875" style="3" bestFit="1" customWidth="1"/>
    <col min="3" max="3" width="14.421875" style="3" bestFit="1" customWidth="1" collapsed="1"/>
    <col min="4" max="13" width="14.421875" style="6" hidden="1" customWidth="1" outlineLevel="1"/>
    <col min="14" max="15" width="14.421875" style="6" bestFit="1" customWidth="1"/>
    <col min="16" max="17" width="14.421875" style="6" customWidth="1"/>
    <col min="18" max="18" width="17.00390625" style="6" customWidth="1"/>
    <col min="19" max="16384" width="10.7109375" style="6" customWidth="1"/>
  </cols>
  <sheetData>
    <row r="1" spans="1:18" ht="12.75">
      <c r="A1" s="484" t="s">
        <v>393</v>
      </c>
      <c r="B1" s="484"/>
      <c r="C1" s="484"/>
      <c r="D1" s="484"/>
      <c r="E1" s="484"/>
      <c r="F1" s="484"/>
      <c r="G1" s="484"/>
      <c r="H1" s="484"/>
      <c r="I1" s="484"/>
      <c r="J1" s="484"/>
      <c r="K1" s="484"/>
      <c r="L1" s="484"/>
      <c r="M1" s="484"/>
      <c r="N1" s="484"/>
      <c r="O1" s="484"/>
      <c r="P1" s="484"/>
      <c r="Q1" s="484"/>
      <c r="R1" s="484"/>
    </row>
    <row r="2" spans="1:18" ht="12.75">
      <c r="A2" s="484" t="s">
        <v>12</v>
      </c>
      <c r="B2" s="484"/>
      <c r="C2" s="484"/>
      <c r="D2" s="484"/>
      <c r="E2" s="484"/>
      <c r="F2" s="484"/>
      <c r="G2" s="484"/>
      <c r="H2" s="484"/>
      <c r="I2" s="484"/>
      <c r="J2" s="484"/>
      <c r="K2" s="484"/>
      <c r="L2" s="484"/>
      <c r="M2" s="484"/>
      <c r="N2" s="484"/>
      <c r="O2" s="484"/>
      <c r="P2" s="484"/>
      <c r="Q2" s="484"/>
      <c r="R2" s="484"/>
    </row>
    <row r="3" spans="1:3" ht="15">
      <c r="A3" s="110"/>
      <c r="B3" s="110"/>
      <c r="C3" s="110"/>
    </row>
    <row r="4" spans="1:18" ht="25.5">
      <c r="A4" s="210" t="s">
        <v>206</v>
      </c>
      <c r="B4" s="216" t="s">
        <v>289</v>
      </c>
      <c r="C4" s="216" t="s">
        <v>461</v>
      </c>
      <c r="D4" s="49">
        <v>2001</v>
      </c>
      <c r="E4" s="49">
        <v>2002</v>
      </c>
      <c r="F4" s="49">
        <v>2003</v>
      </c>
      <c r="G4" s="49" t="s">
        <v>29</v>
      </c>
      <c r="H4" s="49" t="s">
        <v>94</v>
      </c>
      <c r="I4" s="49" t="s">
        <v>135</v>
      </c>
      <c r="J4" s="49" t="s">
        <v>157</v>
      </c>
      <c r="K4" s="49" t="s">
        <v>180</v>
      </c>
      <c r="L4" s="49" t="s">
        <v>195</v>
      </c>
      <c r="M4" s="49" t="s">
        <v>229</v>
      </c>
      <c r="N4" s="49" t="s">
        <v>257</v>
      </c>
      <c r="O4" s="344" t="s">
        <v>346</v>
      </c>
      <c r="P4" s="344" t="s">
        <v>351</v>
      </c>
      <c r="Q4" s="344" t="s">
        <v>440</v>
      </c>
      <c r="R4" s="344" t="str">
        <f>"Total "&amp;CHAR(10)&amp;D4&amp;" ~ "&amp;Q4</f>
        <v>Total 
2001 ~ FY2015</v>
      </c>
    </row>
    <row r="5" spans="1:18" ht="12.75">
      <c r="A5" s="225" t="s">
        <v>13</v>
      </c>
      <c r="B5" s="237">
        <f>SUM(D5:H5)</f>
        <v>29859</v>
      </c>
      <c r="C5" s="237">
        <f>SUM(I5:K5)*1000+SUM(L5:M5)</f>
        <v>0</v>
      </c>
      <c r="D5" s="237">
        <v>12720</v>
      </c>
      <c r="E5" s="237">
        <v>17139</v>
      </c>
      <c r="F5" s="237"/>
      <c r="G5" s="237"/>
      <c r="H5" s="237"/>
      <c r="I5" s="237"/>
      <c r="J5" s="237"/>
      <c r="K5" s="237"/>
      <c r="L5" s="237"/>
      <c r="M5" s="237"/>
      <c r="N5" s="237"/>
      <c r="O5" s="237"/>
      <c r="P5" s="237"/>
      <c r="Q5" s="237"/>
      <c r="R5" s="237"/>
    </row>
    <row r="6" spans="1:18" ht="12.75">
      <c r="A6" s="225" t="s">
        <v>14</v>
      </c>
      <c r="B6" s="237">
        <f>SUM(D6:H6)</f>
        <v>13081</v>
      </c>
      <c r="C6" s="237">
        <f>SUM(I6:K6)*1000+SUM(L6:M6)</f>
        <v>0</v>
      </c>
      <c r="D6" s="237">
        <v>6002</v>
      </c>
      <c r="E6" s="237">
        <v>7079</v>
      </c>
      <c r="F6" s="237"/>
      <c r="G6" s="237"/>
      <c r="H6" s="237"/>
      <c r="I6" s="237"/>
      <c r="J6" s="237"/>
      <c r="K6" s="237"/>
      <c r="L6" s="237"/>
      <c r="M6" s="237"/>
      <c r="N6" s="237"/>
      <c r="O6" s="237"/>
      <c r="P6" s="237"/>
      <c r="Q6" s="237"/>
      <c r="R6" s="237"/>
    </row>
    <row r="7" spans="1:18" ht="12.75">
      <c r="A7" s="225" t="s">
        <v>30</v>
      </c>
      <c r="B7" s="237">
        <f>SUM(D7:H7)</f>
        <v>89756</v>
      </c>
      <c r="C7" s="237">
        <f>SUM(I7:K7)*1000+SUM(L7:M7)</f>
        <v>82741117.89</v>
      </c>
      <c r="D7" s="237">
        <f>D6+D5</f>
        <v>18722</v>
      </c>
      <c r="E7" s="237">
        <f>E6+E5</f>
        <v>24218</v>
      </c>
      <c r="F7" s="237">
        <v>13970</v>
      </c>
      <c r="G7" s="237">
        <v>17346</v>
      </c>
      <c r="H7" s="237">
        <v>15500</v>
      </c>
      <c r="I7" s="237">
        <v>16705</v>
      </c>
      <c r="J7" s="237">
        <v>17759</v>
      </c>
      <c r="K7" s="237">
        <v>18476</v>
      </c>
      <c r="L7" s="237">
        <v>13532500.8</v>
      </c>
      <c r="M7" s="237">
        <v>16268617.09</v>
      </c>
      <c r="N7" s="237">
        <v>22724583.98</v>
      </c>
      <c r="O7" s="239">
        <v>26341450.41</v>
      </c>
      <c r="P7" s="239">
        <v>12357692.08</v>
      </c>
      <c r="Q7" s="239">
        <v>12415469.42</v>
      </c>
      <c r="R7" s="237"/>
    </row>
    <row r="8" spans="1:18" ht="12.75">
      <c r="A8" s="16" t="s">
        <v>1</v>
      </c>
      <c r="B8" s="242">
        <f>SUM(D8:H8)</f>
        <v>89756000</v>
      </c>
      <c r="C8" s="242">
        <f>SUM(I8:M8)</f>
        <v>82741117.89</v>
      </c>
      <c r="D8" s="242">
        <f>D7*1000</f>
        <v>18722000</v>
      </c>
      <c r="E8" s="242">
        <f aca="true" t="shared" si="0" ref="E8:K8">E7*1000</f>
        <v>24218000</v>
      </c>
      <c r="F8" s="242">
        <f t="shared" si="0"/>
        <v>13970000</v>
      </c>
      <c r="G8" s="242">
        <f t="shared" si="0"/>
        <v>17346000</v>
      </c>
      <c r="H8" s="242">
        <f t="shared" si="0"/>
        <v>15500000</v>
      </c>
      <c r="I8" s="242">
        <f t="shared" si="0"/>
        <v>16705000</v>
      </c>
      <c r="J8" s="242">
        <f t="shared" si="0"/>
        <v>17759000</v>
      </c>
      <c r="K8" s="242">
        <f t="shared" si="0"/>
        <v>18476000</v>
      </c>
      <c r="L8" s="242">
        <f aca="true" t="shared" si="1" ref="L8:Q8">L7</f>
        <v>13532500.8</v>
      </c>
      <c r="M8" s="242">
        <f t="shared" si="1"/>
        <v>16268617.09</v>
      </c>
      <c r="N8" s="242">
        <f t="shared" si="1"/>
        <v>22724583.98</v>
      </c>
      <c r="O8" s="242">
        <f t="shared" si="1"/>
        <v>26341450.41</v>
      </c>
      <c r="P8" s="242">
        <f t="shared" si="1"/>
        <v>12357692.08</v>
      </c>
      <c r="Q8" s="242">
        <f t="shared" si="1"/>
        <v>12415469.42</v>
      </c>
      <c r="R8" s="242">
        <f>SUM(D8:Q8)</f>
        <v>246336313.78</v>
      </c>
    </row>
    <row r="9" spans="1:18" ht="29.25" customHeight="1">
      <c r="A9" s="485" t="s">
        <v>311</v>
      </c>
      <c r="B9" s="485"/>
      <c r="C9" s="485"/>
      <c r="D9" s="485"/>
      <c r="E9" s="485"/>
      <c r="F9" s="485"/>
      <c r="G9" s="485"/>
      <c r="H9" s="485"/>
      <c r="I9" s="485"/>
      <c r="J9" s="485"/>
      <c r="K9" s="485"/>
      <c r="L9" s="485"/>
      <c r="M9" s="485"/>
      <c r="N9" s="485"/>
      <c r="O9" s="485"/>
      <c r="P9" s="485"/>
      <c r="Q9" s="485"/>
      <c r="R9" s="485"/>
    </row>
    <row r="10" spans="1:18" ht="12.75">
      <c r="A10" s="24"/>
      <c r="B10" s="24"/>
      <c r="C10" s="24"/>
      <c r="D10" s="24"/>
      <c r="E10" s="24"/>
      <c r="F10" s="24"/>
      <c r="G10" s="24"/>
      <c r="H10" s="24"/>
      <c r="I10" s="24"/>
      <c r="J10" s="24"/>
      <c r="K10" s="24"/>
      <c r="L10" s="24"/>
      <c r="M10" s="24"/>
      <c r="N10" s="24"/>
      <c r="O10" s="24"/>
      <c r="P10" s="24"/>
      <c r="Q10" s="24"/>
      <c r="R10" s="24"/>
    </row>
    <row r="11" spans="1:18" ht="12.75">
      <c r="A11" s="30" t="s">
        <v>207</v>
      </c>
      <c r="B11" s="30"/>
      <c r="C11" s="30"/>
      <c r="D11" s="40"/>
      <c r="E11" s="40"/>
      <c r="F11" s="40"/>
      <c r="G11" s="41"/>
      <c r="H11" s="41"/>
      <c r="I11" s="41"/>
      <c r="J11" s="41"/>
      <c r="K11" s="41"/>
      <c r="L11" s="41"/>
      <c r="M11" s="41"/>
      <c r="N11" s="41"/>
      <c r="O11" s="41"/>
      <c r="P11" s="41"/>
      <c r="Q11" s="41"/>
      <c r="R11" s="40"/>
    </row>
    <row r="12" spans="1:18" s="3" customFormat="1" ht="12.75">
      <c r="A12" s="225" t="s">
        <v>13</v>
      </c>
      <c r="B12" s="272">
        <f>SUM(D12:H12)</f>
        <v>24595</v>
      </c>
      <c r="C12" s="272">
        <f>SUM(I12:K12)*1000+SUM(L12:M12)</f>
        <v>0</v>
      </c>
      <c r="D12" s="272">
        <v>11172</v>
      </c>
      <c r="E12" s="272">
        <v>13423</v>
      </c>
      <c r="F12" s="272"/>
      <c r="G12" s="272"/>
      <c r="H12" s="272"/>
      <c r="I12" s="272"/>
      <c r="J12" s="272"/>
      <c r="K12" s="272"/>
      <c r="L12" s="272"/>
      <c r="M12" s="272"/>
      <c r="N12" s="272"/>
      <c r="O12" s="272"/>
      <c r="P12" s="272"/>
      <c r="Q12" s="272"/>
      <c r="R12" s="237"/>
    </row>
    <row r="13" spans="1:18" s="3" customFormat="1" ht="12.75">
      <c r="A13" s="225" t="s">
        <v>14</v>
      </c>
      <c r="B13" s="272">
        <f>SUM(D13:H13)</f>
        <v>9718</v>
      </c>
      <c r="C13" s="272">
        <f>SUM(I13:K13)*1000+SUM(L13:M13)</f>
        <v>0</v>
      </c>
      <c r="D13" s="272">
        <v>4651</v>
      </c>
      <c r="E13" s="272">
        <v>5067</v>
      </c>
      <c r="F13" s="272"/>
      <c r="G13" s="272"/>
      <c r="H13" s="272"/>
      <c r="I13" s="272"/>
      <c r="J13" s="272"/>
      <c r="K13" s="272"/>
      <c r="L13" s="272"/>
      <c r="M13" s="272"/>
      <c r="N13" s="272"/>
      <c r="O13" s="272"/>
      <c r="P13" s="272"/>
      <c r="Q13" s="272"/>
      <c r="R13" s="237"/>
    </row>
    <row r="14" spans="1:18" s="3" customFormat="1" ht="12.75">
      <c r="A14" s="225" t="s">
        <v>30</v>
      </c>
      <c r="B14" s="272">
        <f>SUM(D14:H14)</f>
        <v>77438</v>
      </c>
      <c r="C14" s="272">
        <f>SUM(I14:K14)*1000+SUM(L14:M14)</f>
        <v>63173309.96</v>
      </c>
      <c r="D14" s="272">
        <f>D13+D12</f>
        <v>15823</v>
      </c>
      <c r="E14" s="272">
        <f>E13+E12</f>
        <v>18490</v>
      </c>
      <c r="F14" s="272">
        <v>14444</v>
      </c>
      <c r="G14" s="272">
        <v>15564</v>
      </c>
      <c r="H14" s="272">
        <v>13117</v>
      </c>
      <c r="I14" s="272">
        <v>14849</v>
      </c>
      <c r="J14" s="272">
        <v>11853</v>
      </c>
      <c r="K14" s="272">
        <v>11387</v>
      </c>
      <c r="L14" s="272">
        <v>9916762.99</v>
      </c>
      <c r="M14" s="272">
        <v>15167546.97</v>
      </c>
      <c r="N14" s="272">
        <v>19923078.4</v>
      </c>
      <c r="O14" s="247">
        <v>22360770.42</v>
      </c>
      <c r="P14" s="247">
        <v>12254577.02</v>
      </c>
      <c r="Q14" s="247">
        <v>12406083.72</v>
      </c>
      <c r="R14" s="237"/>
    </row>
    <row r="15" spans="1:18" s="3" customFormat="1" ht="12.75">
      <c r="A15" s="16" t="s">
        <v>1</v>
      </c>
      <c r="B15" s="283">
        <f>SUM(D15:H15)</f>
        <v>77438000</v>
      </c>
      <c r="C15" s="283">
        <f>SUM(I15:M15)</f>
        <v>63173309.96</v>
      </c>
      <c r="D15" s="283">
        <f>D14*1000</f>
        <v>15823000</v>
      </c>
      <c r="E15" s="283">
        <f aca="true" t="shared" si="2" ref="E15:K15">E14*1000</f>
        <v>18490000</v>
      </c>
      <c r="F15" s="283">
        <f t="shared" si="2"/>
        <v>14444000</v>
      </c>
      <c r="G15" s="283">
        <f t="shared" si="2"/>
        <v>15564000</v>
      </c>
      <c r="H15" s="283">
        <f t="shared" si="2"/>
        <v>13117000</v>
      </c>
      <c r="I15" s="283">
        <f t="shared" si="2"/>
        <v>14849000</v>
      </c>
      <c r="J15" s="283">
        <f t="shared" si="2"/>
        <v>11853000</v>
      </c>
      <c r="K15" s="283">
        <f t="shared" si="2"/>
        <v>11387000</v>
      </c>
      <c r="L15" s="283">
        <f aca="true" t="shared" si="3" ref="L15:Q15">L14</f>
        <v>9916762.99</v>
      </c>
      <c r="M15" s="283">
        <f t="shared" si="3"/>
        <v>15167546.97</v>
      </c>
      <c r="N15" s="283">
        <f t="shared" si="3"/>
        <v>19923078.4</v>
      </c>
      <c r="O15" s="283">
        <f t="shared" si="3"/>
        <v>22360770.42</v>
      </c>
      <c r="P15" s="283">
        <f t="shared" si="3"/>
        <v>12254577.02</v>
      </c>
      <c r="Q15" s="283">
        <f t="shared" si="3"/>
        <v>12406083.72</v>
      </c>
      <c r="R15" s="243">
        <f>SUM(D15:Q15)</f>
        <v>207555819.52000004</v>
      </c>
    </row>
    <row r="16" spans="1:18" s="3" customFormat="1" ht="12.75">
      <c r="A16" s="21"/>
      <c r="B16" s="40"/>
      <c r="C16" s="40"/>
      <c r="D16" s="40"/>
      <c r="E16" s="40"/>
      <c r="F16" s="40"/>
      <c r="G16" s="40"/>
      <c r="H16" s="40"/>
      <c r="I16" s="40"/>
      <c r="J16" s="40"/>
      <c r="K16" s="40"/>
      <c r="L16" s="40"/>
      <c r="M16" s="40"/>
      <c r="N16" s="40"/>
      <c r="O16" s="40"/>
      <c r="P16" s="40"/>
      <c r="Q16" s="40"/>
      <c r="R16" s="40"/>
    </row>
    <row r="17" spans="1:18" s="3" customFormat="1" ht="12.75">
      <c r="A17" s="43" t="s">
        <v>414</v>
      </c>
      <c r="B17" s="40"/>
      <c r="C17" s="40"/>
      <c r="D17" s="40"/>
      <c r="E17" s="40"/>
      <c r="F17" s="40"/>
      <c r="G17" s="41"/>
      <c r="H17" s="41"/>
      <c r="I17" s="41"/>
      <c r="J17" s="41"/>
      <c r="K17" s="41"/>
      <c r="L17" s="41"/>
      <c r="M17" s="41"/>
      <c r="N17" s="41"/>
      <c r="O17" s="41"/>
      <c r="P17" s="41"/>
      <c r="Q17" s="41"/>
      <c r="R17" s="40"/>
    </row>
    <row r="18" spans="1:18" s="3" customFormat="1" ht="12.75">
      <c r="A18" s="225" t="s">
        <v>13</v>
      </c>
      <c r="B18" s="250">
        <f>SUM(D18:H18)</f>
        <v>33095</v>
      </c>
      <c r="C18" s="250">
        <f>SUM(I18:M18)</f>
        <v>0</v>
      </c>
      <c r="D18" s="250">
        <v>15113</v>
      </c>
      <c r="E18" s="250">
        <v>17982</v>
      </c>
      <c r="F18" s="250"/>
      <c r="G18" s="250"/>
      <c r="H18" s="250"/>
      <c r="I18" s="250"/>
      <c r="J18" s="250"/>
      <c r="K18" s="250"/>
      <c r="L18" s="250"/>
      <c r="M18" s="250"/>
      <c r="N18" s="250">
        <v>15461</v>
      </c>
      <c r="O18" s="252">
        <v>14712</v>
      </c>
      <c r="P18" s="252">
        <v>2778</v>
      </c>
      <c r="Q18" s="252">
        <v>2335</v>
      </c>
      <c r="R18" s="250">
        <f>SUM(D18:Q18)</f>
        <v>68381</v>
      </c>
    </row>
    <row r="19" spans="1:18" s="3" customFormat="1" ht="12.75">
      <c r="A19" s="225" t="s">
        <v>14</v>
      </c>
      <c r="B19" s="250">
        <f>SUM(D19:H19)</f>
        <v>17285</v>
      </c>
      <c r="C19" s="250">
        <f>SUM(I19:M19)</f>
        <v>0</v>
      </c>
      <c r="D19" s="250">
        <v>8275</v>
      </c>
      <c r="E19" s="250">
        <v>9010</v>
      </c>
      <c r="F19" s="250"/>
      <c r="G19" s="250"/>
      <c r="H19" s="250"/>
      <c r="I19" s="250"/>
      <c r="J19" s="250"/>
      <c r="K19" s="250"/>
      <c r="L19" s="250"/>
      <c r="M19" s="250"/>
      <c r="N19" s="250">
        <v>24499</v>
      </c>
      <c r="O19" s="252">
        <v>25295</v>
      </c>
      <c r="P19" s="252">
        <v>17841</v>
      </c>
      <c r="Q19" s="252">
        <v>16310</v>
      </c>
      <c r="R19" s="250">
        <f>SUM(D19:Q19)</f>
        <v>101230</v>
      </c>
    </row>
    <row r="20" spans="1:18" s="3" customFormat="1" ht="12.75">
      <c r="A20" s="16" t="s">
        <v>30</v>
      </c>
      <c r="B20" s="263">
        <f>SUM(D20:H20)</f>
        <v>129021</v>
      </c>
      <c r="C20" s="263">
        <f>SUM(I20:M20)</f>
        <v>128754</v>
      </c>
      <c r="D20" s="263">
        <f>SUM(D18:D19)</f>
        <v>23388</v>
      </c>
      <c r="E20" s="263">
        <f>SUM(E18:E19)</f>
        <v>26992</v>
      </c>
      <c r="F20" s="263">
        <v>24786</v>
      </c>
      <c r="G20" s="263">
        <v>26345</v>
      </c>
      <c r="H20" s="263">
        <v>27510</v>
      </c>
      <c r="I20" s="263">
        <v>26379</v>
      </c>
      <c r="J20" s="263">
        <v>25740</v>
      </c>
      <c r="K20" s="263">
        <v>24066</v>
      </c>
      <c r="L20" s="263">
        <v>21282</v>
      </c>
      <c r="M20" s="263">
        <v>31287</v>
      </c>
      <c r="N20" s="263">
        <f>SUM(N18:N19)</f>
        <v>39960</v>
      </c>
      <c r="O20" s="263">
        <f>SUM(O18:O19)</f>
        <v>40007</v>
      </c>
      <c r="P20" s="263">
        <f>SUM(P18:P19)</f>
        <v>20619</v>
      </c>
      <c r="Q20" s="263">
        <f>SUM(Q18:Q19)</f>
        <v>18645</v>
      </c>
      <c r="R20" s="263">
        <f>SUM(D20:Q20)</f>
        <v>377006</v>
      </c>
    </row>
    <row r="21" spans="1:18" s="3" customFormat="1" ht="12.75">
      <c r="A21" s="43"/>
      <c r="B21" s="265"/>
      <c r="C21" s="265"/>
      <c r="D21" s="265"/>
      <c r="E21" s="265"/>
      <c r="F21" s="265"/>
      <c r="G21" s="265"/>
      <c r="H21" s="265"/>
      <c r="I21" s="265"/>
      <c r="J21" s="265"/>
      <c r="K21" s="265"/>
      <c r="L21" s="265"/>
      <c r="M21" s="265"/>
      <c r="N21" s="265"/>
      <c r="O21" s="265"/>
      <c r="P21" s="265"/>
      <c r="Q21" s="265"/>
      <c r="R21" s="265"/>
    </row>
    <row r="22" spans="1:18" s="3" customFormat="1" ht="12.75">
      <c r="A22" s="43"/>
      <c r="B22" s="265"/>
      <c r="C22" s="265"/>
      <c r="D22" s="265"/>
      <c r="E22" s="265"/>
      <c r="F22" s="265"/>
      <c r="G22" s="265"/>
      <c r="H22" s="265"/>
      <c r="I22" s="265"/>
      <c r="J22" s="265"/>
      <c r="K22" s="265"/>
      <c r="L22" s="265"/>
      <c r="M22" s="265"/>
      <c r="N22" s="265"/>
      <c r="O22" s="265"/>
      <c r="P22" s="265"/>
      <c r="Q22" s="265"/>
      <c r="R22" s="265"/>
    </row>
    <row r="23" spans="1:18" s="3" customFormat="1" ht="12.75">
      <c r="A23" s="428" t="s">
        <v>388</v>
      </c>
      <c r="B23" s="40"/>
      <c r="C23" s="40"/>
      <c r="D23" s="40"/>
      <c r="E23" s="40"/>
      <c r="F23" s="40"/>
      <c r="G23" s="40"/>
      <c r="H23" s="40"/>
      <c r="I23" s="40"/>
      <c r="J23" s="40"/>
      <c r="K23" s="40"/>
      <c r="L23" s="40"/>
      <c r="M23" s="40"/>
      <c r="N23" s="40"/>
      <c r="O23" s="40"/>
      <c r="P23" s="40"/>
      <c r="Q23" s="40"/>
      <c r="R23" s="44"/>
    </row>
    <row r="24" spans="1:18" s="3" customFormat="1" ht="12.75">
      <c r="A24" s="428"/>
      <c r="B24" s="40"/>
      <c r="C24" s="40"/>
      <c r="D24" s="40"/>
      <c r="E24" s="40"/>
      <c r="F24" s="40"/>
      <c r="G24" s="40"/>
      <c r="H24" s="40"/>
      <c r="I24" s="40"/>
      <c r="J24" s="40"/>
      <c r="K24" s="40"/>
      <c r="L24" s="40"/>
      <c r="M24" s="40"/>
      <c r="N24" s="40"/>
      <c r="O24" s="40"/>
      <c r="P24" s="40"/>
      <c r="Q24" s="40"/>
      <c r="R24" s="44"/>
    </row>
    <row r="25" spans="1:18" s="3" customFormat="1" ht="12.75">
      <c r="A25" s="43" t="s">
        <v>6</v>
      </c>
      <c r="B25" s="40"/>
      <c r="C25" s="40"/>
      <c r="D25" s="40"/>
      <c r="E25" s="40"/>
      <c r="F25" s="40"/>
      <c r="G25" s="40"/>
      <c r="H25" s="40"/>
      <c r="I25" s="40"/>
      <c r="J25" s="40"/>
      <c r="K25" s="40"/>
      <c r="L25" s="40"/>
      <c r="M25" s="40"/>
      <c r="N25" s="40"/>
      <c r="O25" s="40"/>
      <c r="P25" s="40"/>
      <c r="Q25" s="40"/>
      <c r="R25" s="44"/>
    </row>
    <row r="26" spans="1:18" s="3" customFormat="1" ht="12.75">
      <c r="A26" s="43" t="s">
        <v>7</v>
      </c>
      <c r="B26" s="40" t="s">
        <v>8</v>
      </c>
      <c r="C26" s="40" t="s">
        <v>8</v>
      </c>
      <c r="D26" s="40" t="s">
        <v>8</v>
      </c>
      <c r="E26" s="40" t="s">
        <v>8</v>
      </c>
      <c r="F26" s="40" t="s">
        <v>8</v>
      </c>
      <c r="G26" s="40" t="s">
        <v>8</v>
      </c>
      <c r="H26" s="40" t="s">
        <v>8</v>
      </c>
      <c r="I26" s="40" t="s">
        <v>8</v>
      </c>
      <c r="J26" s="40" t="s">
        <v>8</v>
      </c>
      <c r="K26" s="45" t="s">
        <v>8</v>
      </c>
      <c r="L26" s="45" t="s">
        <v>8</v>
      </c>
      <c r="M26" s="45" t="s">
        <v>8</v>
      </c>
      <c r="N26" s="45" t="s">
        <v>8</v>
      </c>
      <c r="O26" s="45" t="s">
        <v>8</v>
      </c>
      <c r="P26" s="45" t="s">
        <v>8</v>
      </c>
      <c r="Q26" s="45" t="s">
        <v>8</v>
      </c>
      <c r="R26" s="44" t="s">
        <v>8</v>
      </c>
    </row>
    <row r="27" spans="1:18" ht="12.75">
      <c r="A27" s="15" t="s">
        <v>343</v>
      </c>
      <c r="B27" s="250">
        <f>SUM(D27:H27)</f>
        <v>73068</v>
      </c>
      <c r="C27" s="250">
        <f>SUM(I27:M27)</f>
        <v>42699</v>
      </c>
      <c r="D27" s="250">
        <v>12224</v>
      </c>
      <c r="E27" s="250">
        <v>15703</v>
      </c>
      <c r="F27" s="250">
        <v>14621</v>
      </c>
      <c r="G27" s="250">
        <v>15499</v>
      </c>
      <c r="H27" s="250">
        <v>15021</v>
      </c>
      <c r="I27" s="250">
        <v>11545</v>
      </c>
      <c r="J27" s="250">
        <v>13323</v>
      </c>
      <c r="K27" s="250">
        <v>4973</v>
      </c>
      <c r="L27" s="250">
        <v>4771</v>
      </c>
      <c r="M27" s="250">
        <v>8087</v>
      </c>
      <c r="N27" s="250">
        <v>12364</v>
      </c>
      <c r="O27" s="252">
        <v>13149</v>
      </c>
      <c r="P27" s="252">
        <v>5353</v>
      </c>
      <c r="Q27" s="252">
        <v>4348.888247400014</v>
      </c>
      <c r="R27" s="250">
        <f>SUM(D27:Q27)</f>
        <v>150981.88824740003</v>
      </c>
    </row>
    <row r="28" spans="1:18" ht="12.75">
      <c r="A28" s="15" t="s">
        <v>344</v>
      </c>
      <c r="B28" s="250">
        <f>SUM(D28:H28)</f>
        <v>1095661</v>
      </c>
      <c r="C28" s="250">
        <f>SUM(I28:M28)</f>
        <v>675765</v>
      </c>
      <c r="D28" s="250">
        <v>183354</v>
      </c>
      <c r="E28" s="250">
        <v>235546</v>
      </c>
      <c r="F28" s="250">
        <v>219320</v>
      </c>
      <c r="G28" s="250">
        <v>232484</v>
      </c>
      <c r="H28" s="250">
        <v>224957</v>
      </c>
      <c r="I28" s="250">
        <v>173181</v>
      </c>
      <c r="J28" s="250">
        <v>199843</v>
      </c>
      <c r="K28" s="250">
        <v>83068</v>
      </c>
      <c r="L28" s="250">
        <v>83807</v>
      </c>
      <c r="M28" s="250">
        <v>135866</v>
      </c>
      <c r="N28" s="250">
        <v>210355</v>
      </c>
      <c r="O28" s="252">
        <v>227057</v>
      </c>
      <c r="P28" s="252">
        <v>95679</v>
      </c>
      <c r="Q28" s="252">
        <v>78340.28871100003</v>
      </c>
      <c r="R28" s="250">
        <f>SUM(D28:Q28)</f>
        <v>2382857.2887110002</v>
      </c>
    </row>
    <row r="29" spans="1:18" ht="12.75">
      <c r="A29" s="21"/>
      <c r="B29" s="44"/>
      <c r="C29" s="44"/>
      <c r="D29" s="44"/>
      <c r="E29" s="44"/>
      <c r="F29" s="44"/>
      <c r="G29" s="44"/>
      <c r="H29" s="44"/>
      <c r="I29" s="44"/>
      <c r="J29" s="44"/>
      <c r="K29" s="44"/>
      <c r="L29" s="44"/>
      <c r="M29" s="44"/>
      <c r="N29" s="44"/>
      <c r="O29" s="58"/>
      <c r="P29" s="58"/>
      <c r="Q29" s="58"/>
      <c r="R29" s="44"/>
    </row>
    <row r="30" spans="1:18" ht="12.75">
      <c r="A30" s="43" t="s">
        <v>111</v>
      </c>
      <c r="B30" s="44" t="s">
        <v>397</v>
      </c>
      <c r="C30" s="44" t="s">
        <v>397</v>
      </c>
      <c r="D30" s="44" t="s">
        <v>397</v>
      </c>
      <c r="E30" s="44" t="s">
        <v>397</v>
      </c>
      <c r="F30" s="44" t="s">
        <v>397</v>
      </c>
      <c r="G30" s="44" t="s">
        <v>397</v>
      </c>
      <c r="H30" s="44" t="s">
        <v>397</v>
      </c>
      <c r="I30" s="44" t="s">
        <v>397</v>
      </c>
      <c r="J30" s="44" t="s">
        <v>397</v>
      </c>
      <c r="K30" s="84" t="s">
        <v>397</v>
      </c>
      <c r="L30" s="84" t="s">
        <v>397</v>
      </c>
      <c r="M30" s="84" t="s">
        <v>397</v>
      </c>
      <c r="N30" s="84" t="s">
        <v>397</v>
      </c>
      <c r="O30" s="88" t="s">
        <v>397</v>
      </c>
      <c r="P30" s="88" t="s">
        <v>397</v>
      </c>
      <c r="Q30" s="88" t="s">
        <v>397</v>
      </c>
      <c r="R30" s="44" t="s">
        <v>397</v>
      </c>
    </row>
    <row r="31" spans="1:18" ht="12.75">
      <c r="A31" s="15" t="s">
        <v>424</v>
      </c>
      <c r="B31" s="250">
        <f>SUM(D31:H31)</f>
        <v>62634</v>
      </c>
      <c r="C31" s="250">
        <f>SUM(I31:M31)</f>
        <v>29656</v>
      </c>
      <c r="D31" s="250">
        <v>10761</v>
      </c>
      <c r="E31" s="250">
        <v>13825</v>
      </c>
      <c r="F31" s="250">
        <v>12254</v>
      </c>
      <c r="G31" s="250">
        <v>13065</v>
      </c>
      <c r="H31" s="250">
        <v>12729</v>
      </c>
      <c r="I31" s="250">
        <v>9651</v>
      </c>
      <c r="J31" s="250">
        <v>10666</v>
      </c>
      <c r="K31" s="250">
        <v>2710</v>
      </c>
      <c r="L31" s="250">
        <v>1804</v>
      </c>
      <c r="M31" s="250">
        <v>4825</v>
      </c>
      <c r="N31" s="250">
        <v>6845</v>
      </c>
      <c r="O31" s="252">
        <v>6715</v>
      </c>
      <c r="P31" s="252">
        <v>1307</v>
      </c>
      <c r="Q31" s="252">
        <v>988.9172000000148</v>
      </c>
      <c r="R31" s="250">
        <f>SUM(D31:Q31)</f>
        <v>108145.91720000001</v>
      </c>
    </row>
    <row r="32" spans="1:18" ht="12.75">
      <c r="A32" s="40"/>
      <c r="B32" s="44"/>
      <c r="C32" s="44"/>
      <c r="D32" s="44"/>
      <c r="E32" s="44"/>
      <c r="F32" s="44"/>
      <c r="G32" s="44"/>
      <c r="H32" s="44"/>
      <c r="I32" s="44"/>
      <c r="J32" s="44"/>
      <c r="K32" s="44"/>
      <c r="L32" s="44"/>
      <c r="M32" s="44"/>
      <c r="N32" s="44"/>
      <c r="O32" s="58"/>
      <c r="P32" s="58"/>
      <c r="Q32" s="58"/>
      <c r="R32" s="44"/>
    </row>
    <row r="33" spans="1:18" ht="12.75">
      <c r="A33" s="43" t="s">
        <v>10</v>
      </c>
      <c r="B33" s="44" t="s">
        <v>11</v>
      </c>
      <c r="C33" s="44" t="s">
        <v>11</v>
      </c>
      <c r="D33" s="44" t="s">
        <v>11</v>
      </c>
      <c r="E33" s="44" t="s">
        <v>11</v>
      </c>
      <c r="F33" s="44" t="s">
        <v>11</v>
      </c>
      <c r="G33" s="44" t="s">
        <v>11</v>
      </c>
      <c r="H33" s="44" t="s">
        <v>11</v>
      </c>
      <c r="I33" s="44" t="s">
        <v>11</v>
      </c>
      <c r="J33" s="44" t="s">
        <v>11</v>
      </c>
      <c r="K33" s="84" t="s">
        <v>11</v>
      </c>
      <c r="L33" s="84" t="s">
        <v>11</v>
      </c>
      <c r="M33" s="84" t="s">
        <v>11</v>
      </c>
      <c r="N33" s="84" t="s">
        <v>11</v>
      </c>
      <c r="O33" s="88" t="s">
        <v>11</v>
      </c>
      <c r="P33" s="88" t="s">
        <v>11</v>
      </c>
      <c r="Q33" s="88" t="s">
        <v>11</v>
      </c>
      <c r="R33" s="44" t="s">
        <v>11</v>
      </c>
    </row>
    <row r="34" spans="1:18" ht="12.75">
      <c r="A34" s="15" t="s">
        <v>343</v>
      </c>
      <c r="B34" s="250">
        <f>SUM(D34:H34)</f>
        <v>654419</v>
      </c>
      <c r="C34" s="250">
        <f>SUM(I34:M34)</f>
        <v>1065931</v>
      </c>
      <c r="D34" s="250">
        <v>117212</v>
      </c>
      <c r="E34" s="250">
        <v>144346</v>
      </c>
      <c r="F34" s="250">
        <v>118900</v>
      </c>
      <c r="G34" s="250">
        <v>135002</v>
      </c>
      <c r="H34" s="250">
        <v>138959</v>
      </c>
      <c r="I34" s="250">
        <v>231174</v>
      </c>
      <c r="J34" s="250">
        <v>205199</v>
      </c>
      <c r="K34" s="250">
        <v>167668</v>
      </c>
      <c r="L34" s="250">
        <v>202257</v>
      </c>
      <c r="M34" s="250">
        <v>259633</v>
      </c>
      <c r="N34" s="250">
        <v>343759</v>
      </c>
      <c r="O34" s="252">
        <v>343517</v>
      </c>
      <c r="P34" s="252">
        <v>118229</v>
      </c>
      <c r="Q34" s="252">
        <v>202387.49627000192</v>
      </c>
      <c r="R34" s="250">
        <f>SUM(D34:Q34)</f>
        <v>2728242.496270002</v>
      </c>
    </row>
    <row r="35" spans="1:18" ht="12.75">
      <c r="A35" s="15" t="s">
        <v>344</v>
      </c>
      <c r="B35" s="250">
        <f>SUM(D35:H35)</f>
        <v>12328739</v>
      </c>
      <c r="C35" s="250">
        <f>SUM(I35:M35)</f>
        <v>19259227</v>
      </c>
      <c r="D35" s="250">
        <v>2344252</v>
      </c>
      <c r="E35" s="250">
        <v>2886917</v>
      </c>
      <c r="F35" s="250">
        <v>2172633</v>
      </c>
      <c r="G35" s="250">
        <v>2431125</v>
      </c>
      <c r="H35" s="250">
        <v>2493812</v>
      </c>
      <c r="I35" s="250">
        <v>3095022</v>
      </c>
      <c r="J35" s="250">
        <v>3830587</v>
      </c>
      <c r="K35" s="250">
        <v>3285309</v>
      </c>
      <c r="L35" s="250">
        <v>3952255</v>
      </c>
      <c r="M35" s="250">
        <v>5096054</v>
      </c>
      <c r="N35" s="250">
        <v>6779179</v>
      </c>
      <c r="O35" s="252">
        <v>6728822</v>
      </c>
      <c r="P35" s="252">
        <v>2120558</v>
      </c>
      <c r="Q35" s="252">
        <v>3816525.118600032</v>
      </c>
      <c r="R35" s="250">
        <f>SUM(D35:Q35)</f>
        <v>51033050.11860003</v>
      </c>
    </row>
    <row r="36" ht="12.75">
      <c r="A36" s="2" t="s">
        <v>291</v>
      </c>
    </row>
    <row r="37" spans="1:4" ht="12.75">
      <c r="A37" s="5"/>
      <c r="B37" s="5"/>
      <c r="C37" s="5"/>
      <c r="D37" s="7"/>
    </row>
    <row r="38" ht="12.75">
      <c r="D38" s="8"/>
    </row>
    <row r="39" spans="1:3" ht="12.75">
      <c r="A39" s="2"/>
      <c r="B39" s="2"/>
      <c r="C39" s="2"/>
    </row>
    <row r="40" spans="1:29" ht="12.75">
      <c r="A40" s="2"/>
      <c r="B40" s="2"/>
      <c r="C40" s="2"/>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1:29" ht="12.75">
      <c r="A41" s="2"/>
      <c r="B41" s="2"/>
      <c r="C41" s="2"/>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1:29" ht="12.75">
      <c r="A42" s="2"/>
      <c r="B42" s="2"/>
      <c r="C42" s="2"/>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1:29" ht="12.75">
      <c r="A43" s="2"/>
      <c r="B43" s="2"/>
      <c r="C43" s="2"/>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4" ht="12.75">
      <c r="A44" s="2"/>
      <c r="B44" s="2"/>
      <c r="C44" s="2"/>
      <c r="D44" s="8"/>
    </row>
    <row r="45" spans="1:3" ht="12.75">
      <c r="A45" s="2"/>
      <c r="B45" s="2"/>
      <c r="C45" s="2"/>
    </row>
    <row r="46" spans="1:21" ht="12.75">
      <c r="A46" s="2"/>
      <c r="B46" s="2"/>
      <c r="C46" s="2"/>
      <c r="D46" s="9"/>
      <c r="E46" s="9"/>
      <c r="F46" s="9"/>
      <c r="G46" s="9"/>
      <c r="H46" s="9"/>
      <c r="I46" s="9"/>
      <c r="J46" s="9"/>
      <c r="K46" s="9"/>
      <c r="L46" s="9"/>
      <c r="M46" s="9"/>
      <c r="N46" s="9"/>
      <c r="O46" s="9"/>
      <c r="P46" s="9"/>
      <c r="Q46" s="9"/>
      <c r="R46" s="9"/>
      <c r="S46" s="9"/>
      <c r="T46" s="9"/>
      <c r="U46" s="9"/>
    </row>
    <row r="47" ht="12.75">
      <c r="D47" s="8"/>
    </row>
    <row r="48" spans="1:3" ht="12.75">
      <c r="A48" s="2"/>
      <c r="B48" s="2"/>
      <c r="C48" s="2"/>
    </row>
    <row r="49" spans="1:21" ht="12.75">
      <c r="A49" s="2"/>
      <c r="B49" s="2"/>
      <c r="C49" s="2"/>
      <c r="D49" s="9"/>
      <c r="E49" s="9"/>
      <c r="F49" s="9"/>
      <c r="G49" s="9"/>
      <c r="H49" s="9"/>
      <c r="I49" s="9"/>
      <c r="J49" s="9"/>
      <c r="K49" s="9"/>
      <c r="L49" s="9"/>
      <c r="M49" s="9"/>
      <c r="N49" s="9"/>
      <c r="O49" s="9"/>
      <c r="P49" s="9"/>
      <c r="Q49" s="9"/>
      <c r="R49" s="9"/>
      <c r="S49" s="9"/>
      <c r="T49" s="9"/>
      <c r="U49" s="9"/>
    </row>
    <row r="50" spans="1:21" ht="12.75">
      <c r="A50" s="2"/>
      <c r="B50" s="2"/>
      <c r="C50" s="2"/>
      <c r="D50" s="9"/>
      <c r="E50" s="9"/>
      <c r="F50" s="9"/>
      <c r="G50" s="9"/>
      <c r="H50" s="9"/>
      <c r="I50" s="9"/>
      <c r="J50" s="9"/>
      <c r="K50" s="9"/>
      <c r="L50" s="9"/>
      <c r="M50" s="9"/>
      <c r="N50" s="9"/>
      <c r="O50" s="9"/>
      <c r="P50" s="9"/>
      <c r="Q50" s="9"/>
      <c r="R50" s="9"/>
      <c r="S50" s="9"/>
      <c r="T50" s="9"/>
      <c r="U50" s="9"/>
    </row>
    <row r="51" spans="1:21" ht="12.75">
      <c r="A51" s="2"/>
      <c r="B51" s="2"/>
      <c r="C51" s="2"/>
      <c r="D51" s="9"/>
      <c r="E51" s="9"/>
      <c r="F51" s="9"/>
      <c r="G51" s="9"/>
      <c r="H51" s="9"/>
      <c r="I51" s="9"/>
      <c r="J51" s="9"/>
      <c r="K51" s="9"/>
      <c r="L51" s="9"/>
      <c r="M51" s="9"/>
      <c r="N51" s="9"/>
      <c r="O51" s="9"/>
      <c r="P51" s="9"/>
      <c r="Q51" s="9"/>
      <c r="R51" s="9"/>
      <c r="S51" s="9"/>
      <c r="T51" s="9"/>
      <c r="U51" s="9"/>
    </row>
    <row r="52" spans="1:21" ht="12.75">
      <c r="A52" s="2"/>
      <c r="B52" s="2"/>
      <c r="C52" s="2"/>
      <c r="D52" s="9"/>
      <c r="E52" s="9"/>
      <c r="F52" s="9"/>
      <c r="G52" s="9"/>
      <c r="H52" s="9"/>
      <c r="I52" s="9"/>
      <c r="J52" s="9"/>
      <c r="K52" s="9"/>
      <c r="L52" s="9"/>
      <c r="M52" s="9"/>
      <c r="N52" s="9"/>
      <c r="O52" s="9"/>
      <c r="P52" s="9"/>
      <c r="Q52" s="9"/>
      <c r="R52" s="9"/>
      <c r="S52" s="9"/>
      <c r="T52" s="9"/>
      <c r="U52" s="9"/>
    </row>
    <row r="53" spans="1:4" ht="12.75">
      <c r="A53" s="2"/>
      <c r="B53" s="2"/>
      <c r="C53" s="2"/>
      <c r="D53" s="8"/>
    </row>
    <row r="54" spans="1:3" ht="12.75">
      <c r="A54" s="2"/>
      <c r="B54" s="2"/>
      <c r="C54" s="2"/>
    </row>
    <row r="55" spans="1:3" ht="12.75">
      <c r="A55" s="2"/>
      <c r="B55" s="2"/>
      <c r="C55" s="2"/>
    </row>
    <row r="56" spans="1:3" ht="12.75">
      <c r="A56" s="2"/>
      <c r="B56" s="2"/>
      <c r="C56" s="2"/>
    </row>
    <row r="57" spans="1:3" ht="12.75">
      <c r="A57" s="2"/>
      <c r="B57" s="2"/>
      <c r="C57" s="2"/>
    </row>
  </sheetData>
  <sheetProtection/>
  <mergeCells count="3">
    <mergeCell ref="A2:R2"/>
    <mergeCell ref="A9:R9"/>
    <mergeCell ref="A1:R1"/>
  </mergeCells>
  <printOptions/>
  <pageMargins left="0.17" right="0.17" top="0.4" bottom="0.6" header="0.24" footer="0.24"/>
  <pageSetup fitToHeight="1" fitToWidth="1" horizontalDpi="600" verticalDpi="600" orientation="landscape" r:id="rId1"/>
  <headerFooter scaleWithDoc="0" alignWithMargins="0">
    <oddFooter>&amp;L&amp;6&amp;A - Results by Program Year&amp;R&amp;6printed &amp;D at &amp;T</oddFooter>
  </headerFooter>
  <rowBreaks count="1" manualBreakCount="1">
    <brk id="36" max="255" man="1"/>
  </rowBreaks>
  <ignoredErrors>
    <ignoredError sqref="G4:N4" numberStoredAsText="1"/>
  </ignoredErrors>
</worksheet>
</file>

<file path=xl/worksheets/sheet13.xml><?xml version="1.0" encoding="utf-8"?>
<worksheet xmlns="http://schemas.openxmlformats.org/spreadsheetml/2006/main" xmlns:r="http://schemas.openxmlformats.org/officeDocument/2006/relationships">
  <sheetPr>
    <tabColor theme="6"/>
    <outlinePr summaryRight="0"/>
    <pageSetUpPr fitToPage="1"/>
  </sheetPr>
  <dimension ref="A1:AC101"/>
  <sheetViews>
    <sheetView showGridLines="0" zoomScalePageLayoutView="0" workbookViewId="0" topLeftCell="A1">
      <selection activeCell="A1" sqref="A1:R1"/>
    </sheetView>
  </sheetViews>
  <sheetFormatPr defaultColWidth="10.7109375" defaultRowHeight="12.75" outlineLevelCol="1"/>
  <cols>
    <col min="1" max="1" width="25.8515625" style="3" customWidth="1"/>
    <col min="2" max="2" width="14.8515625" style="3" bestFit="1" customWidth="1"/>
    <col min="3" max="3" width="14.8515625" style="3" bestFit="1" customWidth="1" collapsed="1"/>
    <col min="4" max="4" width="14.8515625" style="6" hidden="1" customWidth="1" outlineLevel="1"/>
    <col min="5" max="5" width="16.140625" style="6" hidden="1" customWidth="1" outlineLevel="1"/>
    <col min="6" max="6" width="15.57421875" style="6" hidden="1" customWidth="1" outlineLevel="1"/>
    <col min="7" max="7" width="16.140625" style="6" hidden="1" customWidth="1" outlineLevel="1"/>
    <col min="8" max="8" width="15.7109375" style="6" hidden="1" customWidth="1" outlineLevel="1"/>
    <col min="9" max="10" width="16.140625" style="6" hidden="1" customWidth="1" outlineLevel="1"/>
    <col min="11" max="11" width="13.8515625" style="6" hidden="1" customWidth="1" outlineLevel="1"/>
    <col min="12" max="13" width="14.00390625" style="6" hidden="1" customWidth="1" outlineLevel="1"/>
    <col min="14" max="17" width="14.00390625" style="6" customWidth="1"/>
    <col min="18" max="18" width="17.00390625" style="6" bestFit="1" customWidth="1"/>
    <col min="19" max="19" width="11.140625" style="6" bestFit="1" customWidth="1"/>
    <col min="20" max="16384" width="10.7109375" style="6" customWidth="1"/>
  </cols>
  <sheetData>
    <row r="1" spans="1:18" ht="12.75">
      <c r="A1" s="483" t="s">
        <v>393</v>
      </c>
      <c r="B1" s="483"/>
      <c r="C1" s="483"/>
      <c r="D1" s="483"/>
      <c r="E1" s="483"/>
      <c r="F1" s="483"/>
      <c r="G1" s="483"/>
      <c r="H1" s="483"/>
      <c r="I1" s="483"/>
      <c r="J1" s="483"/>
      <c r="K1" s="483"/>
      <c r="L1" s="483"/>
      <c r="M1" s="483"/>
      <c r="N1" s="483"/>
      <c r="O1" s="483"/>
      <c r="P1" s="483"/>
      <c r="Q1" s="483"/>
      <c r="R1" s="483"/>
    </row>
    <row r="2" spans="1:18" ht="12.75">
      <c r="A2" s="483" t="s">
        <v>15</v>
      </c>
      <c r="B2" s="483"/>
      <c r="C2" s="483"/>
      <c r="D2" s="483"/>
      <c r="E2" s="483"/>
      <c r="F2" s="483"/>
      <c r="G2" s="483"/>
      <c r="H2" s="483"/>
      <c r="I2" s="483"/>
      <c r="J2" s="483"/>
      <c r="K2" s="483"/>
      <c r="L2" s="483"/>
      <c r="M2" s="483"/>
      <c r="N2" s="483"/>
      <c r="O2" s="483"/>
      <c r="P2" s="483"/>
      <c r="Q2" s="483"/>
      <c r="R2" s="483"/>
    </row>
    <row r="3" spans="1:18" ht="15">
      <c r="A3" s="110"/>
      <c r="B3" s="110"/>
      <c r="C3" s="110"/>
      <c r="D3" s="116"/>
      <c r="E3" s="116"/>
      <c r="F3" s="116"/>
      <c r="G3" s="116"/>
      <c r="H3" s="116"/>
      <c r="J3" s="116"/>
      <c r="K3" s="116"/>
      <c r="L3" s="116"/>
      <c r="M3" s="116"/>
      <c r="N3" s="116"/>
      <c r="O3" s="116"/>
      <c r="P3" s="116"/>
      <c r="Q3" s="116"/>
      <c r="R3" s="116"/>
    </row>
    <row r="4" spans="1:18" ht="25.5">
      <c r="A4" s="30" t="s">
        <v>206</v>
      </c>
      <c r="B4" s="196" t="s">
        <v>289</v>
      </c>
      <c r="C4" s="196" t="s">
        <v>461</v>
      </c>
      <c r="D4" s="28">
        <v>2001</v>
      </c>
      <c r="E4" s="28">
        <v>2002</v>
      </c>
      <c r="F4" s="28">
        <v>2003</v>
      </c>
      <c r="G4" s="28">
        <v>2004</v>
      </c>
      <c r="H4" s="28">
        <v>2005</v>
      </c>
      <c r="I4" s="28">
        <v>2006</v>
      </c>
      <c r="J4" s="28">
        <v>2007</v>
      </c>
      <c r="K4" s="28">
        <v>2008</v>
      </c>
      <c r="L4" s="28">
        <v>2009</v>
      </c>
      <c r="M4" s="28">
        <v>2010</v>
      </c>
      <c r="N4" s="28">
        <v>2011</v>
      </c>
      <c r="O4" s="196" t="s">
        <v>346</v>
      </c>
      <c r="P4" s="196" t="s">
        <v>351</v>
      </c>
      <c r="Q4" s="196" t="s">
        <v>440</v>
      </c>
      <c r="R4" s="196" t="str">
        <f>"Total "&amp;CHAR(10)&amp;D4&amp;" ~ "&amp;Q4</f>
        <v>Total 
2001 ~ FY2015</v>
      </c>
    </row>
    <row r="5" spans="1:18" ht="12.75">
      <c r="A5" s="185" t="s">
        <v>112</v>
      </c>
      <c r="B5" s="297">
        <f>SUM(D5:H5)</f>
        <v>95808000</v>
      </c>
      <c r="C5" s="297">
        <f>SUM(I5:M5)</f>
        <v>155377828.17000002</v>
      </c>
      <c r="D5" s="298">
        <v>15758000</v>
      </c>
      <c r="E5" s="298">
        <v>14677000</v>
      </c>
      <c r="F5" s="298">
        <v>19669000</v>
      </c>
      <c r="G5" s="298">
        <v>22754000</v>
      </c>
      <c r="H5" s="297">
        <v>22950000</v>
      </c>
      <c r="I5" s="297">
        <v>27720000</v>
      </c>
      <c r="J5" s="297">
        <v>27678000</v>
      </c>
      <c r="K5" s="297">
        <v>37141000</v>
      </c>
      <c r="L5" s="289">
        <v>42576218.09</v>
      </c>
      <c r="M5" s="289">
        <v>20262610.08</v>
      </c>
      <c r="N5" s="289">
        <v>19943969.5</v>
      </c>
      <c r="O5" s="289">
        <v>27764931.1</v>
      </c>
      <c r="P5" s="289">
        <v>16389083.61</v>
      </c>
      <c r="Q5" s="289">
        <v>14848397.29</v>
      </c>
      <c r="R5" s="289">
        <f>SUM(D5:Q5)</f>
        <v>330132209.6700001</v>
      </c>
    </row>
    <row r="6" spans="1:18" ht="26.25" customHeight="1">
      <c r="A6" s="488" t="s">
        <v>309</v>
      </c>
      <c r="B6" s="488"/>
      <c r="C6" s="488"/>
      <c r="D6" s="488"/>
      <c r="E6" s="488"/>
      <c r="F6" s="488"/>
      <c r="G6" s="488"/>
      <c r="H6" s="488"/>
      <c r="I6" s="488"/>
      <c r="J6" s="488"/>
      <c r="K6" s="488"/>
      <c r="L6" s="488"/>
      <c r="M6" s="488"/>
      <c r="N6" s="488"/>
      <c r="O6" s="488"/>
      <c r="P6" s="488"/>
      <c r="Q6" s="488"/>
      <c r="R6" s="488"/>
    </row>
    <row r="7" spans="1:18" ht="13.5" customHeight="1">
      <c r="A7" s="186"/>
      <c r="B7" s="186"/>
      <c r="C7" s="186"/>
      <c r="D7" s="186"/>
      <c r="E7" s="186"/>
      <c r="F7" s="186"/>
      <c r="G7" s="186"/>
      <c r="H7" s="186"/>
      <c r="I7" s="186"/>
      <c r="J7" s="186"/>
      <c r="K7" s="186"/>
      <c r="L7" s="186"/>
      <c r="M7" s="186"/>
      <c r="N7" s="186"/>
      <c r="O7" s="186"/>
      <c r="P7" s="186"/>
      <c r="Q7" s="186"/>
      <c r="R7" s="186"/>
    </row>
    <row r="8" spans="1:20" ht="12.75">
      <c r="A8" s="75" t="s">
        <v>207</v>
      </c>
      <c r="B8" s="75"/>
      <c r="C8" s="75"/>
      <c r="D8" s="187"/>
      <c r="E8" s="187"/>
      <c r="F8" s="187"/>
      <c r="G8" s="187"/>
      <c r="H8" s="188"/>
      <c r="I8" s="188"/>
      <c r="J8" s="188"/>
      <c r="K8" s="188"/>
      <c r="L8" s="188"/>
      <c r="M8" s="188"/>
      <c r="N8" s="188"/>
      <c r="O8" s="188"/>
      <c r="P8" s="188"/>
      <c r="Q8" s="188"/>
      <c r="R8" s="188"/>
      <c r="S8" s="3"/>
      <c r="T8" s="3"/>
    </row>
    <row r="9" spans="1:18" s="3" customFormat="1" ht="12.75">
      <c r="A9" s="331" t="s">
        <v>20</v>
      </c>
      <c r="B9" s="247">
        <f>SUM(D9:H9)*1000</f>
        <v>78120000</v>
      </c>
      <c r="C9" s="247">
        <f>SUM(I9:K9)*1000+SUM(L9:M9)</f>
        <v>68670803.43</v>
      </c>
      <c r="D9" s="299">
        <v>6813</v>
      </c>
      <c r="E9" s="299">
        <v>10945</v>
      </c>
      <c r="F9" s="299">
        <v>15365</v>
      </c>
      <c r="G9" s="299">
        <v>21736</v>
      </c>
      <c r="H9" s="247">
        <v>23261</v>
      </c>
      <c r="I9" s="247">
        <v>19728</v>
      </c>
      <c r="J9" s="247">
        <v>19854</v>
      </c>
      <c r="K9" s="247">
        <v>11282</v>
      </c>
      <c r="L9" s="279">
        <v>8747556.19</v>
      </c>
      <c r="M9" s="279">
        <v>9059247.24</v>
      </c>
      <c r="N9" s="279">
        <v>7039315.47</v>
      </c>
      <c r="O9" s="279">
        <v>14982601.57</v>
      </c>
      <c r="P9" s="279">
        <v>7046596.57</v>
      </c>
      <c r="Q9" s="279">
        <v>5916833.7299999995</v>
      </c>
      <c r="R9" s="279"/>
    </row>
    <row r="10" spans="1:18" s="3" customFormat="1" ht="12.75">
      <c r="A10" s="331" t="s">
        <v>19</v>
      </c>
      <c r="B10" s="247">
        <f>SUM(D10:H10)*1000</f>
        <v>130265000</v>
      </c>
      <c r="C10" s="247">
        <f>SUM(I10:K10)*1000+SUM(L10:M10)</f>
        <v>99023185.32</v>
      </c>
      <c r="D10" s="299">
        <v>6325</v>
      </c>
      <c r="E10" s="299">
        <v>25135</v>
      </c>
      <c r="F10" s="299">
        <v>30765</v>
      </c>
      <c r="G10" s="299">
        <v>24347</v>
      </c>
      <c r="H10" s="247">
        <v>43693</v>
      </c>
      <c r="I10" s="247">
        <v>42932</v>
      </c>
      <c r="J10" s="247">
        <v>14208</v>
      </c>
      <c r="K10" s="247">
        <v>18815</v>
      </c>
      <c r="L10" s="279">
        <v>13498385.32</v>
      </c>
      <c r="M10" s="279">
        <v>9569800</v>
      </c>
      <c r="N10" s="279">
        <v>8455672</v>
      </c>
      <c r="O10" s="279">
        <v>9495520</v>
      </c>
      <c r="P10" s="279">
        <v>7788141.4</v>
      </c>
      <c r="Q10" s="279">
        <v>9665981.5</v>
      </c>
      <c r="R10" s="279"/>
    </row>
    <row r="11" spans="1:18" s="3" customFormat="1" ht="12.75">
      <c r="A11" s="15" t="s">
        <v>418</v>
      </c>
      <c r="B11" s="272">
        <f>SUM(D11:H11)*1000</f>
        <v>208385000</v>
      </c>
      <c r="C11" s="272">
        <f>SUM(I11:K11)*1000+SUM(L11:M11)</f>
        <v>126819000</v>
      </c>
      <c r="D11" s="280">
        <f aca="true" t="shared" si="0" ref="D11:J11">SUM(D9:D10)</f>
        <v>13138</v>
      </c>
      <c r="E11" s="280">
        <f t="shared" si="0"/>
        <v>36080</v>
      </c>
      <c r="F11" s="280">
        <f t="shared" si="0"/>
        <v>46130</v>
      </c>
      <c r="G11" s="280">
        <f t="shared" si="0"/>
        <v>46083</v>
      </c>
      <c r="H11" s="272">
        <f t="shared" si="0"/>
        <v>66954</v>
      </c>
      <c r="I11" s="272">
        <f t="shared" si="0"/>
        <v>62660</v>
      </c>
      <c r="J11" s="272">
        <f t="shared" si="0"/>
        <v>34062</v>
      </c>
      <c r="K11" s="272">
        <f>SUM(K9:K10)</f>
        <v>30097</v>
      </c>
      <c r="L11" s="278"/>
      <c r="M11" s="278"/>
      <c r="N11" s="278"/>
      <c r="O11" s="278"/>
      <c r="P11" s="278"/>
      <c r="Q11" s="278"/>
      <c r="R11" s="278"/>
    </row>
    <row r="12" spans="1:18" s="3" customFormat="1" ht="12.75">
      <c r="A12" s="16" t="s">
        <v>205</v>
      </c>
      <c r="B12" s="283">
        <f>SUM(D12:H12)</f>
        <v>208385000</v>
      </c>
      <c r="C12" s="283">
        <f>SUM(I12:M12)</f>
        <v>167693988.75</v>
      </c>
      <c r="D12" s="300">
        <f>D11*1000</f>
        <v>13138000</v>
      </c>
      <c r="E12" s="300">
        <f aca="true" t="shared" si="1" ref="E12:K12">E11*1000</f>
        <v>36080000</v>
      </c>
      <c r="F12" s="300">
        <f t="shared" si="1"/>
        <v>46130000</v>
      </c>
      <c r="G12" s="300">
        <f t="shared" si="1"/>
        <v>46083000</v>
      </c>
      <c r="H12" s="283">
        <f t="shared" si="1"/>
        <v>66954000</v>
      </c>
      <c r="I12" s="283">
        <f t="shared" si="1"/>
        <v>62660000</v>
      </c>
      <c r="J12" s="283">
        <f t="shared" si="1"/>
        <v>34062000</v>
      </c>
      <c r="K12" s="283">
        <f t="shared" si="1"/>
        <v>30097000</v>
      </c>
      <c r="L12" s="281">
        <f aca="true" t="shared" si="2" ref="L12:Q12">SUM(L9:L10)</f>
        <v>22245941.509999998</v>
      </c>
      <c r="M12" s="281">
        <f t="shared" si="2"/>
        <v>18629047.240000002</v>
      </c>
      <c r="N12" s="281">
        <f t="shared" si="2"/>
        <v>15494987.469999999</v>
      </c>
      <c r="O12" s="281">
        <f t="shared" si="2"/>
        <v>24478121.57</v>
      </c>
      <c r="P12" s="281">
        <f t="shared" si="2"/>
        <v>14834737.97</v>
      </c>
      <c r="Q12" s="281">
        <f t="shared" si="2"/>
        <v>15582815.23</v>
      </c>
      <c r="R12" s="281"/>
    </row>
    <row r="13" spans="1:18" s="3" customFormat="1" ht="12.75">
      <c r="A13" s="16" t="s">
        <v>419</v>
      </c>
      <c r="B13" s="283">
        <f>SUM(D13:H13)</f>
        <v>78120000</v>
      </c>
      <c r="C13" s="283">
        <f>SUM(I13:M13)</f>
        <v>68670803.42999999</v>
      </c>
      <c r="D13" s="300">
        <f aca="true" t="shared" si="3" ref="D13:K13">D9*1000</f>
        <v>6813000</v>
      </c>
      <c r="E13" s="300">
        <f t="shared" si="3"/>
        <v>10945000</v>
      </c>
      <c r="F13" s="300">
        <f t="shared" si="3"/>
        <v>15365000</v>
      </c>
      <c r="G13" s="300">
        <f t="shared" si="3"/>
        <v>21736000</v>
      </c>
      <c r="H13" s="283">
        <f t="shared" si="3"/>
        <v>23261000</v>
      </c>
      <c r="I13" s="283">
        <f t="shared" si="3"/>
        <v>19728000</v>
      </c>
      <c r="J13" s="283">
        <f t="shared" si="3"/>
        <v>19854000</v>
      </c>
      <c r="K13" s="283">
        <f t="shared" si="3"/>
        <v>11282000</v>
      </c>
      <c r="L13" s="281">
        <f aca="true" t="shared" si="4" ref="L13:Q13">L9</f>
        <v>8747556.19</v>
      </c>
      <c r="M13" s="281">
        <f t="shared" si="4"/>
        <v>9059247.24</v>
      </c>
      <c r="N13" s="281">
        <f t="shared" si="4"/>
        <v>7039315.47</v>
      </c>
      <c r="O13" s="281">
        <f t="shared" si="4"/>
        <v>14982601.57</v>
      </c>
      <c r="P13" s="281">
        <f t="shared" si="4"/>
        <v>7046596.57</v>
      </c>
      <c r="Q13" s="281">
        <f t="shared" si="4"/>
        <v>5916833.7299999995</v>
      </c>
      <c r="R13" s="281">
        <f>SUM(D13:Q13)</f>
        <v>181776150.76999998</v>
      </c>
    </row>
    <row r="14" spans="1:18" s="3" customFormat="1" ht="12.75">
      <c r="A14" s="21"/>
      <c r="B14" s="40"/>
      <c r="C14" s="40"/>
      <c r="D14" s="40"/>
      <c r="E14" s="40"/>
      <c r="F14" s="40"/>
      <c r="G14" s="40"/>
      <c r="H14" s="40"/>
      <c r="I14" s="40"/>
      <c r="J14" s="40"/>
      <c r="K14" s="40"/>
      <c r="L14" s="40"/>
      <c r="M14" s="40"/>
      <c r="N14" s="40"/>
      <c r="O14" s="40"/>
      <c r="P14" s="40"/>
      <c r="Q14" s="40"/>
      <c r="R14" s="40"/>
    </row>
    <row r="15" spans="1:19" s="3" customFormat="1" ht="12.75">
      <c r="A15" s="43" t="s">
        <v>5</v>
      </c>
      <c r="B15" s="40"/>
      <c r="C15" s="40"/>
      <c r="D15" s="40"/>
      <c r="E15" s="40"/>
      <c r="F15" s="40"/>
      <c r="G15" s="40"/>
      <c r="H15" s="40"/>
      <c r="I15" s="40"/>
      <c r="J15" s="40"/>
      <c r="K15" s="40"/>
      <c r="L15" s="40"/>
      <c r="M15" s="40"/>
      <c r="N15" s="63"/>
      <c r="O15" s="63"/>
      <c r="P15" s="63"/>
      <c r="Q15" s="63"/>
      <c r="R15" s="63"/>
      <c r="S15" s="141"/>
    </row>
    <row r="16" spans="1:19" s="3" customFormat="1" ht="12.75">
      <c r="A16" s="181" t="s">
        <v>420</v>
      </c>
      <c r="B16" s="250">
        <f>SUM(D16:H16)</f>
        <v>20800</v>
      </c>
      <c r="C16" s="250">
        <f>SUM(I16:M16)</f>
        <v>23374</v>
      </c>
      <c r="D16" s="250"/>
      <c r="E16" s="250">
        <v>1881</v>
      </c>
      <c r="F16" s="250">
        <v>4936</v>
      </c>
      <c r="G16" s="250">
        <v>5974</v>
      </c>
      <c r="H16" s="250">
        <v>8009</v>
      </c>
      <c r="I16" s="250">
        <v>5509</v>
      </c>
      <c r="J16" s="250">
        <v>6180</v>
      </c>
      <c r="K16" s="250">
        <v>4012</v>
      </c>
      <c r="L16" s="250">
        <v>3236</v>
      </c>
      <c r="M16" s="250">
        <v>4437</v>
      </c>
      <c r="N16" s="252">
        <v>3905</v>
      </c>
      <c r="O16" s="252">
        <v>4881</v>
      </c>
      <c r="P16" s="252">
        <v>3024</v>
      </c>
      <c r="Q16" s="252">
        <v>4131</v>
      </c>
      <c r="R16" s="252">
        <f>SUM(D16:Q16)</f>
        <v>60115</v>
      </c>
      <c r="S16" s="130" t="s">
        <v>299</v>
      </c>
    </row>
    <row r="17" spans="1:19" s="3" customFormat="1" ht="12.75">
      <c r="A17" s="181" t="s">
        <v>421</v>
      </c>
      <c r="B17" s="250">
        <f>SUM(D17:H17)</f>
        <v>42074</v>
      </c>
      <c r="C17" s="250">
        <f>SUM(I17:M17)</f>
        <v>35627</v>
      </c>
      <c r="D17" s="250">
        <v>4553</v>
      </c>
      <c r="E17" s="250">
        <v>10490</v>
      </c>
      <c r="F17" s="250">
        <v>12168</v>
      </c>
      <c r="G17" s="250">
        <v>6526</v>
      </c>
      <c r="H17" s="250">
        <v>8337</v>
      </c>
      <c r="I17" s="250">
        <v>6808</v>
      </c>
      <c r="J17" s="250">
        <v>7137</v>
      </c>
      <c r="K17" s="250">
        <v>10170</v>
      </c>
      <c r="L17" s="250">
        <v>7865</v>
      </c>
      <c r="M17" s="250">
        <v>3647</v>
      </c>
      <c r="N17" s="252">
        <v>1893</v>
      </c>
      <c r="O17" s="252">
        <v>7120</v>
      </c>
      <c r="P17" s="252">
        <v>3398</v>
      </c>
      <c r="Q17" s="252">
        <v>2478</v>
      </c>
      <c r="R17" s="139"/>
      <c r="S17" s="130"/>
    </row>
    <row r="18" spans="1:19" s="3" customFormat="1" ht="12.75">
      <c r="A18" s="16" t="s">
        <v>1</v>
      </c>
      <c r="B18" s="263">
        <f>SUM(D18:H18)</f>
        <v>62874</v>
      </c>
      <c r="C18" s="263">
        <f>SUM(C16:C17)</f>
        <v>59001</v>
      </c>
      <c r="D18" s="263">
        <f aca="true" t="shared" si="5" ref="D18:I18">SUM(D16:D17)</f>
        <v>4553</v>
      </c>
      <c r="E18" s="263">
        <f t="shared" si="5"/>
        <v>12371</v>
      </c>
      <c r="F18" s="263">
        <f t="shared" si="5"/>
        <v>17104</v>
      </c>
      <c r="G18" s="263">
        <f t="shared" si="5"/>
        <v>12500</v>
      </c>
      <c r="H18" s="263">
        <f t="shared" si="5"/>
        <v>16346</v>
      </c>
      <c r="I18" s="263">
        <f t="shared" si="5"/>
        <v>12317</v>
      </c>
      <c r="J18" s="263">
        <f aca="true" t="shared" si="6" ref="J18:O18">SUM(J16:J17)</f>
        <v>13317</v>
      </c>
      <c r="K18" s="263">
        <f t="shared" si="6"/>
        <v>14182</v>
      </c>
      <c r="L18" s="263">
        <f t="shared" si="6"/>
        <v>11101</v>
      </c>
      <c r="M18" s="263">
        <f t="shared" si="6"/>
        <v>8084</v>
      </c>
      <c r="N18" s="254">
        <f t="shared" si="6"/>
        <v>5798</v>
      </c>
      <c r="O18" s="254">
        <f t="shared" si="6"/>
        <v>12001</v>
      </c>
      <c r="P18" s="254">
        <f>SUM(P16:P17)</f>
        <v>6422</v>
      </c>
      <c r="Q18" s="254">
        <f>SUM(Q16:Q17)</f>
        <v>6609</v>
      </c>
      <c r="R18" s="139"/>
      <c r="S18" s="130"/>
    </row>
    <row r="19" spans="1:19" s="3" customFormat="1" ht="12.75">
      <c r="A19" s="43"/>
      <c r="B19" s="265"/>
      <c r="C19" s="265"/>
      <c r="D19" s="265"/>
      <c r="E19" s="265"/>
      <c r="F19" s="265"/>
      <c r="G19" s="265"/>
      <c r="H19" s="265"/>
      <c r="I19" s="265"/>
      <c r="J19" s="265"/>
      <c r="K19" s="265"/>
      <c r="L19" s="265"/>
      <c r="M19" s="265"/>
      <c r="N19" s="325"/>
      <c r="O19" s="325"/>
      <c r="P19" s="325"/>
      <c r="Q19" s="325"/>
      <c r="R19" s="139"/>
      <c r="S19" s="130"/>
    </row>
    <row r="20" spans="1:19" s="3" customFormat="1" ht="12.75">
      <c r="A20" s="43"/>
      <c r="B20" s="265"/>
      <c r="C20" s="265"/>
      <c r="D20" s="265"/>
      <c r="E20" s="265"/>
      <c r="F20" s="265"/>
      <c r="G20" s="265"/>
      <c r="H20" s="265"/>
      <c r="I20" s="265"/>
      <c r="J20" s="265"/>
      <c r="K20" s="265"/>
      <c r="L20" s="265"/>
      <c r="M20" s="265"/>
      <c r="N20" s="325"/>
      <c r="O20" s="325"/>
      <c r="P20" s="325"/>
      <c r="Q20" s="325"/>
      <c r="R20" s="139"/>
      <c r="S20" s="130"/>
    </row>
    <row r="21" spans="1:19" s="3" customFormat="1" ht="12.75">
      <c r="A21" s="428" t="s">
        <v>388</v>
      </c>
      <c r="B21" s="265"/>
      <c r="C21" s="265"/>
      <c r="D21" s="265"/>
      <c r="E21" s="265"/>
      <c r="F21" s="265"/>
      <c r="G21" s="265"/>
      <c r="H21" s="265"/>
      <c r="I21" s="265"/>
      <c r="J21" s="265"/>
      <c r="K21" s="265"/>
      <c r="L21" s="265"/>
      <c r="M21" s="265"/>
      <c r="N21" s="325"/>
      <c r="O21" s="325"/>
      <c r="P21" s="325"/>
      <c r="Q21" s="325"/>
      <c r="R21" s="139"/>
      <c r="S21" s="130"/>
    </row>
    <row r="22" spans="1:19" s="3" customFormat="1" ht="12.75">
      <c r="A22" s="428"/>
      <c r="B22" s="40"/>
      <c r="C22" s="40"/>
      <c r="D22" s="40"/>
      <c r="E22" s="40"/>
      <c r="F22" s="40"/>
      <c r="G22" s="40"/>
      <c r="H22" s="40"/>
      <c r="I22" s="40"/>
      <c r="J22" s="40"/>
      <c r="K22" s="40"/>
      <c r="L22" s="40"/>
      <c r="M22" s="40"/>
      <c r="N22" s="63"/>
      <c r="O22" s="63"/>
      <c r="P22" s="63"/>
      <c r="Q22" s="63"/>
      <c r="R22" s="63"/>
      <c r="S22" s="141"/>
    </row>
    <row r="23" spans="1:18" s="3" customFormat="1" ht="12.75">
      <c r="A23" s="43" t="s">
        <v>6</v>
      </c>
      <c r="B23" s="40"/>
      <c r="C23" s="40"/>
      <c r="D23" s="40"/>
      <c r="E23" s="40"/>
      <c r="F23" s="40"/>
      <c r="G23" s="40"/>
      <c r="H23" s="40"/>
      <c r="I23" s="40"/>
      <c r="J23" s="40"/>
      <c r="K23" s="40"/>
      <c r="L23" s="40"/>
      <c r="M23" s="40"/>
      <c r="N23" s="40"/>
      <c r="O23" s="40"/>
      <c r="P23" s="40"/>
      <c r="Q23" s="40"/>
      <c r="R23" s="40"/>
    </row>
    <row r="24" spans="1:18" s="3" customFormat="1" ht="12.75">
      <c r="A24" s="43" t="s">
        <v>7</v>
      </c>
      <c r="B24" s="40" t="s">
        <v>8</v>
      </c>
      <c r="C24" s="40" t="s">
        <v>8</v>
      </c>
      <c r="D24" s="40" t="s">
        <v>8</v>
      </c>
      <c r="E24" s="40" t="s">
        <v>8</v>
      </c>
      <c r="F24" s="40" t="s">
        <v>8</v>
      </c>
      <c r="G24" s="40" t="s">
        <v>8</v>
      </c>
      <c r="H24" s="40" t="s">
        <v>8</v>
      </c>
      <c r="I24" s="40" t="s">
        <v>8</v>
      </c>
      <c r="J24" s="40" t="s">
        <v>8</v>
      </c>
      <c r="K24" s="45" t="s">
        <v>8</v>
      </c>
      <c r="L24" s="45" t="s">
        <v>8</v>
      </c>
      <c r="M24" s="45" t="s">
        <v>8</v>
      </c>
      <c r="N24" s="45" t="s">
        <v>8</v>
      </c>
      <c r="O24" s="45" t="s">
        <v>8</v>
      </c>
      <c r="P24" s="45" t="s">
        <v>8</v>
      </c>
      <c r="Q24" s="45" t="s">
        <v>8</v>
      </c>
      <c r="R24" s="40" t="s">
        <v>8</v>
      </c>
    </row>
    <row r="25" spans="1:18" ht="12.75">
      <c r="A25" s="15" t="s">
        <v>343</v>
      </c>
      <c r="B25" s="250">
        <f>SUM(D25:H25)</f>
        <v>18828</v>
      </c>
      <c r="C25" s="250">
        <f>SUM(I25:M25)</f>
        <v>21384</v>
      </c>
      <c r="D25" s="250">
        <v>119</v>
      </c>
      <c r="E25" s="250">
        <v>3262</v>
      </c>
      <c r="F25" s="250">
        <v>4773</v>
      </c>
      <c r="G25" s="250">
        <v>4551</v>
      </c>
      <c r="H25" s="250">
        <v>6123</v>
      </c>
      <c r="I25" s="250">
        <v>5181</v>
      </c>
      <c r="J25" s="250">
        <v>5829</v>
      </c>
      <c r="K25" s="250">
        <v>3343</v>
      </c>
      <c r="L25" s="250">
        <v>2652</v>
      </c>
      <c r="M25" s="250">
        <v>4379</v>
      </c>
      <c r="N25" s="250">
        <v>4562</v>
      </c>
      <c r="O25" s="252">
        <v>5281</v>
      </c>
      <c r="P25" s="252">
        <v>4770</v>
      </c>
      <c r="Q25" s="252">
        <v>3747</v>
      </c>
      <c r="R25" s="250">
        <f>SUM(D25:Q25)</f>
        <v>58572</v>
      </c>
    </row>
    <row r="26" spans="1:18" ht="12.75">
      <c r="A26" s="15" t="s">
        <v>344</v>
      </c>
      <c r="B26" s="250">
        <f>SUM(D26:H26)</f>
        <v>376554</v>
      </c>
      <c r="C26" s="250">
        <f>SUM(I26:M26)</f>
        <v>408446</v>
      </c>
      <c r="D26" s="250">
        <v>2376</v>
      </c>
      <c r="E26" s="250">
        <v>65231</v>
      </c>
      <c r="F26" s="250">
        <v>95460</v>
      </c>
      <c r="G26" s="250">
        <v>91026</v>
      </c>
      <c r="H26" s="250">
        <v>122461</v>
      </c>
      <c r="I26" s="250">
        <v>93829</v>
      </c>
      <c r="J26" s="250">
        <v>107137</v>
      </c>
      <c r="K26" s="250">
        <v>66860</v>
      </c>
      <c r="L26" s="250">
        <v>53040</v>
      </c>
      <c r="M26" s="250">
        <v>87580</v>
      </c>
      <c r="N26" s="250">
        <v>91240</v>
      </c>
      <c r="O26" s="252">
        <v>105487</v>
      </c>
      <c r="P26" s="252">
        <v>97685</v>
      </c>
      <c r="Q26" s="252">
        <v>75478</v>
      </c>
      <c r="R26" s="250">
        <f>SUM(D26:Q26)</f>
        <v>1154890</v>
      </c>
    </row>
    <row r="27" spans="1:19" ht="12.75">
      <c r="A27" s="21"/>
      <c r="B27" s="40"/>
      <c r="C27" s="40"/>
      <c r="D27" s="40"/>
      <c r="E27" s="40"/>
      <c r="F27" s="40"/>
      <c r="G27" s="40"/>
      <c r="H27" s="40"/>
      <c r="I27" s="40"/>
      <c r="J27" s="40"/>
      <c r="K27" s="40"/>
      <c r="L27" s="40"/>
      <c r="M27" s="40"/>
      <c r="N27" s="40"/>
      <c r="O27" s="40"/>
      <c r="P27" s="40"/>
      <c r="Q27" s="40"/>
      <c r="R27" s="40"/>
      <c r="S27" s="71"/>
    </row>
    <row r="28" spans="1:19" ht="12.75">
      <c r="A28" s="50" t="s">
        <v>111</v>
      </c>
      <c r="B28" s="40" t="s">
        <v>397</v>
      </c>
      <c r="C28" s="40" t="s">
        <v>397</v>
      </c>
      <c r="D28" s="40" t="s">
        <v>397</v>
      </c>
      <c r="E28" s="40" t="s">
        <v>397</v>
      </c>
      <c r="F28" s="40" t="s">
        <v>397</v>
      </c>
      <c r="G28" s="40" t="s">
        <v>397</v>
      </c>
      <c r="H28" s="40" t="s">
        <v>397</v>
      </c>
      <c r="I28" s="40" t="s">
        <v>397</v>
      </c>
      <c r="J28" s="40" t="s">
        <v>397</v>
      </c>
      <c r="K28" s="45" t="s">
        <v>397</v>
      </c>
      <c r="L28" s="45" t="s">
        <v>397</v>
      </c>
      <c r="M28" s="45" t="s">
        <v>397</v>
      </c>
      <c r="N28" s="45" t="s">
        <v>397</v>
      </c>
      <c r="O28" s="45" t="s">
        <v>397</v>
      </c>
      <c r="P28" s="45" t="s">
        <v>397</v>
      </c>
      <c r="Q28" s="45" t="s">
        <v>397</v>
      </c>
      <c r="R28" s="40" t="s">
        <v>397</v>
      </c>
      <c r="S28" s="197" t="s">
        <v>293</v>
      </c>
    </row>
    <row r="29" spans="1:19" ht="12.75">
      <c r="A29" s="19" t="s">
        <v>425</v>
      </c>
      <c r="B29" s="250">
        <f>SUM(D29:H29)</f>
        <v>48393</v>
      </c>
      <c r="C29" s="250">
        <f>SUM(I29:M29)</f>
        <v>46538</v>
      </c>
      <c r="D29" s="250">
        <v>11</v>
      </c>
      <c r="E29" s="250">
        <v>3415</v>
      </c>
      <c r="F29" s="250">
        <v>11201</v>
      </c>
      <c r="G29" s="250">
        <v>14869</v>
      </c>
      <c r="H29" s="250">
        <v>18897</v>
      </c>
      <c r="I29" s="252">
        <v>13285</v>
      </c>
      <c r="J29" s="252">
        <v>12497</v>
      </c>
      <c r="K29" s="252">
        <v>8179</v>
      </c>
      <c r="L29" s="252">
        <v>5736</v>
      </c>
      <c r="M29" s="252">
        <v>6841</v>
      </c>
      <c r="N29" s="252">
        <v>4616</v>
      </c>
      <c r="O29" s="252">
        <v>7298</v>
      </c>
      <c r="P29" s="252">
        <v>3836</v>
      </c>
      <c r="Q29" s="252">
        <v>37378</v>
      </c>
      <c r="R29" s="250">
        <f>SUM(D29:Q29)</f>
        <v>148059</v>
      </c>
      <c r="S29" s="197" t="s">
        <v>292</v>
      </c>
    </row>
    <row r="30" spans="1:18" ht="12.75">
      <c r="A30" s="21"/>
      <c r="B30" s="44"/>
      <c r="C30" s="44"/>
      <c r="D30" s="44"/>
      <c r="E30" s="44"/>
      <c r="F30" s="44"/>
      <c r="G30" s="44"/>
      <c r="H30" s="44"/>
      <c r="I30" s="44"/>
      <c r="J30" s="44"/>
      <c r="K30" s="44"/>
      <c r="L30" s="44"/>
      <c r="M30" s="44"/>
      <c r="N30" s="44"/>
      <c r="O30" s="44"/>
      <c r="P30" s="44"/>
      <c r="Q30" s="44"/>
      <c r="R30" s="44"/>
    </row>
    <row r="31" spans="1:18" ht="12.75">
      <c r="A31" s="50" t="s">
        <v>10</v>
      </c>
      <c r="B31" s="44" t="s">
        <v>11</v>
      </c>
      <c r="C31" s="44" t="s">
        <v>11</v>
      </c>
      <c r="D31" s="44" t="s">
        <v>11</v>
      </c>
      <c r="E31" s="44" t="s">
        <v>11</v>
      </c>
      <c r="F31" s="44" t="s">
        <v>11</v>
      </c>
      <c r="G31" s="44" t="s">
        <v>11</v>
      </c>
      <c r="H31" s="44" t="s">
        <v>11</v>
      </c>
      <c r="I31" s="44" t="s">
        <v>11</v>
      </c>
      <c r="J31" s="44" t="s">
        <v>11</v>
      </c>
      <c r="K31" s="84" t="s">
        <v>11</v>
      </c>
      <c r="L31" s="84" t="s">
        <v>11</v>
      </c>
      <c r="M31" s="84" t="s">
        <v>11</v>
      </c>
      <c r="N31" s="84" t="s">
        <v>11</v>
      </c>
      <c r="O31" s="84" t="s">
        <v>11</v>
      </c>
      <c r="P31" s="84" t="s">
        <v>11</v>
      </c>
      <c r="Q31" s="84" t="s">
        <v>11</v>
      </c>
      <c r="R31" s="44" t="s">
        <v>11</v>
      </c>
    </row>
    <row r="32" spans="1:18" ht="12.75">
      <c r="A32" s="15" t="s">
        <v>343</v>
      </c>
      <c r="B32" s="250">
        <f>SUM(D32:H32)</f>
        <v>644169</v>
      </c>
      <c r="C32" s="250">
        <f>SUM(I32:M32)</f>
        <v>586400</v>
      </c>
      <c r="D32" s="250">
        <v>356</v>
      </c>
      <c r="E32" s="250">
        <v>83638</v>
      </c>
      <c r="F32" s="250">
        <v>136914</v>
      </c>
      <c r="G32" s="250">
        <v>183693</v>
      </c>
      <c r="H32" s="250">
        <v>239568</v>
      </c>
      <c r="I32" s="250">
        <v>164504</v>
      </c>
      <c r="J32" s="250">
        <v>156698</v>
      </c>
      <c r="K32" s="250">
        <v>109223</v>
      </c>
      <c r="L32" s="250">
        <v>76797</v>
      </c>
      <c r="M32" s="250">
        <v>79178</v>
      </c>
      <c r="N32" s="250">
        <v>60733</v>
      </c>
      <c r="O32" s="252">
        <v>74397</v>
      </c>
      <c r="P32" s="252">
        <v>49991</v>
      </c>
      <c r="Q32" s="252">
        <v>37013</v>
      </c>
      <c r="R32" s="250">
        <f>SUM(D32:Q32)</f>
        <v>1452703</v>
      </c>
    </row>
    <row r="33" spans="1:18" ht="12.75">
      <c r="A33" s="15" t="s">
        <v>344</v>
      </c>
      <c r="B33" s="250">
        <f>SUM(D33:H33)</f>
        <v>12883376</v>
      </c>
      <c r="C33" s="250">
        <f>SUM(I33:M33)</f>
        <v>9433040</v>
      </c>
      <c r="D33" s="250">
        <v>7120</v>
      </c>
      <c r="E33" s="250">
        <v>1672762</v>
      </c>
      <c r="F33" s="250">
        <v>2738286</v>
      </c>
      <c r="G33" s="250">
        <v>3673856</v>
      </c>
      <c r="H33" s="250">
        <v>4791352</v>
      </c>
      <c r="I33" s="250">
        <v>2191094</v>
      </c>
      <c r="J33" s="250">
        <v>1937986</v>
      </c>
      <c r="K33" s="252">
        <v>2184460</v>
      </c>
      <c r="L33" s="252">
        <v>1535940</v>
      </c>
      <c r="M33" s="252">
        <v>1583560</v>
      </c>
      <c r="N33" s="252">
        <v>1214660</v>
      </c>
      <c r="O33" s="252">
        <v>1487097</v>
      </c>
      <c r="P33" s="252">
        <v>1017268</v>
      </c>
      <c r="Q33" s="252">
        <v>744757</v>
      </c>
      <c r="R33" s="250">
        <f>SUM(D33:Q33)</f>
        <v>26780198</v>
      </c>
    </row>
    <row r="34" spans="1:18" ht="12.75">
      <c r="A34" s="21"/>
      <c r="B34" s="259"/>
      <c r="C34" s="259"/>
      <c r="D34" s="259"/>
      <c r="E34" s="259"/>
      <c r="F34" s="259"/>
      <c r="G34" s="259"/>
      <c r="H34" s="259"/>
      <c r="I34" s="259"/>
      <c r="J34" s="259"/>
      <c r="K34" s="311"/>
      <c r="L34" s="311"/>
      <c r="M34" s="311"/>
      <c r="N34" s="311"/>
      <c r="O34" s="311"/>
      <c r="P34" s="311"/>
      <c r="Q34" s="311"/>
      <c r="R34" s="259"/>
    </row>
    <row r="35" spans="1:18" ht="12.75">
      <c r="A35" s="21"/>
      <c r="B35" s="259"/>
      <c r="C35" s="259"/>
      <c r="D35" s="259"/>
      <c r="E35" s="259"/>
      <c r="F35" s="259"/>
      <c r="G35" s="259"/>
      <c r="H35" s="259"/>
      <c r="I35" s="259"/>
      <c r="J35" s="259"/>
      <c r="K35" s="311"/>
      <c r="L35" s="311"/>
      <c r="M35" s="311"/>
      <c r="N35" s="311"/>
      <c r="O35" s="311"/>
      <c r="P35" s="311"/>
      <c r="Q35" s="311"/>
      <c r="R35" s="259"/>
    </row>
    <row r="36" spans="1:18" ht="12.75">
      <c r="A36" s="428" t="s">
        <v>19</v>
      </c>
      <c r="B36" s="259"/>
      <c r="C36" s="259"/>
      <c r="D36" s="259"/>
      <c r="E36" s="259"/>
      <c r="F36" s="259"/>
      <c r="G36" s="259"/>
      <c r="H36" s="259"/>
      <c r="I36" s="259"/>
      <c r="J36" s="259"/>
      <c r="K36" s="311"/>
      <c r="L36" s="311"/>
      <c r="M36" s="311"/>
      <c r="N36" s="311"/>
      <c r="O36" s="311"/>
      <c r="P36" s="311"/>
      <c r="Q36" s="311"/>
      <c r="R36" s="259"/>
    </row>
    <row r="37" spans="1:18" ht="12.75">
      <c r="A37" s="78"/>
      <c r="B37" s="259"/>
      <c r="C37" s="259"/>
      <c r="D37" s="259"/>
      <c r="E37" s="259"/>
      <c r="F37" s="259"/>
      <c r="G37" s="259"/>
      <c r="H37" s="259"/>
      <c r="I37" s="259"/>
      <c r="J37" s="259"/>
      <c r="K37" s="311"/>
      <c r="L37" s="311"/>
      <c r="M37" s="311"/>
      <c r="N37" s="311"/>
      <c r="O37" s="311"/>
      <c r="P37" s="311"/>
      <c r="Q37" s="311"/>
      <c r="R37" s="259"/>
    </row>
    <row r="38" spans="1:18" ht="12.75">
      <c r="A38" s="43" t="s">
        <v>6</v>
      </c>
      <c r="B38" s="44"/>
      <c r="C38" s="44"/>
      <c r="D38" s="44"/>
      <c r="E38" s="44"/>
      <c r="F38" s="44"/>
      <c r="G38" s="44"/>
      <c r="H38" s="44"/>
      <c r="I38" s="44"/>
      <c r="J38" s="44"/>
      <c r="K38" s="58"/>
      <c r="L38" s="58"/>
      <c r="M38" s="58"/>
      <c r="N38" s="58"/>
      <c r="O38" s="58"/>
      <c r="P38" s="58"/>
      <c r="Q38" s="58"/>
      <c r="R38" s="44"/>
    </row>
    <row r="39" spans="1:21" ht="12.75">
      <c r="A39" s="43" t="s">
        <v>7</v>
      </c>
      <c r="B39" s="40" t="s">
        <v>8</v>
      </c>
      <c r="C39" s="40" t="s">
        <v>8</v>
      </c>
      <c r="D39" s="40" t="s">
        <v>8</v>
      </c>
      <c r="E39" s="40" t="s">
        <v>8</v>
      </c>
      <c r="F39" s="40" t="s">
        <v>8</v>
      </c>
      <c r="G39" s="40" t="s">
        <v>8</v>
      </c>
      <c r="H39" s="40" t="s">
        <v>8</v>
      </c>
      <c r="I39" s="40" t="s">
        <v>8</v>
      </c>
      <c r="J39" s="40" t="s">
        <v>8</v>
      </c>
      <c r="K39" s="87" t="s">
        <v>8</v>
      </c>
      <c r="L39" s="45" t="s">
        <v>8</v>
      </c>
      <c r="M39" s="45" t="s">
        <v>8</v>
      </c>
      <c r="N39" s="45" t="s">
        <v>8</v>
      </c>
      <c r="O39" s="87" t="s">
        <v>8</v>
      </c>
      <c r="P39" s="87" t="s">
        <v>8</v>
      </c>
      <c r="Q39" s="87" t="s">
        <v>8</v>
      </c>
      <c r="R39" s="40"/>
      <c r="S39" s="3"/>
      <c r="T39" s="3"/>
      <c r="U39" s="3"/>
    </row>
    <row r="40" spans="1:18" ht="12.75">
      <c r="A40" s="15" t="s">
        <v>343</v>
      </c>
      <c r="B40" s="250">
        <f>SUM(D40:H40)</f>
        <v>81601</v>
      </c>
      <c r="C40" s="250">
        <f>SUM(I40:M40)</f>
        <v>47288</v>
      </c>
      <c r="D40" s="250">
        <v>6574</v>
      </c>
      <c r="E40" s="250">
        <v>30773</v>
      </c>
      <c r="F40" s="250">
        <v>22039</v>
      </c>
      <c r="G40" s="250">
        <v>3954</v>
      </c>
      <c r="H40" s="250">
        <v>18261</v>
      </c>
      <c r="I40" s="250">
        <v>19356</v>
      </c>
      <c r="J40" s="250">
        <v>8253</v>
      </c>
      <c r="K40" s="252">
        <v>11187</v>
      </c>
      <c r="L40" s="252">
        <v>4608</v>
      </c>
      <c r="M40" s="252">
        <v>3884</v>
      </c>
      <c r="N40" s="252">
        <v>2082</v>
      </c>
      <c r="O40" s="252">
        <v>12799</v>
      </c>
      <c r="P40" s="252">
        <v>8955</v>
      </c>
      <c r="Q40" s="252">
        <v>10105.407990314769</v>
      </c>
      <c r="R40" s="44"/>
    </row>
    <row r="41" spans="1:18" ht="12.75">
      <c r="A41" s="15" t="s">
        <v>344</v>
      </c>
      <c r="B41" s="250">
        <f>SUM(D41:H41)</f>
        <v>1521208</v>
      </c>
      <c r="C41" s="250">
        <f>SUM(I41:M41)</f>
        <v>906462</v>
      </c>
      <c r="D41" s="250">
        <v>131481</v>
      </c>
      <c r="E41" s="250">
        <v>504649</v>
      </c>
      <c r="F41" s="250">
        <v>440776</v>
      </c>
      <c r="G41" s="250">
        <v>79079</v>
      </c>
      <c r="H41" s="250">
        <v>365223</v>
      </c>
      <c r="I41" s="250">
        <v>347822</v>
      </c>
      <c r="J41" s="250">
        <v>165060</v>
      </c>
      <c r="K41" s="252">
        <v>223740</v>
      </c>
      <c r="L41" s="252">
        <v>92158</v>
      </c>
      <c r="M41" s="252">
        <v>77682</v>
      </c>
      <c r="N41" s="252">
        <v>41646</v>
      </c>
      <c r="O41" s="252">
        <v>295243</v>
      </c>
      <c r="P41" s="252">
        <v>183391</v>
      </c>
      <c r="Q41" s="252">
        <v>203559.1097659403</v>
      </c>
      <c r="R41" s="44"/>
    </row>
    <row r="42" spans="1:18" ht="12.75">
      <c r="A42" s="21"/>
      <c r="B42" s="44"/>
      <c r="C42" s="44"/>
      <c r="D42" s="44"/>
      <c r="E42" s="44"/>
      <c r="F42" s="44"/>
      <c r="G42" s="44"/>
      <c r="H42" s="44"/>
      <c r="I42" s="44"/>
      <c r="J42" s="44"/>
      <c r="K42" s="58"/>
      <c r="L42" s="58"/>
      <c r="M42" s="58"/>
      <c r="N42" s="58"/>
      <c r="O42" s="58"/>
      <c r="P42" s="58"/>
      <c r="Q42" s="58"/>
      <c r="R42" s="44"/>
    </row>
    <row r="43" spans="1:18" ht="12.75">
      <c r="A43" s="43" t="s">
        <v>111</v>
      </c>
      <c r="B43" s="44" t="s">
        <v>397</v>
      </c>
      <c r="C43" s="44" t="s">
        <v>397</v>
      </c>
      <c r="D43" s="44" t="s">
        <v>397</v>
      </c>
      <c r="E43" s="44" t="s">
        <v>397</v>
      </c>
      <c r="F43" s="44" t="s">
        <v>397</v>
      </c>
      <c r="G43" s="44" t="s">
        <v>397</v>
      </c>
      <c r="H43" s="44" t="s">
        <v>397</v>
      </c>
      <c r="I43" s="44" t="s">
        <v>397</v>
      </c>
      <c r="J43" s="40" t="s">
        <v>397</v>
      </c>
      <c r="K43" s="87" t="s">
        <v>397</v>
      </c>
      <c r="L43" s="87" t="s">
        <v>397</v>
      </c>
      <c r="M43" s="87" t="s">
        <v>397</v>
      </c>
      <c r="N43" s="87" t="s">
        <v>397</v>
      </c>
      <c r="O43" s="87" t="s">
        <v>397</v>
      </c>
      <c r="P43" s="87" t="s">
        <v>397</v>
      </c>
      <c r="Q43" s="87" t="s">
        <v>397</v>
      </c>
      <c r="R43" s="44"/>
    </row>
    <row r="44" spans="1:18" ht="12.75">
      <c r="A44" s="19" t="s">
        <v>424</v>
      </c>
      <c r="B44" s="250">
        <f>SUM(D44:H44)</f>
        <v>130568</v>
      </c>
      <c r="C44" s="250">
        <f>SUM(I44:M44)</f>
        <v>116548</v>
      </c>
      <c r="D44" s="250">
        <v>6547</v>
      </c>
      <c r="E44" s="250">
        <v>31455</v>
      </c>
      <c r="F44" s="250">
        <v>39030</v>
      </c>
      <c r="G44" s="250">
        <v>10985</v>
      </c>
      <c r="H44" s="250">
        <v>42551</v>
      </c>
      <c r="I44" s="250">
        <v>54027</v>
      </c>
      <c r="J44" s="250">
        <v>18869</v>
      </c>
      <c r="K44" s="252">
        <v>24815</v>
      </c>
      <c r="L44" s="252">
        <v>10221</v>
      </c>
      <c r="M44" s="252">
        <v>8616</v>
      </c>
      <c r="N44" s="252">
        <v>4619</v>
      </c>
      <c r="O44" s="252">
        <v>13715</v>
      </c>
      <c r="P44" s="252">
        <v>7202</v>
      </c>
      <c r="Q44" s="252">
        <v>100805.96206618242</v>
      </c>
      <c r="R44" s="44"/>
    </row>
    <row r="45" spans="1:18" ht="12.75">
      <c r="A45" s="21"/>
      <c r="B45" s="44"/>
      <c r="C45" s="44"/>
      <c r="D45" s="44"/>
      <c r="E45" s="44"/>
      <c r="F45" s="44"/>
      <c r="G45" s="44"/>
      <c r="H45" s="44"/>
      <c r="I45" s="44"/>
      <c r="J45" s="44"/>
      <c r="K45" s="58"/>
      <c r="L45" s="58"/>
      <c r="M45" s="58"/>
      <c r="N45" s="58"/>
      <c r="O45" s="58"/>
      <c r="P45" s="58"/>
      <c r="Q45" s="58"/>
      <c r="R45" s="44"/>
    </row>
    <row r="46" spans="1:29" ht="12.75">
      <c r="A46" s="50" t="s">
        <v>10</v>
      </c>
      <c r="B46" s="44" t="s">
        <v>11</v>
      </c>
      <c r="C46" s="44" t="s">
        <v>11</v>
      </c>
      <c r="D46" s="44" t="s">
        <v>11</v>
      </c>
      <c r="E46" s="44" t="s">
        <v>11</v>
      </c>
      <c r="F46" s="44" t="s">
        <v>11</v>
      </c>
      <c r="G46" s="44" t="s">
        <v>11</v>
      </c>
      <c r="H46" s="44" t="s">
        <v>11</v>
      </c>
      <c r="I46" s="44" t="s">
        <v>11</v>
      </c>
      <c r="J46" s="44" t="s">
        <v>11</v>
      </c>
      <c r="K46" s="88" t="s">
        <v>11</v>
      </c>
      <c r="L46" s="84" t="s">
        <v>11</v>
      </c>
      <c r="M46" s="84" t="s">
        <v>11</v>
      </c>
      <c r="N46" s="44" t="s">
        <v>11</v>
      </c>
      <c r="O46" s="58" t="s">
        <v>11</v>
      </c>
      <c r="P46" s="58" t="s">
        <v>11</v>
      </c>
      <c r="Q46" s="58" t="s">
        <v>11</v>
      </c>
      <c r="R46" s="44"/>
      <c r="V46" s="9"/>
      <c r="W46" s="9"/>
      <c r="X46" s="9"/>
      <c r="Y46" s="9"/>
      <c r="Z46" s="9"/>
      <c r="AA46" s="9"/>
      <c r="AB46" s="9"/>
      <c r="AC46" s="9"/>
    </row>
    <row r="47" spans="1:18" ht="12.75">
      <c r="A47" s="15" t="s">
        <v>343</v>
      </c>
      <c r="B47" s="250">
        <f>SUM(D47:H47)</f>
        <v>2005176</v>
      </c>
      <c r="C47" s="250">
        <f>SUM(I47:M47)</f>
        <v>1532076</v>
      </c>
      <c r="D47" s="250">
        <v>100752</v>
      </c>
      <c r="E47" s="250">
        <v>616850</v>
      </c>
      <c r="F47" s="250">
        <v>606325</v>
      </c>
      <c r="G47" s="250">
        <v>130804</v>
      </c>
      <c r="H47" s="250">
        <v>550445</v>
      </c>
      <c r="I47" s="250">
        <v>631039</v>
      </c>
      <c r="J47" s="250">
        <v>155595</v>
      </c>
      <c r="K47" s="252">
        <v>312728</v>
      </c>
      <c r="L47" s="252">
        <v>241849</v>
      </c>
      <c r="M47" s="252">
        <v>190865</v>
      </c>
      <c r="N47" s="252">
        <v>74876</v>
      </c>
      <c r="O47" s="252">
        <v>224799</v>
      </c>
      <c r="P47" s="252">
        <v>93852</v>
      </c>
      <c r="Q47" s="252">
        <v>99821.58151735271</v>
      </c>
      <c r="R47" s="44"/>
    </row>
    <row r="48" spans="1:18" ht="12.75">
      <c r="A48" s="15" t="s">
        <v>344</v>
      </c>
      <c r="B48" s="250">
        <f>SUM(D48:H48)</f>
        <v>40311527</v>
      </c>
      <c r="C48" s="250">
        <f>SUM(I48:M48)</f>
        <v>23960088</v>
      </c>
      <c r="D48" s="250">
        <v>2015046</v>
      </c>
      <c r="E48" s="250">
        <v>12337003</v>
      </c>
      <c r="F48" s="250">
        <v>12126506</v>
      </c>
      <c r="G48" s="250">
        <v>2824084</v>
      </c>
      <c r="H48" s="250">
        <v>11008888</v>
      </c>
      <c r="I48" s="250">
        <v>5939348</v>
      </c>
      <c r="J48" s="250">
        <v>3111900</v>
      </c>
      <c r="K48" s="252">
        <v>6254560</v>
      </c>
      <c r="L48" s="252">
        <v>4836980</v>
      </c>
      <c r="M48" s="252">
        <v>3817300</v>
      </c>
      <c r="N48" s="252">
        <v>1497520</v>
      </c>
      <c r="O48" s="252">
        <v>4495881</v>
      </c>
      <c r="P48" s="252">
        <v>1909789</v>
      </c>
      <c r="Q48" s="252">
        <v>2008559.738095238</v>
      </c>
      <c r="R48" s="44"/>
    </row>
    <row r="49" spans="1:18" ht="12.75">
      <c r="A49" s="2" t="s">
        <v>291</v>
      </c>
      <c r="B49" s="21"/>
      <c r="C49" s="21"/>
      <c r="D49" s="44"/>
      <c r="E49" s="44"/>
      <c r="F49" s="44"/>
      <c r="G49" s="44"/>
      <c r="H49" s="44"/>
      <c r="I49" s="44"/>
      <c r="J49" s="44"/>
      <c r="K49" s="58"/>
      <c r="L49" s="58"/>
      <c r="M49" s="58"/>
      <c r="N49" s="58"/>
      <c r="O49" s="58"/>
      <c r="P49" s="58"/>
      <c r="Q49" s="58"/>
      <c r="R49" s="44"/>
    </row>
    <row r="50" spans="1:18" ht="12.75">
      <c r="A50" s="21"/>
      <c r="B50" s="21"/>
      <c r="C50" s="21"/>
      <c r="D50" s="44"/>
      <c r="E50" s="44"/>
      <c r="F50" s="44"/>
      <c r="G50" s="44"/>
      <c r="H50" s="44"/>
      <c r="I50" s="44"/>
      <c r="J50" s="44"/>
      <c r="K50" s="44"/>
      <c r="L50" s="44"/>
      <c r="M50" s="44"/>
      <c r="N50" s="44"/>
      <c r="O50" s="44"/>
      <c r="P50" s="44"/>
      <c r="Q50" s="44"/>
      <c r="R50" s="44"/>
    </row>
    <row r="51" spans="1:18" ht="12.75">
      <c r="A51" s="43"/>
      <c r="B51" s="43"/>
      <c r="C51" s="43"/>
      <c r="D51" s="39"/>
      <c r="E51" s="39"/>
      <c r="F51" s="39"/>
      <c r="G51" s="39"/>
      <c r="H51" s="39"/>
      <c r="I51" s="39"/>
      <c r="J51" s="39"/>
      <c r="K51" s="39"/>
      <c r="L51" s="39"/>
      <c r="M51" s="39"/>
      <c r="N51" s="39"/>
      <c r="O51" s="39"/>
      <c r="P51" s="39"/>
      <c r="Q51" s="39"/>
      <c r="R51" s="44"/>
    </row>
    <row r="52" spans="1:19" ht="12.75">
      <c r="A52" s="40"/>
      <c r="B52" s="40"/>
      <c r="C52" s="40"/>
      <c r="D52" s="51"/>
      <c r="E52" s="44"/>
      <c r="F52" s="44"/>
      <c r="G52" s="44"/>
      <c r="H52" s="44"/>
      <c r="I52" s="44"/>
      <c r="J52" s="44"/>
      <c r="K52" s="44"/>
      <c r="L52" s="44"/>
      <c r="M52" s="44"/>
      <c r="N52" s="44"/>
      <c r="O52" s="44"/>
      <c r="P52" s="44"/>
      <c r="Q52" s="44"/>
      <c r="R52" s="44"/>
      <c r="S52" s="8"/>
    </row>
    <row r="53" spans="1:18" ht="12.75">
      <c r="A53" s="21"/>
      <c r="B53" s="21"/>
      <c r="C53" s="21"/>
      <c r="D53" s="44"/>
      <c r="E53" s="44"/>
      <c r="F53" s="44"/>
      <c r="G53" s="44"/>
      <c r="H53" s="44"/>
      <c r="I53" s="44"/>
      <c r="J53" s="44"/>
      <c r="K53" s="44"/>
      <c r="L53" s="44"/>
      <c r="M53" s="44"/>
      <c r="N53" s="44"/>
      <c r="O53" s="44"/>
      <c r="P53" s="44"/>
      <c r="Q53" s="44"/>
      <c r="R53" s="44"/>
    </row>
    <row r="54" spans="1:21" ht="12.75">
      <c r="A54" s="21"/>
      <c r="B54" s="21"/>
      <c r="C54" s="21"/>
      <c r="D54" s="52"/>
      <c r="E54" s="52"/>
      <c r="F54" s="52"/>
      <c r="G54" s="52"/>
      <c r="H54" s="52"/>
      <c r="I54" s="52"/>
      <c r="J54" s="52"/>
      <c r="K54" s="52"/>
      <c r="L54" s="52"/>
      <c r="M54" s="52"/>
      <c r="N54" s="52"/>
      <c r="O54" s="52"/>
      <c r="P54" s="52"/>
      <c r="Q54" s="52"/>
      <c r="R54" s="52"/>
      <c r="S54" s="9"/>
      <c r="T54" s="9"/>
      <c r="U54" s="9"/>
    </row>
    <row r="55" spans="1:21" ht="12.75">
      <c r="A55" s="21"/>
      <c r="B55" s="21"/>
      <c r="C55" s="21"/>
      <c r="D55" s="52"/>
      <c r="E55" s="52"/>
      <c r="F55" s="52"/>
      <c r="G55" s="52"/>
      <c r="H55" s="52"/>
      <c r="I55" s="52"/>
      <c r="J55" s="52"/>
      <c r="K55" s="52"/>
      <c r="L55" s="52"/>
      <c r="M55" s="52"/>
      <c r="N55" s="52"/>
      <c r="O55" s="52"/>
      <c r="P55" s="52"/>
      <c r="Q55" s="52"/>
      <c r="R55" s="52"/>
      <c r="S55" s="9"/>
      <c r="T55" s="9"/>
      <c r="U55" s="9"/>
    </row>
    <row r="56" spans="1:21" ht="12.75">
      <c r="A56" s="21"/>
      <c r="B56" s="21"/>
      <c r="C56" s="21"/>
      <c r="D56" s="52"/>
      <c r="E56" s="52"/>
      <c r="F56" s="52"/>
      <c r="G56" s="52"/>
      <c r="H56" s="52"/>
      <c r="I56" s="52"/>
      <c r="J56" s="52"/>
      <c r="K56" s="52"/>
      <c r="L56" s="52"/>
      <c r="M56" s="52"/>
      <c r="N56" s="52"/>
      <c r="O56" s="52"/>
      <c r="P56" s="52"/>
      <c r="Q56" s="52"/>
      <c r="R56" s="52"/>
      <c r="S56" s="9"/>
      <c r="T56" s="9"/>
      <c r="U56" s="9"/>
    </row>
    <row r="57" spans="1:21" ht="12.75">
      <c r="A57" s="21"/>
      <c r="B57" s="21"/>
      <c r="C57" s="21"/>
      <c r="D57" s="52"/>
      <c r="E57" s="52"/>
      <c r="F57" s="52"/>
      <c r="G57" s="52"/>
      <c r="H57" s="52"/>
      <c r="I57" s="52"/>
      <c r="J57" s="52"/>
      <c r="K57" s="52"/>
      <c r="L57" s="52"/>
      <c r="M57" s="52"/>
      <c r="N57" s="52"/>
      <c r="O57" s="52"/>
      <c r="P57" s="52"/>
      <c r="Q57" s="52"/>
      <c r="R57" s="52"/>
      <c r="S57" s="9"/>
      <c r="T57" s="9"/>
      <c r="U57" s="9"/>
    </row>
    <row r="58" spans="1:18" ht="12.75">
      <c r="A58" s="21"/>
      <c r="B58" s="21"/>
      <c r="C58" s="21"/>
      <c r="D58" s="40"/>
      <c r="E58" s="44"/>
      <c r="F58" s="44"/>
      <c r="G58" s="44"/>
      <c r="H58" s="44"/>
      <c r="I58" s="44"/>
      <c r="J58" s="44"/>
      <c r="K58" s="44"/>
      <c r="L58" s="44"/>
      <c r="M58" s="44"/>
      <c r="N58" s="44"/>
      <c r="O58" s="44"/>
      <c r="P58" s="44"/>
      <c r="Q58" s="44"/>
      <c r="R58" s="44"/>
    </row>
    <row r="59" spans="1:18" ht="12.75">
      <c r="A59" s="21"/>
      <c r="B59" s="21"/>
      <c r="C59" s="21"/>
      <c r="D59" s="40"/>
      <c r="E59" s="44"/>
      <c r="F59" s="44"/>
      <c r="G59" s="44"/>
      <c r="H59" s="44"/>
      <c r="I59" s="44"/>
      <c r="J59" s="44"/>
      <c r="K59" s="44"/>
      <c r="L59" s="44"/>
      <c r="M59" s="44"/>
      <c r="N59" s="44"/>
      <c r="O59" s="44"/>
      <c r="P59" s="44"/>
      <c r="Q59" s="44"/>
      <c r="R59" s="44"/>
    </row>
    <row r="60" spans="1:18" ht="12.75">
      <c r="A60" s="21"/>
      <c r="B60" s="21"/>
      <c r="C60" s="21"/>
      <c r="D60" s="44"/>
      <c r="E60" s="44"/>
      <c r="F60" s="44"/>
      <c r="G60" s="44"/>
      <c r="H60" s="44"/>
      <c r="I60" s="44"/>
      <c r="J60" s="44"/>
      <c r="K60" s="44"/>
      <c r="L60" s="44"/>
      <c r="M60" s="44"/>
      <c r="N60" s="44"/>
      <c r="O60" s="44"/>
      <c r="P60" s="44"/>
      <c r="Q60" s="44"/>
      <c r="R60" s="44"/>
    </row>
    <row r="61" spans="1:19" ht="12.75">
      <c r="A61" s="44"/>
      <c r="B61" s="44"/>
      <c r="C61" s="44"/>
      <c r="D61" s="44"/>
      <c r="E61" s="44"/>
      <c r="F61" s="44"/>
      <c r="G61" s="44"/>
      <c r="H61" s="44"/>
      <c r="I61" s="44"/>
      <c r="J61" s="44"/>
      <c r="K61" s="44"/>
      <c r="L61" s="44"/>
      <c r="M61" s="44"/>
      <c r="N61" s="44"/>
      <c r="O61" s="44"/>
      <c r="P61" s="44"/>
      <c r="Q61" s="44"/>
      <c r="R61" s="44"/>
      <c r="S61" s="8"/>
    </row>
    <row r="62" spans="1:18" ht="12.75">
      <c r="A62" s="21"/>
      <c r="B62" s="21"/>
      <c r="C62" s="21"/>
      <c r="D62" s="51"/>
      <c r="E62" s="44"/>
      <c r="F62" s="44"/>
      <c r="G62" s="44"/>
      <c r="H62" s="44"/>
      <c r="I62" s="44"/>
      <c r="J62" s="44"/>
      <c r="K62" s="44"/>
      <c r="L62" s="44"/>
      <c r="M62" s="44"/>
      <c r="N62" s="44"/>
      <c r="O62" s="44"/>
      <c r="P62" s="44"/>
      <c r="Q62" s="44"/>
      <c r="R62" s="44"/>
    </row>
    <row r="63" spans="1:21" ht="12.75">
      <c r="A63" s="21"/>
      <c r="B63" s="21"/>
      <c r="C63" s="21"/>
      <c r="D63" s="52"/>
      <c r="E63" s="52"/>
      <c r="F63" s="52"/>
      <c r="G63" s="52"/>
      <c r="H63" s="52"/>
      <c r="I63" s="52"/>
      <c r="J63" s="52"/>
      <c r="K63" s="52"/>
      <c r="L63" s="52"/>
      <c r="M63" s="52"/>
      <c r="N63" s="52"/>
      <c r="O63" s="52"/>
      <c r="P63" s="52"/>
      <c r="Q63" s="52"/>
      <c r="R63" s="52"/>
      <c r="S63" s="9"/>
      <c r="T63" s="9"/>
      <c r="U63" s="9"/>
    </row>
    <row r="64" spans="1:21" ht="12.75">
      <c r="A64" s="21"/>
      <c r="B64" s="21"/>
      <c r="C64" s="21"/>
      <c r="D64" s="52"/>
      <c r="E64" s="52"/>
      <c r="F64" s="52"/>
      <c r="G64" s="52"/>
      <c r="H64" s="52"/>
      <c r="I64" s="52"/>
      <c r="J64" s="52"/>
      <c r="K64" s="52"/>
      <c r="L64" s="52"/>
      <c r="M64" s="52"/>
      <c r="N64" s="52"/>
      <c r="O64" s="52"/>
      <c r="P64" s="52"/>
      <c r="Q64" s="52"/>
      <c r="R64" s="52"/>
      <c r="S64" s="9"/>
      <c r="T64" s="9"/>
      <c r="U64" s="9"/>
    </row>
    <row r="65" spans="1:18" ht="12.75">
      <c r="A65" s="21"/>
      <c r="B65" s="21"/>
      <c r="C65" s="21"/>
      <c r="D65" s="40"/>
      <c r="E65" s="44"/>
      <c r="F65" s="44"/>
      <c r="G65" s="44"/>
      <c r="H65" s="44"/>
      <c r="I65" s="44"/>
      <c r="J65" s="44"/>
      <c r="K65" s="44"/>
      <c r="L65" s="44"/>
      <c r="M65" s="44"/>
      <c r="N65" s="44"/>
      <c r="O65" s="44"/>
      <c r="P65" s="44"/>
      <c r="Q65" s="44"/>
      <c r="R65" s="44"/>
    </row>
    <row r="66" spans="1:18" ht="12.75">
      <c r="A66" s="21"/>
      <c r="B66" s="21"/>
      <c r="C66" s="21"/>
      <c r="D66" s="44"/>
      <c r="E66" s="44"/>
      <c r="F66" s="44"/>
      <c r="G66" s="44"/>
      <c r="H66" s="44"/>
      <c r="I66" s="44"/>
      <c r="J66" s="44"/>
      <c r="K66" s="44"/>
      <c r="L66" s="44"/>
      <c r="M66" s="44"/>
      <c r="N66" s="44"/>
      <c r="O66" s="44"/>
      <c r="P66" s="44"/>
      <c r="Q66" s="44"/>
      <c r="R66" s="44"/>
    </row>
    <row r="67" spans="1:21" ht="12.75">
      <c r="A67" s="21"/>
      <c r="B67" s="21"/>
      <c r="C67" s="21"/>
      <c r="D67" s="53"/>
      <c r="E67" s="53"/>
      <c r="F67" s="53"/>
      <c r="G67" s="53"/>
      <c r="H67" s="53"/>
      <c r="I67" s="53"/>
      <c r="J67" s="53"/>
      <c r="K67" s="53"/>
      <c r="L67" s="53"/>
      <c r="M67" s="53"/>
      <c r="N67" s="53"/>
      <c r="O67" s="53"/>
      <c r="P67" s="53"/>
      <c r="Q67" s="53"/>
      <c r="R67" s="53"/>
      <c r="S67" s="10"/>
      <c r="T67" s="10"/>
      <c r="U67" s="10"/>
    </row>
    <row r="68" spans="1:21" ht="12.75">
      <c r="A68" s="21"/>
      <c r="B68" s="21"/>
      <c r="C68" s="21"/>
      <c r="D68" s="53"/>
      <c r="E68" s="53"/>
      <c r="F68" s="53"/>
      <c r="G68" s="53"/>
      <c r="H68" s="53"/>
      <c r="I68" s="53"/>
      <c r="J68" s="53"/>
      <c r="K68" s="53"/>
      <c r="L68" s="53"/>
      <c r="M68" s="53"/>
      <c r="N68" s="53"/>
      <c r="O68" s="53"/>
      <c r="P68" s="53"/>
      <c r="Q68" s="53"/>
      <c r="R68" s="53"/>
      <c r="S68" s="10"/>
      <c r="T68" s="10"/>
      <c r="U68" s="10"/>
    </row>
    <row r="69" spans="1:18" ht="12.75">
      <c r="A69" s="21"/>
      <c r="B69" s="21"/>
      <c r="C69" s="21"/>
      <c r="D69" s="44"/>
      <c r="E69" s="44"/>
      <c r="F69" s="44"/>
      <c r="G69" s="44"/>
      <c r="H69" s="44"/>
      <c r="I69" s="44"/>
      <c r="J69" s="44"/>
      <c r="K69" s="44"/>
      <c r="L69" s="44"/>
      <c r="M69" s="44"/>
      <c r="N69" s="44"/>
      <c r="O69" s="44"/>
      <c r="P69" s="44"/>
      <c r="Q69" s="44"/>
      <c r="R69" s="44"/>
    </row>
    <row r="70" spans="1:18" ht="12.75">
      <c r="A70" s="40"/>
      <c r="B70" s="40"/>
      <c r="C70" s="40"/>
      <c r="D70" s="44"/>
      <c r="E70" s="44"/>
      <c r="F70" s="44"/>
      <c r="G70" s="44"/>
      <c r="H70" s="44"/>
      <c r="I70" s="44"/>
      <c r="J70" s="44"/>
      <c r="K70" s="44"/>
      <c r="L70" s="44"/>
      <c r="M70" s="44"/>
      <c r="N70" s="44"/>
      <c r="O70" s="44"/>
      <c r="P70" s="44"/>
      <c r="Q70" s="44"/>
      <c r="R70" s="44"/>
    </row>
    <row r="71" spans="1:18" ht="12.75">
      <c r="A71" s="40"/>
      <c r="B71" s="40"/>
      <c r="C71" s="40"/>
      <c r="D71" s="44"/>
      <c r="E71" s="44"/>
      <c r="F71" s="44"/>
      <c r="G71" s="44"/>
      <c r="H71" s="44"/>
      <c r="I71" s="44"/>
      <c r="J71" s="44"/>
      <c r="K71" s="44"/>
      <c r="L71" s="44"/>
      <c r="M71" s="44"/>
      <c r="N71" s="44"/>
      <c r="O71" s="44"/>
      <c r="P71" s="44"/>
      <c r="Q71" s="44"/>
      <c r="R71" s="44"/>
    </row>
    <row r="72" spans="1:18" ht="12.75">
      <c r="A72" s="40"/>
      <c r="B72" s="40"/>
      <c r="C72" s="40"/>
      <c r="D72" s="44"/>
      <c r="E72" s="44"/>
      <c r="F72" s="44"/>
      <c r="G72" s="44"/>
      <c r="H72" s="44"/>
      <c r="I72" s="44"/>
      <c r="J72" s="44"/>
      <c r="K72" s="44"/>
      <c r="L72" s="44"/>
      <c r="M72" s="44"/>
      <c r="N72" s="44"/>
      <c r="O72" s="44"/>
      <c r="P72" s="44"/>
      <c r="Q72" s="44"/>
      <c r="R72" s="44"/>
    </row>
    <row r="73" spans="1:18" ht="12.75">
      <c r="A73" s="40"/>
      <c r="B73" s="40"/>
      <c r="C73" s="40"/>
      <c r="D73" s="44"/>
      <c r="E73" s="44"/>
      <c r="F73" s="44"/>
      <c r="G73" s="44"/>
      <c r="H73" s="44"/>
      <c r="I73" s="44"/>
      <c r="J73" s="44"/>
      <c r="K73" s="44"/>
      <c r="L73" s="44"/>
      <c r="M73" s="44"/>
      <c r="N73" s="44"/>
      <c r="O73" s="44"/>
      <c r="P73" s="44"/>
      <c r="Q73" s="44"/>
      <c r="R73" s="44"/>
    </row>
    <row r="74" spans="1:18" ht="12.75">
      <c r="A74" s="40"/>
      <c r="B74" s="40"/>
      <c r="C74" s="40"/>
      <c r="D74" s="44"/>
      <c r="E74" s="44"/>
      <c r="F74" s="44"/>
      <c r="G74" s="44"/>
      <c r="H74" s="44"/>
      <c r="I74" s="44"/>
      <c r="J74" s="44"/>
      <c r="K74" s="44"/>
      <c r="L74" s="44"/>
      <c r="M74" s="44"/>
      <c r="N74" s="44"/>
      <c r="O74" s="44"/>
      <c r="P74" s="44"/>
      <c r="Q74" s="44"/>
      <c r="R74" s="44"/>
    </row>
    <row r="75" spans="1:18" ht="12.75">
      <c r="A75" s="40"/>
      <c r="B75" s="40"/>
      <c r="C75" s="40"/>
      <c r="D75" s="44"/>
      <c r="E75" s="44"/>
      <c r="F75" s="44"/>
      <c r="G75" s="44"/>
      <c r="H75" s="44"/>
      <c r="I75" s="44"/>
      <c r="J75" s="44"/>
      <c r="K75" s="44"/>
      <c r="L75" s="44"/>
      <c r="M75" s="44"/>
      <c r="N75" s="44"/>
      <c r="O75" s="44"/>
      <c r="P75" s="44"/>
      <c r="Q75" s="44"/>
      <c r="R75" s="44"/>
    </row>
    <row r="76" spans="1:18" ht="12.75">
      <c r="A76" s="40"/>
      <c r="B76" s="40"/>
      <c r="C76" s="40"/>
      <c r="D76" s="44"/>
      <c r="E76" s="44"/>
      <c r="F76" s="44"/>
      <c r="G76" s="44"/>
      <c r="H76" s="44"/>
      <c r="I76" s="44"/>
      <c r="J76" s="44"/>
      <c r="K76" s="44"/>
      <c r="L76" s="44"/>
      <c r="M76" s="44"/>
      <c r="N76" s="44"/>
      <c r="O76" s="44"/>
      <c r="P76" s="44"/>
      <c r="Q76" s="44"/>
      <c r="R76" s="44"/>
    </row>
    <row r="77" spans="1:18" ht="12.75">
      <c r="A77" s="40"/>
      <c r="B77" s="40"/>
      <c r="C77" s="40"/>
      <c r="D77" s="44"/>
      <c r="E77" s="44"/>
      <c r="F77" s="44"/>
      <c r="G77" s="44"/>
      <c r="H77" s="44"/>
      <c r="I77" s="44"/>
      <c r="J77" s="44"/>
      <c r="K77" s="44"/>
      <c r="L77" s="44"/>
      <c r="M77" s="44"/>
      <c r="N77" s="44"/>
      <c r="O77" s="44"/>
      <c r="P77" s="44"/>
      <c r="Q77" s="44"/>
      <c r="R77" s="44"/>
    </row>
    <row r="78" spans="1:18" ht="12.75">
      <c r="A78" s="40"/>
      <c r="B78" s="40"/>
      <c r="C78" s="40"/>
      <c r="D78" s="44"/>
      <c r="E78" s="44"/>
      <c r="F78" s="44"/>
      <c r="G78" s="44"/>
      <c r="H78" s="44"/>
      <c r="I78" s="44"/>
      <c r="J78" s="44"/>
      <c r="K78" s="44"/>
      <c r="L78" s="44"/>
      <c r="M78" s="44"/>
      <c r="N78" s="44"/>
      <c r="O78" s="44"/>
      <c r="P78" s="44"/>
      <c r="Q78" s="44"/>
      <c r="R78" s="44"/>
    </row>
    <row r="79" spans="1:18" ht="12.75">
      <c r="A79" s="40"/>
      <c r="B79" s="40"/>
      <c r="C79" s="40"/>
      <c r="D79" s="44"/>
      <c r="E79" s="44"/>
      <c r="F79" s="44"/>
      <c r="G79" s="44"/>
      <c r="H79" s="44"/>
      <c r="I79" s="44"/>
      <c r="J79" s="44"/>
      <c r="K79" s="44"/>
      <c r="L79" s="44"/>
      <c r="M79" s="44"/>
      <c r="N79" s="44"/>
      <c r="O79" s="44"/>
      <c r="P79" s="44"/>
      <c r="Q79" s="44"/>
      <c r="R79" s="44"/>
    </row>
    <row r="80" spans="1:18" ht="12.75">
      <c r="A80" s="40"/>
      <c r="B80" s="40"/>
      <c r="C80" s="40"/>
      <c r="D80" s="44"/>
      <c r="E80" s="44"/>
      <c r="F80" s="44"/>
      <c r="G80" s="44"/>
      <c r="H80" s="44"/>
      <c r="I80" s="44"/>
      <c r="J80" s="44"/>
      <c r="K80" s="44"/>
      <c r="L80" s="44"/>
      <c r="M80" s="44"/>
      <c r="N80" s="44"/>
      <c r="O80" s="44"/>
      <c r="P80" s="44"/>
      <c r="Q80" s="44"/>
      <c r="R80" s="44"/>
    </row>
    <row r="81" spans="1:18" ht="12.75">
      <c r="A81" s="40"/>
      <c r="B81" s="40"/>
      <c r="C81" s="40"/>
      <c r="D81" s="44"/>
      <c r="E81" s="44"/>
      <c r="F81" s="44"/>
      <c r="G81" s="44"/>
      <c r="H81" s="44"/>
      <c r="I81" s="44"/>
      <c r="J81" s="44"/>
      <c r="K81" s="44"/>
      <c r="L81" s="44"/>
      <c r="M81" s="44"/>
      <c r="N81" s="44"/>
      <c r="O81" s="44"/>
      <c r="P81" s="44"/>
      <c r="Q81" s="44"/>
      <c r="R81" s="44"/>
    </row>
    <row r="82" spans="1:18" ht="12.75">
      <c r="A82" s="40"/>
      <c r="B82" s="40"/>
      <c r="C82" s="40"/>
      <c r="D82" s="44"/>
      <c r="E82" s="44"/>
      <c r="F82" s="44"/>
      <c r="G82" s="44"/>
      <c r="H82" s="44"/>
      <c r="I82" s="44"/>
      <c r="J82" s="44"/>
      <c r="K82" s="44"/>
      <c r="L82" s="44"/>
      <c r="M82" s="44"/>
      <c r="N82" s="44"/>
      <c r="O82" s="44"/>
      <c r="P82" s="44"/>
      <c r="Q82" s="44"/>
      <c r="R82" s="44"/>
    </row>
    <row r="83" spans="1:18" ht="12.75">
      <c r="A83" s="40"/>
      <c r="B83" s="40"/>
      <c r="C83" s="40"/>
      <c r="D83" s="44"/>
      <c r="E83" s="44"/>
      <c r="F83" s="44"/>
      <c r="G83" s="44"/>
      <c r="H83" s="44"/>
      <c r="I83" s="44"/>
      <c r="J83" s="44"/>
      <c r="K83" s="44"/>
      <c r="L83" s="44"/>
      <c r="M83" s="44"/>
      <c r="N83" s="44"/>
      <c r="O83" s="44"/>
      <c r="P83" s="44"/>
      <c r="Q83" s="44"/>
      <c r="R83" s="44"/>
    </row>
    <row r="84" spans="1:18" ht="12.75">
      <c r="A84" s="40"/>
      <c r="B84" s="40"/>
      <c r="C84" s="40"/>
      <c r="D84" s="44"/>
      <c r="E84" s="44"/>
      <c r="F84" s="44"/>
      <c r="G84" s="44"/>
      <c r="H84" s="44"/>
      <c r="I84" s="44"/>
      <c r="J84" s="44"/>
      <c r="K84" s="44"/>
      <c r="L84" s="44"/>
      <c r="M84" s="44"/>
      <c r="N84" s="44"/>
      <c r="O84" s="44"/>
      <c r="P84" s="44"/>
      <c r="Q84" s="44"/>
      <c r="R84" s="44"/>
    </row>
    <row r="85" spans="1:18" ht="12.75">
      <c r="A85" s="40"/>
      <c r="B85" s="40"/>
      <c r="C85" s="40"/>
      <c r="D85" s="44"/>
      <c r="E85" s="44"/>
      <c r="F85" s="44"/>
      <c r="G85" s="44"/>
      <c r="H85" s="44"/>
      <c r="I85" s="44"/>
      <c r="J85" s="44"/>
      <c r="K85" s="44"/>
      <c r="L85" s="44"/>
      <c r="M85" s="44"/>
      <c r="N85" s="44"/>
      <c r="O85" s="44"/>
      <c r="P85" s="44"/>
      <c r="Q85" s="44"/>
      <c r="R85" s="44"/>
    </row>
    <row r="86" spans="1:18" ht="12.75">
      <c r="A86" s="40"/>
      <c r="B86" s="40"/>
      <c r="C86" s="40"/>
      <c r="D86" s="44"/>
      <c r="E86" s="44"/>
      <c r="F86" s="44"/>
      <c r="G86" s="44"/>
      <c r="H86" s="44"/>
      <c r="I86" s="44"/>
      <c r="J86" s="44"/>
      <c r="K86" s="44"/>
      <c r="L86" s="44"/>
      <c r="M86" s="44"/>
      <c r="N86" s="44"/>
      <c r="O86" s="44"/>
      <c r="P86" s="44"/>
      <c r="Q86" s="44"/>
      <c r="R86" s="44"/>
    </row>
    <row r="87" spans="1:18" ht="12.75">
      <c r="A87" s="40"/>
      <c r="B87" s="40"/>
      <c r="C87" s="40"/>
      <c r="D87" s="44"/>
      <c r="E87" s="44"/>
      <c r="F87" s="44"/>
      <c r="G87" s="44"/>
      <c r="H87" s="44"/>
      <c r="I87" s="44"/>
      <c r="J87" s="44"/>
      <c r="K87" s="44"/>
      <c r="L87" s="44"/>
      <c r="M87" s="44"/>
      <c r="N87" s="44"/>
      <c r="O87" s="44"/>
      <c r="P87" s="44"/>
      <c r="Q87" s="44"/>
      <c r="R87" s="44"/>
    </row>
    <row r="88" spans="1:18" ht="12.75">
      <c r="A88" s="40"/>
      <c r="B88" s="40"/>
      <c r="C88" s="40"/>
      <c r="D88" s="44"/>
      <c r="E88" s="44"/>
      <c r="F88" s="44"/>
      <c r="G88" s="44"/>
      <c r="H88" s="44"/>
      <c r="I88" s="44"/>
      <c r="J88" s="44"/>
      <c r="K88" s="44"/>
      <c r="L88" s="44"/>
      <c r="M88" s="44"/>
      <c r="N88" s="44"/>
      <c r="O88" s="44"/>
      <c r="P88" s="44"/>
      <c r="Q88" s="44"/>
      <c r="R88" s="44"/>
    </row>
    <row r="89" spans="1:18" ht="12.75">
      <c r="A89" s="40"/>
      <c r="B89" s="40"/>
      <c r="C89" s="40"/>
      <c r="D89" s="44"/>
      <c r="E89" s="44"/>
      <c r="F89" s="44"/>
      <c r="G89" s="44"/>
      <c r="H89" s="44"/>
      <c r="I89" s="44"/>
      <c r="J89" s="44"/>
      <c r="K89" s="44"/>
      <c r="L89" s="44"/>
      <c r="M89" s="44"/>
      <c r="N89" s="44"/>
      <c r="O89" s="44"/>
      <c r="P89" s="44"/>
      <c r="Q89" s="44"/>
      <c r="R89" s="44"/>
    </row>
    <row r="90" spans="1:18" ht="12.75">
      <c r="A90" s="40"/>
      <c r="B90" s="40"/>
      <c r="C90" s="40"/>
      <c r="D90" s="44"/>
      <c r="E90" s="44"/>
      <c r="F90" s="44"/>
      <c r="G90" s="44"/>
      <c r="H90" s="44"/>
      <c r="I90" s="44"/>
      <c r="J90" s="44"/>
      <c r="K90" s="44"/>
      <c r="L90" s="44"/>
      <c r="M90" s="44"/>
      <c r="N90" s="44"/>
      <c r="O90" s="44"/>
      <c r="P90" s="44"/>
      <c r="Q90" s="44"/>
      <c r="R90" s="44"/>
    </row>
    <row r="91" spans="1:18" ht="12.75">
      <c r="A91" s="40"/>
      <c r="B91" s="40"/>
      <c r="C91" s="40"/>
      <c r="D91" s="44"/>
      <c r="E91" s="44"/>
      <c r="F91" s="44"/>
      <c r="G91" s="44"/>
      <c r="H91" s="44"/>
      <c r="I91" s="44"/>
      <c r="J91" s="44"/>
      <c r="K91" s="44"/>
      <c r="L91" s="44"/>
      <c r="M91" s="44"/>
      <c r="N91" s="44"/>
      <c r="O91" s="44"/>
      <c r="P91" s="44"/>
      <c r="Q91" s="44"/>
      <c r="R91" s="44"/>
    </row>
    <row r="92" spans="1:18" ht="12.75">
      <c r="A92" s="40"/>
      <c r="B92" s="40"/>
      <c r="C92" s="40"/>
      <c r="D92" s="44"/>
      <c r="E92" s="44"/>
      <c r="F92" s="44"/>
      <c r="G92" s="44"/>
      <c r="H92" s="44"/>
      <c r="I92" s="44"/>
      <c r="J92" s="44"/>
      <c r="K92" s="44"/>
      <c r="L92" s="44"/>
      <c r="M92" s="44"/>
      <c r="N92" s="44"/>
      <c r="O92" s="44"/>
      <c r="P92" s="44"/>
      <c r="Q92" s="44"/>
      <c r="R92" s="44"/>
    </row>
    <row r="93" spans="1:18" ht="12.75">
      <c r="A93" s="40"/>
      <c r="B93" s="40"/>
      <c r="C93" s="40"/>
      <c r="D93" s="44"/>
      <c r="E93" s="44"/>
      <c r="F93" s="44"/>
      <c r="G93" s="44"/>
      <c r="H93" s="44"/>
      <c r="I93" s="44"/>
      <c r="J93" s="44"/>
      <c r="K93" s="44"/>
      <c r="L93" s="44"/>
      <c r="M93" s="44"/>
      <c r="N93" s="44"/>
      <c r="O93" s="44"/>
      <c r="P93" s="44"/>
      <c r="Q93" s="44"/>
      <c r="R93" s="44"/>
    </row>
    <row r="94" spans="1:18" ht="12.75">
      <c r="A94" s="40"/>
      <c r="B94" s="40"/>
      <c r="C94" s="40"/>
      <c r="D94" s="44"/>
      <c r="E94" s="44"/>
      <c r="F94" s="44"/>
      <c r="G94" s="44"/>
      <c r="H94" s="44"/>
      <c r="I94" s="44"/>
      <c r="J94" s="44"/>
      <c r="K94" s="44"/>
      <c r="L94" s="44"/>
      <c r="M94" s="44"/>
      <c r="N94" s="44"/>
      <c r="O94" s="44"/>
      <c r="P94" s="44"/>
      <c r="Q94" s="44"/>
      <c r="R94" s="44"/>
    </row>
    <row r="95" spans="1:18" ht="12.75">
      <c r="A95" s="40"/>
      <c r="B95" s="40"/>
      <c r="C95" s="40"/>
      <c r="D95" s="44"/>
      <c r="E95" s="44"/>
      <c r="F95" s="44"/>
      <c r="G95" s="44"/>
      <c r="H95" s="44"/>
      <c r="I95" s="44"/>
      <c r="J95" s="44"/>
      <c r="K95" s="44"/>
      <c r="L95" s="44"/>
      <c r="M95" s="44"/>
      <c r="N95" s="44"/>
      <c r="O95" s="44"/>
      <c r="P95" s="44"/>
      <c r="Q95" s="44"/>
      <c r="R95" s="44"/>
    </row>
    <row r="96" spans="1:18" ht="12.75">
      <c r="A96" s="40"/>
      <c r="B96" s="40"/>
      <c r="C96" s="40"/>
      <c r="D96" s="44"/>
      <c r="E96" s="44"/>
      <c r="F96" s="44"/>
      <c r="G96" s="44"/>
      <c r="H96" s="44"/>
      <c r="I96" s="44"/>
      <c r="J96" s="44"/>
      <c r="K96" s="44"/>
      <c r="L96" s="44"/>
      <c r="M96" s="44"/>
      <c r="N96" s="44"/>
      <c r="O96" s="44"/>
      <c r="P96" s="44"/>
      <c r="Q96" s="44"/>
      <c r="R96" s="44"/>
    </row>
    <row r="97" spans="1:18" ht="12.75">
      <c r="A97" s="40"/>
      <c r="B97" s="40"/>
      <c r="C97" s="40"/>
      <c r="D97" s="44"/>
      <c r="E97" s="44"/>
      <c r="F97" s="44"/>
      <c r="G97" s="44"/>
      <c r="H97" s="44"/>
      <c r="I97" s="44"/>
      <c r="J97" s="44"/>
      <c r="K97" s="44"/>
      <c r="L97" s="44"/>
      <c r="M97" s="44"/>
      <c r="N97" s="44"/>
      <c r="O97" s="44"/>
      <c r="P97" s="44"/>
      <c r="Q97" s="44"/>
      <c r="R97" s="44"/>
    </row>
    <row r="98" spans="1:18" ht="12.75">
      <c r="A98" s="40"/>
      <c r="B98" s="40"/>
      <c r="C98" s="40"/>
      <c r="D98" s="44"/>
      <c r="E98" s="44"/>
      <c r="F98" s="44"/>
      <c r="G98" s="44"/>
      <c r="H98" s="44"/>
      <c r="I98" s="44"/>
      <c r="J98" s="44"/>
      <c r="K98" s="44"/>
      <c r="L98" s="44"/>
      <c r="M98" s="44"/>
      <c r="N98" s="44"/>
      <c r="O98" s="44"/>
      <c r="P98" s="44"/>
      <c r="Q98" s="44"/>
      <c r="R98" s="44"/>
    </row>
    <row r="99" spans="1:18" ht="12.75">
      <c r="A99" s="40"/>
      <c r="B99" s="40"/>
      <c r="C99" s="40"/>
      <c r="D99" s="44"/>
      <c r="E99" s="44"/>
      <c r="F99" s="44"/>
      <c r="G99" s="44"/>
      <c r="H99" s="44"/>
      <c r="I99" s="44"/>
      <c r="J99" s="44"/>
      <c r="K99" s="44"/>
      <c r="L99" s="44"/>
      <c r="M99" s="44"/>
      <c r="N99" s="44"/>
      <c r="O99" s="44"/>
      <c r="P99" s="44"/>
      <c r="Q99" s="44"/>
      <c r="R99" s="44"/>
    </row>
    <row r="100" spans="1:18" ht="12.75">
      <c r="A100" s="40"/>
      <c r="B100" s="40"/>
      <c r="C100" s="40"/>
      <c r="D100" s="44"/>
      <c r="E100" s="44"/>
      <c r="F100" s="44"/>
      <c r="G100" s="44"/>
      <c r="H100" s="44"/>
      <c r="I100" s="44"/>
      <c r="J100" s="44"/>
      <c r="K100" s="44"/>
      <c r="L100" s="44"/>
      <c r="M100" s="44"/>
      <c r="N100" s="44"/>
      <c r="O100" s="44"/>
      <c r="P100" s="44"/>
      <c r="Q100" s="44"/>
      <c r="R100" s="44"/>
    </row>
    <row r="101" spans="1:18" ht="12.75">
      <c r="A101" s="40"/>
      <c r="B101" s="40"/>
      <c r="C101" s="40"/>
      <c r="D101" s="44"/>
      <c r="E101" s="44"/>
      <c r="F101" s="44"/>
      <c r="G101" s="44"/>
      <c r="H101" s="44"/>
      <c r="I101" s="44"/>
      <c r="J101" s="44"/>
      <c r="K101" s="44"/>
      <c r="L101" s="44"/>
      <c r="M101" s="44"/>
      <c r="N101" s="44"/>
      <c r="O101" s="44"/>
      <c r="P101" s="44"/>
      <c r="Q101" s="44"/>
      <c r="R101" s="44"/>
    </row>
  </sheetData>
  <sheetProtection/>
  <mergeCells count="3">
    <mergeCell ref="A2:R2"/>
    <mergeCell ref="A6:R6"/>
    <mergeCell ref="A1:R1"/>
  </mergeCells>
  <printOptions/>
  <pageMargins left="0.17" right="0.17" top="0.4" bottom="0.6" header="0.24" footer="0.24"/>
  <pageSetup fitToHeight="1" fitToWidth="1" horizontalDpi="600" verticalDpi="600" orientation="landscape" scale="82" r:id="rId1"/>
  <headerFooter scaleWithDoc="0" alignWithMargins="0">
    <oddFooter>&amp;L&amp;6&amp;A - Results by Program Year&amp;R&amp;6printed &amp;D at &amp;T</oddFooter>
  </headerFooter>
  <colBreaks count="1" manualBreakCount="1">
    <brk id="18" min="1" max="37" man="1"/>
  </colBreaks>
</worksheet>
</file>

<file path=xl/worksheets/sheet14.xml><?xml version="1.0" encoding="utf-8"?>
<worksheet xmlns="http://schemas.openxmlformats.org/spreadsheetml/2006/main" xmlns:r="http://schemas.openxmlformats.org/officeDocument/2006/relationships">
  <sheetPr>
    <tabColor theme="6"/>
    <outlinePr summaryRight="0"/>
  </sheetPr>
  <dimension ref="A1:AC132"/>
  <sheetViews>
    <sheetView showGridLines="0" zoomScalePageLayoutView="0" workbookViewId="0" topLeftCell="A1">
      <selection activeCell="A1" sqref="A1:R1"/>
    </sheetView>
  </sheetViews>
  <sheetFormatPr defaultColWidth="10.7109375" defaultRowHeight="12.75" outlineLevelCol="1"/>
  <cols>
    <col min="1" max="1" width="25.421875" style="3" customWidth="1"/>
    <col min="2" max="2" width="14.8515625" style="3" bestFit="1" customWidth="1"/>
    <col min="3" max="3" width="14.8515625" style="3" bestFit="1" customWidth="1" collapsed="1"/>
    <col min="4" max="6" width="16.140625" style="6" hidden="1" customWidth="1" outlineLevel="1"/>
    <col min="7" max="7" width="15.421875" style="6" hidden="1" customWidth="1" outlineLevel="1"/>
    <col min="8" max="11" width="13.8515625" style="6" hidden="1" customWidth="1" outlineLevel="1"/>
    <col min="12" max="13" width="14.421875" style="6" hidden="1" customWidth="1" outlineLevel="1"/>
    <col min="14" max="15" width="14.421875" style="6" bestFit="1" customWidth="1"/>
    <col min="16" max="17" width="14.421875" style="6" customWidth="1"/>
    <col min="18" max="18" width="15.421875" style="6" bestFit="1" customWidth="1"/>
    <col min="19" max="19" width="10.8515625" style="6" bestFit="1" customWidth="1"/>
    <col min="20" max="16384" width="10.7109375" style="6" customWidth="1"/>
  </cols>
  <sheetData>
    <row r="1" spans="1:18" ht="12.75">
      <c r="A1" s="484" t="s">
        <v>393</v>
      </c>
      <c r="B1" s="484"/>
      <c r="C1" s="484"/>
      <c r="D1" s="484"/>
      <c r="E1" s="484"/>
      <c r="F1" s="484"/>
      <c r="G1" s="484"/>
      <c r="H1" s="484"/>
      <c r="I1" s="484"/>
      <c r="J1" s="484"/>
      <c r="K1" s="484"/>
      <c r="L1" s="484"/>
      <c r="M1" s="484"/>
      <c r="N1" s="484"/>
      <c r="O1" s="484"/>
      <c r="P1" s="484"/>
      <c r="Q1" s="484"/>
      <c r="R1" s="484"/>
    </row>
    <row r="2" spans="1:18" ht="12.75">
      <c r="A2" s="484" t="s">
        <v>78</v>
      </c>
      <c r="B2" s="484"/>
      <c r="C2" s="484"/>
      <c r="D2" s="484"/>
      <c r="E2" s="484"/>
      <c r="F2" s="484"/>
      <c r="G2" s="484"/>
      <c r="H2" s="484"/>
      <c r="I2" s="484"/>
      <c r="J2" s="484"/>
      <c r="K2" s="484"/>
      <c r="L2" s="484"/>
      <c r="M2" s="484"/>
      <c r="N2" s="484"/>
      <c r="O2" s="484"/>
      <c r="P2" s="484"/>
      <c r="Q2" s="484"/>
      <c r="R2" s="484"/>
    </row>
    <row r="3" spans="1:20" ht="12.75">
      <c r="A3" s="21"/>
      <c r="B3" s="21"/>
      <c r="C3" s="21"/>
      <c r="S3" s="3"/>
      <c r="T3" s="3"/>
    </row>
    <row r="4" spans="1:20" ht="25.5">
      <c r="A4" s="30" t="s">
        <v>206</v>
      </c>
      <c r="B4" s="196" t="s">
        <v>289</v>
      </c>
      <c r="C4" s="196" t="s">
        <v>461</v>
      </c>
      <c r="D4" s="28">
        <v>2001</v>
      </c>
      <c r="E4" s="28">
        <v>2002</v>
      </c>
      <c r="F4" s="28">
        <v>2003</v>
      </c>
      <c r="G4" s="28">
        <v>2004</v>
      </c>
      <c r="H4" s="28">
        <v>2005</v>
      </c>
      <c r="I4" s="28">
        <v>2006</v>
      </c>
      <c r="J4" s="28">
        <v>2007</v>
      </c>
      <c r="K4" s="28">
        <v>2008</v>
      </c>
      <c r="L4" s="28">
        <v>2009</v>
      </c>
      <c r="M4" s="28">
        <v>2010</v>
      </c>
      <c r="N4" s="28">
        <v>2011</v>
      </c>
      <c r="O4" s="196" t="s">
        <v>346</v>
      </c>
      <c r="P4" s="196" t="s">
        <v>351</v>
      </c>
      <c r="Q4" s="196" t="s">
        <v>440</v>
      </c>
      <c r="R4" s="344" t="str">
        <f>"Total "&amp;CHAR(10)&amp;D4&amp;" ~ "&amp;Q4</f>
        <v>Total 
2001 ~ FY2015</v>
      </c>
      <c r="S4" s="3"/>
      <c r="T4" s="3"/>
    </row>
    <row r="5" spans="1:20" ht="12.75">
      <c r="A5" s="181" t="s">
        <v>46</v>
      </c>
      <c r="B5" s="272">
        <f>SUM(D5:H5)</f>
        <v>49904</v>
      </c>
      <c r="C5" s="272">
        <f>SUM(I5:K5)*1000+SUM(L5:M5)</f>
        <v>0</v>
      </c>
      <c r="D5" s="280">
        <v>21551</v>
      </c>
      <c r="E5" s="280">
        <v>28353</v>
      </c>
      <c r="F5" s="280"/>
      <c r="G5" s="280"/>
      <c r="H5" s="272"/>
      <c r="I5" s="374"/>
      <c r="J5" s="374"/>
      <c r="K5" s="374"/>
      <c r="L5" s="375"/>
      <c r="M5" s="375"/>
      <c r="N5" s="375"/>
      <c r="O5" s="375"/>
      <c r="P5" s="375"/>
      <c r="Q5" s="375"/>
      <c r="R5" s="278"/>
      <c r="S5" s="3"/>
      <c r="T5" s="3"/>
    </row>
    <row r="6" spans="1:20" ht="12.75">
      <c r="A6" s="181" t="s">
        <v>47</v>
      </c>
      <c r="B6" s="272">
        <f aca="true" t="shared" si="0" ref="B6:B12">SUM(D6:H6)</f>
        <v>1926</v>
      </c>
      <c r="C6" s="272">
        <f aca="true" t="shared" si="1" ref="C6:C11">SUM(I6:K6)*1000+SUM(L6:M6)</f>
        <v>0</v>
      </c>
      <c r="D6" s="280">
        <v>984</v>
      </c>
      <c r="E6" s="280">
        <v>942</v>
      </c>
      <c r="F6" s="280"/>
      <c r="G6" s="280"/>
      <c r="H6" s="272"/>
      <c r="I6" s="374"/>
      <c r="J6" s="374"/>
      <c r="K6" s="374"/>
      <c r="L6" s="375"/>
      <c r="M6" s="375"/>
      <c r="N6" s="375"/>
      <c r="O6" s="375"/>
      <c r="P6" s="375"/>
      <c r="Q6" s="375"/>
      <c r="R6" s="278"/>
      <c r="S6" s="3"/>
      <c r="T6" s="3"/>
    </row>
    <row r="7" spans="1:20" ht="12.75">
      <c r="A7" s="181" t="s">
        <v>48</v>
      </c>
      <c r="B7" s="272">
        <f t="shared" si="0"/>
        <v>1094</v>
      </c>
      <c r="C7" s="272">
        <f t="shared" si="1"/>
        <v>0</v>
      </c>
      <c r="D7" s="280">
        <v>445</v>
      </c>
      <c r="E7" s="280">
        <v>649</v>
      </c>
      <c r="F7" s="280"/>
      <c r="G7" s="280"/>
      <c r="H7" s="272"/>
      <c r="I7" s="374"/>
      <c r="J7" s="374"/>
      <c r="K7" s="374"/>
      <c r="L7" s="375"/>
      <c r="M7" s="375"/>
      <c r="N7" s="375"/>
      <c r="O7" s="375"/>
      <c r="P7" s="375"/>
      <c r="Q7" s="375"/>
      <c r="R7" s="278"/>
      <c r="S7" s="3"/>
      <c r="T7" s="3"/>
    </row>
    <row r="8" spans="1:20" ht="12.75">
      <c r="A8" s="181" t="s">
        <v>49</v>
      </c>
      <c r="B8" s="272">
        <f t="shared" si="0"/>
        <v>9762</v>
      </c>
      <c r="C8" s="272">
        <f t="shared" si="1"/>
        <v>29819432.2</v>
      </c>
      <c r="D8" s="280"/>
      <c r="E8" s="280"/>
      <c r="F8" s="280">
        <v>3145</v>
      </c>
      <c r="G8" s="280">
        <v>3317</v>
      </c>
      <c r="H8" s="272">
        <v>3300</v>
      </c>
      <c r="I8" s="272">
        <v>3811</v>
      </c>
      <c r="J8" s="272">
        <v>4000</v>
      </c>
      <c r="K8" s="272">
        <v>4503</v>
      </c>
      <c r="L8" s="278">
        <v>10691720.49</v>
      </c>
      <c r="M8" s="278">
        <v>6813711.71</v>
      </c>
      <c r="N8" s="278">
        <v>6867143.41</v>
      </c>
      <c r="O8" s="279">
        <v>4524122.02</v>
      </c>
      <c r="P8" s="279">
        <v>2692226.3</v>
      </c>
      <c r="Q8" s="279">
        <v>3305210.99</v>
      </c>
      <c r="R8" s="278"/>
      <c r="S8" s="3"/>
      <c r="T8" s="3"/>
    </row>
    <row r="9" spans="1:20" ht="12.75">
      <c r="A9" s="181" t="s">
        <v>52</v>
      </c>
      <c r="B9" s="272">
        <f t="shared" si="0"/>
        <v>66762</v>
      </c>
      <c r="C9" s="272">
        <f t="shared" si="1"/>
        <v>130974057.61</v>
      </c>
      <c r="D9" s="280"/>
      <c r="E9" s="280"/>
      <c r="F9" s="280">
        <v>24089</v>
      </c>
      <c r="G9" s="280">
        <v>21773</v>
      </c>
      <c r="H9" s="272">
        <v>20900</v>
      </c>
      <c r="I9" s="272">
        <v>25180</v>
      </c>
      <c r="J9" s="272">
        <v>26068</v>
      </c>
      <c r="K9" s="272">
        <v>22596</v>
      </c>
      <c r="L9" s="278">
        <v>22020298.02</v>
      </c>
      <c r="M9" s="278">
        <v>35109759.59</v>
      </c>
      <c r="N9" s="278">
        <v>45899451.3</v>
      </c>
      <c r="O9" s="279">
        <v>57257018.97</v>
      </c>
      <c r="P9" s="279">
        <v>51739678.21</v>
      </c>
      <c r="Q9" s="279">
        <v>64058738.87</v>
      </c>
      <c r="R9" s="278"/>
      <c r="S9" s="3"/>
      <c r="T9" s="3"/>
    </row>
    <row r="10" spans="1:20" ht="12.75">
      <c r="A10" s="181" t="s">
        <v>53</v>
      </c>
      <c r="B10" s="272">
        <f t="shared" si="0"/>
        <v>15279</v>
      </c>
      <c r="C10" s="272">
        <f t="shared" si="1"/>
        <v>19712223.98</v>
      </c>
      <c r="D10" s="280"/>
      <c r="E10" s="280"/>
      <c r="F10" s="280">
        <v>6670</v>
      </c>
      <c r="G10" s="280">
        <v>5109</v>
      </c>
      <c r="H10" s="272">
        <v>3500</v>
      </c>
      <c r="I10" s="272">
        <v>3872</v>
      </c>
      <c r="J10" s="272">
        <v>5000</v>
      </c>
      <c r="K10" s="272">
        <v>3737</v>
      </c>
      <c r="L10" s="278">
        <v>7103223.98</v>
      </c>
      <c r="M10" s="375"/>
      <c r="N10" s="375"/>
      <c r="O10" s="375"/>
      <c r="P10" s="375"/>
      <c r="Q10" s="375"/>
      <c r="R10" s="278"/>
      <c r="S10" s="3"/>
      <c r="T10" s="3"/>
    </row>
    <row r="11" spans="1:20" ht="12.75">
      <c r="A11" s="16" t="s">
        <v>51</v>
      </c>
      <c r="B11" s="272">
        <f t="shared" si="0"/>
        <v>144727</v>
      </c>
      <c r="C11" s="272">
        <f t="shared" si="1"/>
        <v>98767000</v>
      </c>
      <c r="D11" s="280">
        <f aca="true" t="shared" si="2" ref="D11:K11">SUM(D5:D10)</f>
        <v>22980</v>
      </c>
      <c r="E11" s="280">
        <f t="shared" si="2"/>
        <v>29944</v>
      </c>
      <c r="F11" s="280">
        <f t="shared" si="2"/>
        <v>33904</v>
      </c>
      <c r="G11" s="272">
        <f t="shared" si="2"/>
        <v>30199</v>
      </c>
      <c r="H11" s="272">
        <f t="shared" si="2"/>
        <v>27700</v>
      </c>
      <c r="I11" s="272">
        <f t="shared" si="2"/>
        <v>32863</v>
      </c>
      <c r="J11" s="272">
        <f t="shared" si="2"/>
        <v>35068</v>
      </c>
      <c r="K11" s="272">
        <f t="shared" si="2"/>
        <v>30836</v>
      </c>
      <c r="L11" s="375"/>
      <c r="M11" s="375"/>
      <c r="N11" s="375"/>
      <c r="O11" s="375"/>
      <c r="P11" s="375"/>
      <c r="Q11" s="375"/>
      <c r="R11" s="278"/>
      <c r="S11" s="4"/>
      <c r="T11" s="3"/>
    </row>
    <row r="12" spans="1:20" ht="12.75">
      <c r="A12" s="16" t="s">
        <v>205</v>
      </c>
      <c r="B12" s="217">
        <f t="shared" si="0"/>
        <v>144727000</v>
      </c>
      <c r="C12" s="217">
        <f>SUM(I12:M12)</f>
        <v>180505713.79000002</v>
      </c>
      <c r="D12" s="340">
        <f>D11*1000</f>
        <v>22980000</v>
      </c>
      <c r="E12" s="340">
        <f aca="true" t="shared" si="3" ref="E12:K12">E11*1000</f>
        <v>29944000</v>
      </c>
      <c r="F12" s="340">
        <f t="shared" si="3"/>
        <v>33904000</v>
      </c>
      <c r="G12" s="340">
        <f t="shared" si="3"/>
        <v>30199000</v>
      </c>
      <c r="H12" s="217">
        <f t="shared" si="3"/>
        <v>27700000</v>
      </c>
      <c r="I12" s="217">
        <f t="shared" si="3"/>
        <v>32863000</v>
      </c>
      <c r="J12" s="217">
        <f t="shared" si="3"/>
        <v>35068000</v>
      </c>
      <c r="K12" s="217">
        <f t="shared" si="3"/>
        <v>30836000</v>
      </c>
      <c r="L12" s="217">
        <f aca="true" t="shared" si="4" ref="L12:Q12">SUM(L5:L10)</f>
        <v>39815242.489999995</v>
      </c>
      <c r="M12" s="217">
        <f t="shared" si="4"/>
        <v>41923471.300000004</v>
      </c>
      <c r="N12" s="217">
        <f t="shared" si="4"/>
        <v>52766594.70999999</v>
      </c>
      <c r="O12" s="217">
        <f t="shared" si="4"/>
        <v>61781140.989999995</v>
      </c>
      <c r="P12" s="217">
        <f t="shared" si="4"/>
        <v>54431904.51</v>
      </c>
      <c r="Q12" s="217">
        <f t="shared" si="4"/>
        <v>67363949.86</v>
      </c>
      <c r="R12" s="217">
        <f>SUM(D12:Q12)</f>
        <v>561576303.86</v>
      </c>
      <c r="S12" s="4"/>
      <c r="T12" s="3"/>
    </row>
    <row r="13" spans="1:20" ht="27.75" customHeight="1">
      <c r="A13" s="485" t="s">
        <v>282</v>
      </c>
      <c r="B13" s="485"/>
      <c r="C13" s="485"/>
      <c r="D13" s="485"/>
      <c r="E13" s="485"/>
      <c r="F13" s="485"/>
      <c r="G13" s="485"/>
      <c r="H13" s="485"/>
      <c r="I13" s="485"/>
      <c r="J13" s="485"/>
      <c r="K13" s="485"/>
      <c r="L13" s="485"/>
      <c r="M13" s="485"/>
      <c r="N13" s="485"/>
      <c r="O13" s="485"/>
      <c r="P13" s="485"/>
      <c r="Q13" s="485"/>
      <c r="R13" s="485"/>
      <c r="S13" s="4"/>
      <c r="T13" s="3"/>
    </row>
    <row r="14" spans="1:20" ht="12.75">
      <c r="A14" s="133"/>
      <c r="B14" s="133"/>
      <c r="C14" s="133"/>
      <c r="D14" s="133"/>
      <c r="E14" s="133"/>
      <c r="F14" s="133"/>
      <c r="G14" s="133"/>
      <c r="H14" s="133"/>
      <c r="I14" s="133"/>
      <c r="J14" s="133"/>
      <c r="K14" s="133"/>
      <c r="L14" s="133"/>
      <c r="M14" s="133"/>
      <c r="N14" s="133"/>
      <c r="O14" s="133"/>
      <c r="P14" s="133"/>
      <c r="Q14" s="133"/>
      <c r="R14" s="133"/>
      <c r="S14" s="3"/>
      <c r="T14" s="3"/>
    </row>
    <row r="15" spans="1:20" ht="12.75">
      <c r="A15" s="30" t="s">
        <v>253</v>
      </c>
      <c r="B15" s="121"/>
      <c r="C15" s="121"/>
      <c r="D15" s="41"/>
      <c r="E15" s="41"/>
      <c r="F15" s="41"/>
      <c r="G15" s="41"/>
      <c r="H15" s="121"/>
      <c r="I15" s="121"/>
      <c r="J15" s="121"/>
      <c r="K15" s="121"/>
      <c r="L15" s="121"/>
      <c r="M15" s="121"/>
      <c r="N15" s="121"/>
      <c r="O15" s="121"/>
      <c r="P15" s="121"/>
      <c r="Q15" s="121"/>
      <c r="R15" s="102"/>
      <c r="S15" s="3"/>
      <c r="T15" s="3"/>
    </row>
    <row r="16" spans="1:18" s="3" customFormat="1" ht="12.75">
      <c r="A16" s="181" t="s">
        <v>46</v>
      </c>
      <c r="B16" s="272">
        <f aca="true" t="shared" si="5" ref="B16:B23">SUM(D16:H16)</f>
        <v>50617</v>
      </c>
      <c r="C16" s="272">
        <f aca="true" t="shared" si="6" ref="C16:C22">SUM(I16:K16)*1000+SUM(L16:M16)</f>
        <v>0</v>
      </c>
      <c r="D16" s="280">
        <v>12346</v>
      </c>
      <c r="E16" s="280">
        <v>38271</v>
      </c>
      <c r="F16" s="280"/>
      <c r="G16" s="280"/>
      <c r="H16" s="272"/>
      <c r="I16" s="374"/>
      <c r="J16" s="374"/>
      <c r="K16" s="374"/>
      <c r="L16" s="389"/>
      <c r="M16" s="389"/>
      <c r="N16" s="389"/>
      <c r="O16" s="389"/>
      <c r="P16" s="389"/>
      <c r="Q16" s="389"/>
      <c r="R16" s="119"/>
    </row>
    <row r="17" spans="1:18" s="3" customFormat="1" ht="12.75">
      <c r="A17" s="181" t="s">
        <v>47</v>
      </c>
      <c r="B17" s="272">
        <f t="shared" si="5"/>
        <v>592</v>
      </c>
      <c r="C17" s="272">
        <f t="shared" si="6"/>
        <v>0</v>
      </c>
      <c r="D17" s="280">
        <v>96</v>
      </c>
      <c r="E17" s="280">
        <v>496</v>
      </c>
      <c r="F17" s="280"/>
      <c r="G17" s="280"/>
      <c r="H17" s="272"/>
      <c r="I17" s="374"/>
      <c r="J17" s="374"/>
      <c r="K17" s="374"/>
      <c r="L17" s="389"/>
      <c r="M17" s="389"/>
      <c r="N17" s="389"/>
      <c r="O17" s="389"/>
      <c r="P17" s="389"/>
      <c r="Q17" s="389"/>
      <c r="R17" s="119"/>
    </row>
    <row r="18" spans="1:18" s="3" customFormat="1" ht="12.75">
      <c r="A18" s="181" t="s">
        <v>48</v>
      </c>
      <c r="B18" s="272">
        <f t="shared" si="5"/>
        <v>131</v>
      </c>
      <c r="C18" s="272">
        <f t="shared" si="6"/>
        <v>0</v>
      </c>
      <c r="D18" s="280">
        <v>59</v>
      </c>
      <c r="E18" s="280">
        <v>72</v>
      </c>
      <c r="F18" s="280"/>
      <c r="G18" s="280"/>
      <c r="H18" s="272"/>
      <c r="I18" s="374"/>
      <c r="J18" s="374"/>
      <c r="K18" s="374"/>
      <c r="L18" s="389"/>
      <c r="M18" s="389"/>
      <c r="N18" s="389"/>
      <c r="O18" s="389"/>
      <c r="P18" s="389"/>
      <c r="Q18" s="389"/>
      <c r="R18" s="119"/>
    </row>
    <row r="19" spans="1:18" s="3" customFormat="1" ht="12.75">
      <c r="A19" s="181" t="s">
        <v>49</v>
      </c>
      <c r="B19" s="272">
        <f t="shared" si="5"/>
        <v>11464</v>
      </c>
      <c r="C19" s="272">
        <f t="shared" si="6"/>
        <v>10186316.059999999</v>
      </c>
      <c r="D19" s="280"/>
      <c r="E19" s="280"/>
      <c r="F19" s="280">
        <v>3832</v>
      </c>
      <c r="G19" s="280">
        <v>3902</v>
      </c>
      <c r="H19" s="272">
        <v>3730</v>
      </c>
      <c r="I19" s="272">
        <v>1422</v>
      </c>
      <c r="J19" s="272">
        <v>2358</v>
      </c>
      <c r="K19" s="272">
        <v>1544</v>
      </c>
      <c r="L19" s="279">
        <v>2415747.76</v>
      </c>
      <c r="M19" s="279">
        <v>2446568.3</v>
      </c>
      <c r="N19" s="279">
        <v>2387636.95</v>
      </c>
      <c r="O19" s="279">
        <v>2211895.72</v>
      </c>
      <c r="P19" s="279">
        <v>887015.31</v>
      </c>
      <c r="Q19" s="279">
        <v>2115373.2800000003</v>
      </c>
      <c r="R19" s="119"/>
    </row>
    <row r="20" spans="1:18" s="3" customFormat="1" ht="12.75">
      <c r="A20" s="181" t="s">
        <v>52</v>
      </c>
      <c r="B20" s="272">
        <f t="shared" si="5"/>
        <v>65128</v>
      </c>
      <c r="C20" s="272">
        <f t="shared" si="6"/>
        <v>74766700.64</v>
      </c>
      <c r="D20" s="280"/>
      <c r="E20" s="280"/>
      <c r="F20" s="280">
        <v>25095</v>
      </c>
      <c r="G20" s="280">
        <v>22686</v>
      </c>
      <c r="H20" s="272">
        <v>17347</v>
      </c>
      <c r="I20" s="272">
        <v>16973</v>
      </c>
      <c r="J20" s="272">
        <v>13047</v>
      </c>
      <c r="K20" s="272">
        <v>11710</v>
      </c>
      <c r="L20" s="279">
        <v>15816117.46</v>
      </c>
      <c r="M20" s="279">
        <v>17220583.18</v>
      </c>
      <c r="N20" s="279">
        <v>15697501.92</v>
      </c>
      <c r="O20" s="279">
        <v>33463190.76</v>
      </c>
      <c r="P20" s="279">
        <v>23161939.34</v>
      </c>
      <c r="Q20" s="279">
        <v>31751513.090000004</v>
      </c>
      <c r="R20" s="119"/>
    </row>
    <row r="21" spans="1:18" s="3" customFormat="1" ht="12.75">
      <c r="A21" s="181" t="s">
        <v>53</v>
      </c>
      <c r="B21" s="272">
        <f t="shared" si="5"/>
        <v>8061</v>
      </c>
      <c r="C21" s="272">
        <f t="shared" si="6"/>
        <v>4625599.07</v>
      </c>
      <c r="D21" s="280"/>
      <c r="E21" s="280"/>
      <c r="F21" s="280">
        <v>1628</v>
      </c>
      <c r="G21" s="280">
        <v>3073</v>
      </c>
      <c r="H21" s="272">
        <v>3360</v>
      </c>
      <c r="I21" s="272">
        <v>1672</v>
      </c>
      <c r="J21" s="272">
        <v>843</v>
      </c>
      <c r="K21" s="272">
        <v>1085</v>
      </c>
      <c r="L21" s="279">
        <v>1025599.07</v>
      </c>
      <c r="M21" s="375"/>
      <c r="N21" s="375"/>
      <c r="O21" s="375"/>
      <c r="P21" s="375"/>
      <c r="Q21" s="375"/>
      <c r="R21" s="119"/>
    </row>
    <row r="22" spans="1:19" s="3" customFormat="1" ht="12.75">
      <c r="A22" s="16" t="s">
        <v>51</v>
      </c>
      <c r="B22" s="272">
        <f t="shared" si="5"/>
        <v>135993</v>
      </c>
      <c r="C22" s="272">
        <f t="shared" si="6"/>
        <v>50654000</v>
      </c>
      <c r="D22" s="280">
        <f aca="true" t="shared" si="7" ref="D22:K22">SUM(D16:D21)</f>
        <v>12501</v>
      </c>
      <c r="E22" s="280">
        <f t="shared" si="7"/>
        <v>38839</v>
      </c>
      <c r="F22" s="280">
        <f t="shared" si="7"/>
        <v>30555</v>
      </c>
      <c r="G22" s="280">
        <f t="shared" si="7"/>
        <v>29661</v>
      </c>
      <c r="H22" s="272">
        <f t="shared" si="7"/>
        <v>24437</v>
      </c>
      <c r="I22" s="272">
        <f t="shared" si="7"/>
        <v>20067</v>
      </c>
      <c r="J22" s="272">
        <f t="shared" si="7"/>
        <v>16248</v>
      </c>
      <c r="K22" s="272">
        <f t="shared" si="7"/>
        <v>14339</v>
      </c>
      <c r="L22" s="375"/>
      <c r="M22" s="375"/>
      <c r="N22" s="375"/>
      <c r="O22" s="375"/>
      <c r="P22" s="375"/>
      <c r="Q22" s="375"/>
      <c r="R22" s="119"/>
      <c r="S22" s="4"/>
    </row>
    <row r="23" spans="1:18" s="3" customFormat="1" ht="12.75">
      <c r="A23" s="16" t="s">
        <v>205</v>
      </c>
      <c r="B23" s="217">
        <f t="shared" si="5"/>
        <v>135993000</v>
      </c>
      <c r="C23" s="217">
        <f>SUM(I23:M23)</f>
        <v>89578615.77</v>
      </c>
      <c r="D23" s="340">
        <f>D22*1000</f>
        <v>12501000</v>
      </c>
      <c r="E23" s="340">
        <f aca="true" t="shared" si="8" ref="E23:K23">E22*1000</f>
        <v>38839000</v>
      </c>
      <c r="F23" s="340">
        <f t="shared" si="8"/>
        <v>30555000</v>
      </c>
      <c r="G23" s="340">
        <f t="shared" si="8"/>
        <v>29661000</v>
      </c>
      <c r="H23" s="217">
        <f t="shared" si="8"/>
        <v>24437000</v>
      </c>
      <c r="I23" s="217">
        <f t="shared" si="8"/>
        <v>20067000</v>
      </c>
      <c r="J23" s="217">
        <f t="shared" si="8"/>
        <v>16248000</v>
      </c>
      <c r="K23" s="217">
        <f t="shared" si="8"/>
        <v>14339000</v>
      </c>
      <c r="L23" s="289">
        <f aca="true" t="shared" si="9" ref="L23:Q23">SUM(L16:L21)</f>
        <v>19257464.29</v>
      </c>
      <c r="M23" s="289">
        <f t="shared" si="9"/>
        <v>19667151.48</v>
      </c>
      <c r="N23" s="289">
        <f t="shared" si="9"/>
        <v>18085138.87</v>
      </c>
      <c r="O23" s="289">
        <f t="shared" si="9"/>
        <v>35675086.480000004</v>
      </c>
      <c r="P23" s="289">
        <f t="shared" si="9"/>
        <v>24048954.65</v>
      </c>
      <c r="Q23" s="289">
        <f t="shared" si="9"/>
        <v>33866886.370000005</v>
      </c>
      <c r="R23" s="289">
        <f>SUM(D23:Q23)</f>
        <v>337247682.14</v>
      </c>
    </row>
    <row r="24" spans="1:19" s="3" customFormat="1" ht="12.75">
      <c r="A24" s="43"/>
      <c r="B24" s="96"/>
      <c r="C24" s="96"/>
      <c r="D24" s="42"/>
      <c r="E24" s="42"/>
      <c r="F24" s="42"/>
      <c r="G24" s="42"/>
      <c r="H24" s="96"/>
      <c r="I24" s="96"/>
      <c r="J24" s="96"/>
      <c r="K24" s="96"/>
      <c r="L24" s="96"/>
      <c r="M24" s="96"/>
      <c r="N24" s="96"/>
      <c r="O24" s="96"/>
      <c r="P24" s="96"/>
      <c r="Q24" s="96"/>
      <c r="R24" s="96"/>
      <c r="S24" s="4"/>
    </row>
    <row r="25" spans="1:19" s="3" customFormat="1" ht="12.75">
      <c r="A25" s="339" t="s">
        <v>17</v>
      </c>
      <c r="B25" s="96"/>
      <c r="C25" s="96"/>
      <c r="D25" s="42"/>
      <c r="E25" s="42"/>
      <c r="F25" s="42"/>
      <c r="G25" s="42"/>
      <c r="H25" s="96"/>
      <c r="I25" s="96"/>
      <c r="J25" s="96"/>
      <c r="K25" s="96"/>
      <c r="L25" s="96"/>
      <c r="M25" s="96"/>
      <c r="N25" s="96"/>
      <c r="O25" s="96"/>
      <c r="P25" s="96"/>
      <c r="Q25" s="96"/>
      <c r="R25" s="96"/>
      <c r="S25" s="4"/>
    </row>
    <row r="26" spans="1:19" s="3" customFormat="1" ht="12.75">
      <c r="A26" s="181" t="s">
        <v>49</v>
      </c>
      <c r="B26" s="337"/>
      <c r="C26" s="337"/>
      <c r="D26" s="338"/>
      <c r="E26" s="338"/>
      <c r="F26" s="338"/>
      <c r="G26" s="338"/>
      <c r="H26" s="337"/>
      <c r="I26" s="337"/>
      <c r="J26" s="337"/>
      <c r="K26" s="337"/>
      <c r="L26" s="279"/>
      <c r="M26" s="279"/>
      <c r="N26" s="279"/>
      <c r="O26" s="279">
        <v>816292.57</v>
      </c>
      <c r="P26" s="279">
        <v>1575864.69</v>
      </c>
      <c r="Q26" s="279">
        <v>1042595.07</v>
      </c>
      <c r="R26" s="96"/>
      <c r="S26" s="4"/>
    </row>
    <row r="27" spans="1:19" s="3" customFormat="1" ht="12.75">
      <c r="A27" s="181" t="s">
        <v>52</v>
      </c>
      <c r="B27" s="337"/>
      <c r="C27" s="337"/>
      <c r="D27" s="338"/>
      <c r="E27" s="338"/>
      <c r="F27" s="338"/>
      <c r="G27" s="338"/>
      <c r="H27" s="337"/>
      <c r="I27" s="337"/>
      <c r="J27" s="337"/>
      <c r="K27" s="337"/>
      <c r="L27" s="279"/>
      <c r="M27" s="279"/>
      <c r="N27" s="279"/>
      <c r="O27" s="279">
        <v>24239268.42</v>
      </c>
      <c r="P27" s="279">
        <v>27434236.05</v>
      </c>
      <c r="Q27" s="279">
        <v>30960495.05</v>
      </c>
      <c r="R27" s="96"/>
      <c r="S27" s="4"/>
    </row>
    <row r="28" spans="1:19" s="3" customFormat="1" ht="12.75">
      <c r="A28" s="16" t="s">
        <v>51</v>
      </c>
      <c r="B28" s="283">
        <f>SUM(D28:H28)</f>
        <v>0</v>
      </c>
      <c r="C28" s="283">
        <f>SUM(I28:M28)</f>
        <v>38821431.33</v>
      </c>
      <c r="D28" s="300"/>
      <c r="E28" s="300"/>
      <c r="F28" s="300"/>
      <c r="G28" s="300"/>
      <c r="H28" s="283"/>
      <c r="I28" s="283"/>
      <c r="J28" s="283">
        <v>13474</v>
      </c>
      <c r="K28" s="283">
        <f>2997+13425+1234</f>
        <v>17656</v>
      </c>
      <c r="L28" s="289">
        <v>22124461.33</v>
      </c>
      <c r="M28" s="289">
        <v>16665840</v>
      </c>
      <c r="N28" s="289">
        <f>2430340+21743160</f>
        <v>24173500</v>
      </c>
      <c r="O28" s="289">
        <f>SUM(O26:O27)</f>
        <v>25055560.990000002</v>
      </c>
      <c r="P28" s="289">
        <f>SUM(P26:P27)</f>
        <v>29010100.740000002</v>
      </c>
      <c r="Q28" s="289">
        <f>SUM(Q26:Q27)</f>
        <v>32003090.12</v>
      </c>
      <c r="R28" s="96"/>
      <c r="S28" s="4"/>
    </row>
    <row r="29" spans="1:18" s="3" customFormat="1" ht="12.75">
      <c r="A29" s="21"/>
      <c r="B29" s="40"/>
      <c r="C29" s="40"/>
      <c r="D29" s="40"/>
      <c r="E29" s="40"/>
      <c r="F29" s="40"/>
      <c r="G29" s="40"/>
      <c r="H29" s="40"/>
      <c r="I29" s="40"/>
      <c r="J29" s="40"/>
      <c r="K29" s="40"/>
      <c r="L29" s="40"/>
      <c r="M29" s="40"/>
      <c r="N29" s="40"/>
      <c r="O29" s="40"/>
      <c r="P29" s="40"/>
      <c r="Q29" s="40"/>
      <c r="R29" s="40"/>
    </row>
    <row r="30" spans="1:18" s="3" customFormat="1" ht="12.75">
      <c r="A30" s="43" t="s">
        <v>414</v>
      </c>
      <c r="B30" s="40"/>
      <c r="C30" s="40"/>
      <c r="D30" s="40"/>
      <c r="E30" s="40"/>
      <c r="F30" s="40"/>
      <c r="G30" s="40"/>
      <c r="H30" s="40"/>
      <c r="I30" s="40"/>
      <c r="J30" s="40"/>
      <c r="K30" s="40"/>
      <c r="L30" s="40"/>
      <c r="M30" s="40"/>
      <c r="N30" s="40"/>
      <c r="O30" s="40"/>
      <c r="P30" s="40"/>
      <c r="Q30" s="40"/>
      <c r="R30" s="40"/>
    </row>
    <row r="31" spans="1:18" s="3" customFormat="1" ht="12.75">
      <c r="A31" s="181" t="s">
        <v>46</v>
      </c>
      <c r="B31" s="250">
        <f aca="true" t="shared" si="10" ref="B31:B37">SUM(D31:H31)</f>
        <v>10702</v>
      </c>
      <c r="C31" s="250">
        <f aca="true" t="shared" si="11" ref="C31:C37">SUM(I31:M31)</f>
        <v>0</v>
      </c>
      <c r="D31" s="250">
        <v>1632</v>
      </c>
      <c r="E31" s="250">
        <v>9070</v>
      </c>
      <c r="F31" s="250"/>
      <c r="G31" s="250"/>
      <c r="H31" s="250"/>
      <c r="I31" s="316"/>
      <c r="J31" s="316"/>
      <c r="K31" s="316"/>
      <c r="L31" s="316"/>
      <c r="M31" s="316"/>
      <c r="N31" s="316"/>
      <c r="O31" s="316"/>
      <c r="P31" s="316"/>
      <c r="Q31" s="316"/>
      <c r="R31" s="250">
        <f aca="true" t="shared" si="12" ref="R31:R37">SUM(D31:Q31)</f>
        <v>10702</v>
      </c>
    </row>
    <row r="32" spans="1:18" s="3" customFormat="1" ht="12.75">
      <c r="A32" s="181" t="s">
        <v>47</v>
      </c>
      <c r="B32" s="250">
        <f t="shared" si="10"/>
        <v>87</v>
      </c>
      <c r="C32" s="250">
        <f t="shared" si="11"/>
        <v>0</v>
      </c>
      <c r="D32" s="250">
        <v>11</v>
      </c>
      <c r="E32" s="250">
        <v>76</v>
      </c>
      <c r="F32" s="250"/>
      <c r="G32" s="250"/>
      <c r="H32" s="250"/>
      <c r="I32" s="316"/>
      <c r="J32" s="316"/>
      <c r="K32" s="316"/>
      <c r="L32" s="316"/>
      <c r="M32" s="316"/>
      <c r="N32" s="316"/>
      <c r="O32" s="316"/>
      <c r="P32" s="316"/>
      <c r="Q32" s="316"/>
      <c r="R32" s="250">
        <f t="shared" si="12"/>
        <v>87</v>
      </c>
    </row>
    <row r="33" spans="1:18" s="3" customFormat="1" ht="12.75">
      <c r="A33" s="181" t="s">
        <v>48</v>
      </c>
      <c r="B33" s="250">
        <f t="shared" si="10"/>
        <v>24</v>
      </c>
      <c r="C33" s="250">
        <f t="shared" si="11"/>
        <v>0</v>
      </c>
      <c r="D33" s="250">
        <v>7</v>
      </c>
      <c r="E33" s="250">
        <v>17</v>
      </c>
      <c r="F33" s="250"/>
      <c r="G33" s="250"/>
      <c r="H33" s="250"/>
      <c r="I33" s="316"/>
      <c r="J33" s="316"/>
      <c r="K33" s="316"/>
      <c r="L33" s="316"/>
      <c r="M33" s="316"/>
      <c r="N33" s="316"/>
      <c r="O33" s="316"/>
      <c r="P33" s="316"/>
      <c r="Q33" s="316"/>
      <c r="R33" s="250">
        <f t="shared" si="12"/>
        <v>24</v>
      </c>
    </row>
    <row r="34" spans="1:18" s="3" customFormat="1" ht="12.75">
      <c r="A34" s="181" t="s">
        <v>49</v>
      </c>
      <c r="B34" s="250">
        <f t="shared" si="10"/>
        <v>562</v>
      </c>
      <c r="C34" s="250">
        <f t="shared" si="11"/>
        <v>604</v>
      </c>
      <c r="D34" s="250"/>
      <c r="E34" s="250"/>
      <c r="F34" s="250">
        <v>188</v>
      </c>
      <c r="G34" s="250">
        <v>176</v>
      </c>
      <c r="H34" s="250">
        <v>198</v>
      </c>
      <c r="I34" s="250">
        <v>187</v>
      </c>
      <c r="J34" s="250">
        <v>113</v>
      </c>
      <c r="K34" s="250">
        <v>111</v>
      </c>
      <c r="L34" s="250">
        <v>96</v>
      </c>
      <c r="M34" s="250">
        <v>97</v>
      </c>
      <c r="N34" s="250">
        <v>136</v>
      </c>
      <c r="O34" s="252">
        <v>109</v>
      </c>
      <c r="P34" s="252">
        <v>28</v>
      </c>
      <c r="Q34" s="252">
        <v>53</v>
      </c>
      <c r="R34" s="250">
        <f t="shared" si="12"/>
        <v>1492</v>
      </c>
    </row>
    <row r="35" spans="1:18" s="3" customFormat="1" ht="12.75">
      <c r="A35" s="181" t="s">
        <v>52</v>
      </c>
      <c r="B35" s="250">
        <f t="shared" si="10"/>
        <v>9304</v>
      </c>
      <c r="C35" s="250">
        <f t="shared" si="11"/>
        <v>7380</v>
      </c>
      <c r="D35" s="250"/>
      <c r="E35" s="250"/>
      <c r="F35" s="250">
        <v>3818</v>
      </c>
      <c r="G35" s="250">
        <v>3563</v>
      </c>
      <c r="H35" s="250">
        <v>1923</v>
      </c>
      <c r="I35" s="250">
        <v>1798</v>
      </c>
      <c r="J35" s="250">
        <v>1129</v>
      </c>
      <c r="K35" s="250">
        <v>1172</v>
      </c>
      <c r="L35" s="250">
        <v>1393</v>
      </c>
      <c r="M35" s="250">
        <v>1888</v>
      </c>
      <c r="N35" s="250">
        <v>1718</v>
      </c>
      <c r="O35" s="252">
        <v>3521</v>
      </c>
      <c r="P35" s="252">
        <v>2399</v>
      </c>
      <c r="Q35" s="252">
        <v>3142</v>
      </c>
      <c r="R35" s="250">
        <f t="shared" si="12"/>
        <v>27464</v>
      </c>
    </row>
    <row r="36" spans="1:18" s="3" customFormat="1" ht="12.75">
      <c r="A36" s="181" t="s">
        <v>53</v>
      </c>
      <c r="B36" s="250">
        <f t="shared" si="10"/>
        <v>713</v>
      </c>
      <c r="C36" s="250">
        <f t="shared" si="11"/>
        <v>400</v>
      </c>
      <c r="D36" s="250"/>
      <c r="E36" s="250"/>
      <c r="F36" s="250">
        <v>203</v>
      </c>
      <c r="G36" s="250">
        <v>244</v>
      </c>
      <c r="H36" s="250">
        <v>266</v>
      </c>
      <c r="I36" s="250">
        <v>109</v>
      </c>
      <c r="J36" s="250">
        <v>55</v>
      </c>
      <c r="K36" s="250">
        <v>118</v>
      </c>
      <c r="L36" s="250">
        <v>118</v>
      </c>
      <c r="M36" s="316"/>
      <c r="N36" s="316"/>
      <c r="O36" s="316"/>
      <c r="P36" s="316"/>
      <c r="Q36" s="316"/>
      <c r="R36" s="250">
        <f t="shared" si="12"/>
        <v>1113</v>
      </c>
    </row>
    <row r="37" spans="1:19" s="3" customFormat="1" ht="12.75">
      <c r="A37" s="16" t="s">
        <v>51</v>
      </c>
      <c r="B37" s="263">
        <f t="shared" si="10"/>
        <v>21392</v>
      </c>
      <c r="C37" s="263">
        <f t="shared" si="11"/>
        <v>8384</v>
      </c>
      <c r="D37" s="263">
        <f>SUM(D31:D36)</f>
        <v>1650</v>
      </c>
      <c r="E37" s="263">
        <f>SUM(E31:E36)</f>
        <v>9163</v>
      </c>
      <c r="F37" s="263">
        <f aca="true" t="shared" si="13" ref="F37:N37">SUM(F31:F36)</f>
        <v>4209</v>
      </c>
      <c r="G37" s="263">
        <f t="shared" si="13"/>
        <v>3983</v>
      </c>
      <c r="H37" s="263">
        <f t="shared" si="13"/>
        <v>2387</v>
      </c>
      <c r="I37" s="263">
        <f t="shared" si="13"/>
        <v>2094</v>
      </c>
      <c r="J37" s="263">
        <f t="shared" si="13"/>
        <v>1297</v>
      </c>
      <c r="K37" s="263">
        <f t="shared" si="13"/>
        <v>1401</v>
      </c>
      <c r="L37" s="263">
        <f t="shared" si="13"/>
        <v>1607</v>
      </c>
      <c r="M37" s="263">
        <f t="shared" si="13"/>
        <v>1985</v>
      </c>
      <c r="N37" s="263">
        <f t="shared" si="13"/>
        <v>1854</v>
      </c>
      <c r="O37" s="263">
        <f>SUM(O31:O36)</f>
        <v>3630</v>
      </c>
      <c r="P37" s="263">
        <f>SUM(P31:P36)</f>
        <v>2427</v>
      </c>
      <c r="Q37" s="263">
        <f>SUM(Q31:Q36)</f>
        <v>3195</v>
      </c>
      <c r="R37" s="263">
        <f t="shared" si="12"/>
        <v>40882</v>
      </c>
      <c r="S37" s="6"/>
    </row>
    <row r="38" spans="1:18" s="3" customFormat="1" ht="12.75">
      <c r="A38" s="43"/>
      <c r="B38" s="44"/>
      <c r="C38" s="44"/>
      <c r="D38" s="44"/>
      <c r="E38" s="44"/>
      <c r="F38" s="44"/>
      <c r="G38" s="44"/>
      <c r="H38" s="44"/>
      <c r="I38" s="44"/>
      <c r="J38" s="44"/>
      <c r="K38" s="44"/>
      <c r="L38" s="44"/>
      <c r="M38" s="44"/>
      <c r="N38" s="44"/>
      <c r="O38" s="44"/>
      <c r="P38" s="44"/>
      <c r="Q38" s="44"/>
      <c r="R38" s="44"/>
    </row>
    <row r="39" spans="1:18" s="3" customFormat="1" ht="12.75">
      <c r="A39" s="43" t="s">
        <v>413</v>
      </c>
      <c r="B39" s="44"/>
      <c r="C39" s="44"/>
      <c r="D39" s="44"/>
      <c r="E39" s="44"/>
      <c r="F39" s="44"/>
      <c r="G39" s="44"/>
      <c r="H39" s="44"/>
      <c r="I39" s="44"/>
      <c r="J39" s="44"/>
      <c r="K39" s="44"/>
      <c r="L39" s="44"/>
      <c r="M39" s="44"/>
      <c r="N39" s="44"/>
      <c r="O39" s="44"/>
      <c r="P39" s="44"/>
      <c r="Q39" s="44"/>
      <c r="R39" s="44"/>
    </row>
    <row r="40" spans="1:18" s="3" customFormat="1" ht="12.75">
      <c r="A40" s="181" t="s">
        <v>49</v>
      </c>
      <c r="B40" s="316"/>
      <c r="C40" s="316"/>
      <c r="D40" s="316"/>
      <c r="E40" s="316"/>
      <c r="F40" s="316"/>
      <c r="G40" s="316"/>
      <c r="H40" s="316"/>
      <c r="I40" s="316"/>
      <c r="J40" s="316"/>
      <c r="K40" s="316"/>
      <c r="L40" s="316"/>
      <c r="M40" s="316"/>
      <c r="N40" s="250">
        <v>105</v>
      </c>
      <c r="O40" s="252">
        <v>118</v>
      </c>
      <c r="P40" s="252">
        <v>59</v>
      </c>
      <c r="Q40" s="252">
        <v>157</v>
      </c>
      <c r="R40" s="250">
        <f>SUM(D40:Q40)</f>
        <v>439</v>
      </c>
    </row>
    <row r="41" spans="1:18" s="3" customFormat="1" ht="12.75">
      <c r="A41" s="181" t="s">
        <v>52</v>
      </c>
      <c r="B41" s="316"/>
      <c r="C41" s="316"/>
      <c r="D41" s="316"/>
      <c r="E41" s="316"/>
      <c r="F41" s="316"/>
      <c r="G41" s="316"/>
      <c r="H41" s="316"/>
      <c r="I41" s="316"/>
      <c r="J41" s="316"/>
      <c r="K41" s="316"/>
      <c r="L41" s="316"/>
      <c r="M41" s="316"/>
      <c r="N41" s="316"/>
      <c r="O41" s="316"/>
      <c r="P41" s="316"/>
      <c r="Q41" s="316"/>
      <c r="R41" s="250">
        <f>SUM(D41:Q41)</f>
        <v>0</v>
      </c>
    </row>
    <row r="42" spans="1:19" s="3" customFormat="1" ht="12.75">
      <c r="A42" s="225" t="s">
        <v>113</v>
      </c>
      <c r="B42" s="250">
        <f>SUM(D42:H42)</f>
        <v>13837</v>
      </c>
      <c r="C42" s="250">
        <f>SUM(I42:M42)</f>
        <v>8184</v>
      </c>
      <c r="D42" s="250">
        <v>4205</v>
      </c>
      <c r="E42" s="250">
        <v>2016</v>
      </c>
      <c r="F42" s="250">
        <v>2603</v>
      </c>
      <c r="G42" s="250">
        <v>2707</v>
      </c>
      <c r="H42" s="250">
        <v>2306</v>
      </c>
      <c r="I42" s="250">
        <f>150+936+64</f>
        <v>1150</v>
      </c>
      <c r="J42" s="250">
        <v>1026</v>
      </c>
      <c r="K42" s="250">
        <v>1709</v>
      </c>
      <c r="L42" s="284">
        <v>2306</v>
      </c>
      <c r="M42" s="285">
        <v>1993</v>
      </c>
      <c r="N42" s="317"/>
      <c r="O42" s="316"/>
      <c r="P42" s="316"/>
      <c r="Q42" s="316"/>
      <c r="R42" s="250">
        <f>SUM(D42:Q42)</f>
        <v>22021</v>
      </c>
      <c r="S42" s="130"/>
    </row>
    <row r="43" spans="1:19" s="3" customFormat="1" ht="12.75">
      <c r="A43" s="16" t="s">
        <v>51</v>
      </c>
      <c r="B43" s="263">
        <f>SUM(D43:H43)</f>
        <v>13837</v>
      </c>
      <c r="C43" s="263">
        <f>SUM(I43:M43)</f>
        <v>8184</v>
      </c>
      <c r="D43" s="263">
        <f>SUM(D40:D42)</f>
        <v>4205</v>
      </c>
      <c r="E43" s="263">
        <f aca="true" t="shared" si="14" ref="E43:O43">SUM(E40:E42)</f>
        <v>2016</v>
      </c>
      <c r="F43" s="263">
        <f t="shared" si="14"/>
        <v>2603</v>
      </c>
      <c r="G43" s="263">
        <f t="shared" si="14"/>
        <v>2707</v>
      </c>
      <c r="H43" s="263">
        <f t="shared" si="14"/>
        <v>2306</v>
      </c>
      <c r="I43" s="263">
        <f t="shared" si="14"/>
        <v>1150</v>
      </c>
      <c r="J43" s="263">
        <f t="shared" si="14"/>
        <v>1026</v>
      </c>
      <c r="K43" s="263">
        <f t="shared" si="14"/>
        <v>1709</v>
      </c>
      <c r="L43" s="263">
        <f t="shared" si="14"/>
        <v>2306</v>
      </c>
      <c r="M43" s="263">
        <f t="shared" si="14"/>
        <v>1993</v>
      </c>
      <c r="N43" s="263">
        <f t="shared" si="14"/>
        <v>105</v>
      </c>
      <c r="O43" s="263">
        <f t="shared" si="14"/>
        <v>118</v>
      </c>
      <c r="P43" s="263">
        <f>SUM(P40:P42)</f>
        <v>59</v>
      </c>
      <c r="Q43" s="263">
        <f>SUM(Q40:Q42)</f>
        <v>157</v>
      </c>
      <c r="R43" s="263">
        <f>SUM(D43:Q43)</f>
        <v>22460</v>
      </c>
      <c r="S43" s="130"/>
    </row>
    <row r="44" spans="1:18" s="3" customFormat="1" ht="12.75">
      <c r="A44" s="2" t="s">
        <v>291</v>
      </c>
      <c r="B44" s="21"/>
      <c r="C44" s="21"/>
      <c r="D44" s="40"/>
      <c r="E44" s="40"/>
      <c r="F44" s="40"/>
      <c r="G44" s="40"/>
      <c r="H44" s="40"/>
      <c r="I44" s="40"/>
      <c r="J44" s="40"/>
      <c r="K44" s="40"/>
      <c r="L44" s="40"/>
      <c r="M44" s="40"/>
      <c r="N44" s="40"/>
      <c r="O44" s="40"/>
      <c r="P44" s="40"/>
      <c r="Q44" s="40"/>
      <c r="R44" s="40"/>
    </row>
    <row r="45" spans="2:18" s="3" customFormat="1" ht="12.75">
      <c r="B45" s="21"/>
      <c r="C45" s="21"/>
      <c r="D45" s="40"/>
      <c r="E45" s="40"/>
      <c r="F45" s="40"/>
      <c r="G45" s="40"/>
      <c r="H45" s="40"/>
      <c r="I45" s="40"/>
      <c r="J45" s="40"/>
      <c r="K45" s="40"/>
      <c r="L45" s="40"/>
      <c r="M45" s="40"/>
      <c r="N45" s="40"/>
      <c r="O45" s="40"/>
      <c r="P45" s="40"/>
      <c r="Q45" s="40"/>
      <c r="R45" s="40"/>
    </row>
    <row r="46" s="3" customFormat="1" ht="12.75">
      <c r="A46" s="428" t="s">
        <v>388</v>
      </c>
    </row>
    <row r="47" spans="1:18" s="3" customFormat="1" ht="25.5">
      <c r="A47" s="43" t="s">
        <v>6</v>
      </c>
      <c r="B47" s="196" t="str">
        <f>B4</f>
        <v>Summary 
2001 to 2005*</v>
      </c>
      <c r="C47" s="196" t="str">
        <f>C4</f>
        <v>Summary 
2006 to 2010*</v>
      </c>
      <c r="D47" s="28">
        <v>2001</v>
      </c>
      <c r="E47" s="28">
        <v>2002</v>
      </c>
      <c r="F47" s="28">
        <v>2003</v>
      </c>
      <c r="G47" s="28">
        <v>2004</v>
      </c>
      <c r="H47" s="28">
        <v>2005</v>
      </c>
      <c r="I47" s="28">
        <v>2006</v>
      </c>
      <c r="J47" s="28">
        <v>2007</v>
      </c>
      <c r="K47" s="28">
        <v>2008</v>
      </c>
      <c r="L47" s="28">
        <v>2009</v>
      </c>
      <c r="M47" s="28">
        <v>2010</v>
      </c>
      <c r="N47" s="28">
        <v>2011</v>
      </c>
      <c r="O47" s="345" t="str">
        <f>O4</f>
        <v>(18 month)
2012-2013</v>
      </c>
      <c r="P47" s="345" t="str">
        <f>P4</f>
        <v>FY2014</v>
      </c>
      <c r="Q47" s="345" t="str">
        <f>Q4</f>
        <v>FY2015</v>
      </c>
      <c r="R47" s="124" t="str">
        <f>R4</f>
        <v>Total 
2001 ~ FY2015</v>
      </c>
    </row>
    <row r="48" spans="1:18" s="3" customFormat="1" ht="12.75">
      <c r="A48" s="43" t="s">
        <v>407</v>
      </c>
      <c r="B48" s="40" t="s">
        <v>8</v>
      </c>
      <c r="C48" s="40" t="s">
        <v>8</v>
      </c>
      <c r="D48" s="40" t="s">
        <v>8</v>
      </c>
      <c r="E48" s="40" t="s">
        <v>8</v>
      </c>
      <c r="F48" s="40" t="s">
        <v>8</v>
      </c>
      <c r="G48" s="40" t="s">
        <v>8</v>
      </c>
      <c r="H48" s="40" t="s">
        <v>8</v>
      </c>
      <c r="I48" s="40" t="s">
        <v>8</v>
      </c>
      <c r="J48" s="40" t="s">
        <v>8</v>
      </c>
      <c r="K48" s="45" t="s">
        <v>8</v>
      </c>
      <c r="L48" s="45" t="s">
        <v>8</v>
      </c>
      <c r="M48" s="45" t="s">
        <v>8</v>
      </c>
      <c r="N48" s="45" t="s">
        <v>8</v>
      </c>
      <c r="O48" s="87" t="s">
        <v>8</v>
      </c>
      <c r="P48" s="87" t="s">
        <v>8</v>
      </c>
      <c r="Q48" s="87" t="s">
        <v>8</v>
      </c>
      <c r="R48" s="40" t="s">
        <v>8</v>
      </c>
    </row>
    <row r="49" spans="1:20" ht="12.75">
      <c r="A49" s="57" t="s">
        <v>118</v>
      </c>
      <c r="B49" s="250">
        <f>SUM(D49:H49)</f>
        <v>45389</v>
      </c>
      <c r="C49" s="250">
        <f>SUM(I49:M49)</f>
        <v>67760</v>
      </c>
      <c r="D49" s="250"/>
      <c r="E49" s="250"/>
      <c r="F49" s="250"/>
      <c r="G49" s="250">
        <v>31538</v>
      </c>
      <c r="H49" s="250">
        <v>13851</v>
      </c>
      <c r="I49" s="250">
        <v>17351</v>
      </c>
      <c r="J49" s="250">
        <v>6572</v>
      </c>
      <c r="K49" s="250">
        <v>21782</v>
      </c>
      <c r="L49" s="250">
        <v>14993</v>
      </c>
      <c r="M49" s="250">
        <v>7062</v>
      </c>
      <c r="N49" s="250">
        <v>16912</v>
      </c>
      <c r="O49" s="252">
        <v>7693</v>
      </c>
      <c r="P49" s="252">
        <v>1509</v>
      </c>
      <c r="Q49" s="252">
        <v>9458</v>
      </c>
      <c r="R49" s="250">
        <f>SUM(D49:Q49)</f>
        <v>148721</v>
      </c>
      <c r="S49" s="201" t="s">
        <v>295</v>
      </c>
      <c r="T49" s="202"/>
    </row>
    <row r="50" spans="1:20" ht="12.75">
      <c r="A50" s="15" t="s">
        <v>119</v>
      </c>
      <c r="B50" s="250">
        <f>SUM(D50:H50)</f>
        <v>284449</v>
      </c>
      <c r="C50" s="250">
        <f>SUM(I50:M50)</f>
        <v>429863</v>
      </c>
      <c r="D50" s="250"/>
      <c r="E50" s="250"/>
      <c r="F50" s="250"/>
      <c r="G50" s="250">
        <v>163631</v>
      </c>
      <c r="H50" s="286">
        <v>120818</v>
      </c>
      <c r="I50" s="250">
        <v>78194</v>
      </c>
      <c r="J50" s="250">
        <v>81933</v>
      </c>
      <c r="K50" s="250">
        <v>74430</v>
      </c>
      <c r="L50" s="250">
        <v>75806</v>
      </c>
      <c r="M50" s="250">
        <v>119500</v>
      </c>
      <c r="N50" s="250">
        <v>103360</v>
      </c>
      <c r="O50" s="252">
        <v>153265</v>
      </c>
      <c r="P50" s="252">
        <v>110650</v>
      </c>
      <c r="Q50" s="252">
        <v>168884</v>
      </c>
      <c r="R50" s="250">
        <f>SUM(D50:Q50)</f>
        <v>1250471</v>
      </c>
      <c r="S50" s="203" t="s">
        <v>294</v>
      </c>
      <c r="T50" s="202"/>
    </row>
    <row r="51" spans="1:18" ht="12.75">
      <c r="A51" s="15" t="s">
        <v>120</v>
      </c>
      <c r="B51" s="250">
        <f>SUM(D51:H51)</f>
        <v>22558</v>
      </c>
      <c r="C51" s="250">
        <f>SUM(I51:M51)</f>
        <v>13218</v>
      </c>
      <c r="D51" s="250"/>
      <c r="E51" s="250"/>
      <c r="F51" s="250"/>
      <c r="G51" s="250">
        <v>8975</v>
      </c>
      <c r="H51" s="250">
        <v>13583</v>
      </c>
      <c r="I51" s="250">
        <v>2832</v>
      </c>
      <c r="J51" s="250">
        <v>2084</v>
      </c>
      <c r="K51" s="250">
        <v>3310</v>
      </c>
      <c r="L51" s="250">
        <v>4992</v>
      </c>
      <c r="M51" s="316"/>
      <c r="N51" s="316"/>
      <c r="O51" s="316"/>
      <c r="P51" s="316"/>
      <c r="Q51" s="316"/>
      <c r="R51" s="250">
        <f>SUM(D51:Q51)</f>
        <v>35776</v>
      </c>
    </row>
    <row r="52" spans="1:18" ht="12.75">
      <c r="A52" s="16" t="s">
        <v>1</v>
      </c>
      <c r="B52" s="263">
        <f>SUM(D52:H52)</f>
        <v>725321</v>
      </c>
      <c r="C52" s="263">
        <f>SUM(I52:M52)</f>
        <v>510841</v>
      </c>
      <c r="D52" s="263">
        <v>30943</v>
      </c>
      <c r="E52" s="263">
        <v>144635</v>
      </c>
      <c r="F52" s="263">
        <v>197347</v>
      </c>
      <c r="G52" s="263">
        <f aca="true" t="shared" si="15" ref="G52:N52">SUM(G49:G51)</f>
        <v>204144</v>
      </c>
      <c r="H52" s="263">
        <f t="shared" si="15"/>
        <v>148252</v>
      </c>
      <c r="I52" s="263">
        <f t="shared" si="15"/>
        <v>98377</v>
      </c>
      <c r="J52" s="263">
        <f t="shared" si="15"/>
        <v>90589</v>
      </c>
      <c r="K52" s="263">
        <f t="shared" si="15"/>
        <v>99522</v>
      </c>
      <c r="L52" s="263">
        <f t="shared" si="15"/>
        <v>95791</v>
      </c>
      <c r="M52" s="263">
        <f t="shared" si="15"/>
        <v>126562</v>
      </c>
      <c r="N52" s="263">
        <f t="shared" si="15"/>
        <v>120272</v>
      </c>
      <c r="O52" s="254">
        <f>SUM(O49:O51)</f>
        <v>160958</v>
      </c>
      <c r="P52" s="254">
        <f>SUM(P49:P51)</f>
        <v>112159</v>
      </c>
      <c r="Q52" s="254">
        <f>SUM(Q49:Q51)</f>
        <v>178342</v>
      </c>
      <c r="R52" s="263">
        <f>SUM(D52:Q52)</f>
        <v>1807893</v>
      </c>
    </row>
    <row r="53" spans="1:18" ht="12.75">
      <c r="A53" s="70" t="s">
        <v>150</v>
      </c>
      <c r="B53" s="44"/>
      <c r="C53" s="44"/>
      <c r="D53" s="44"/>
      <c r="E53" s="44"/>
      <c r="F53" s="44"/>
      <c r="G53" s="44"/>
      <c r="H53" s="44"/>
      <c r="I53" s="44"/>
      <c r="J53" s="44"/>
      <c r="K53" s="44"/>
      <c r="L53" s="44"/>
      <c r="M53" s="44"/>
      <c r="N53" s="44"/>
      <c r="O53" s="58"/>
      <c r="P53" s="58"/>
      <c r="Q53" s="58"/>
      <c r="R53" s="44"/>
    </row>
    <row r="54" spans="1:18" ht="12.75">
      <c r="A54" s="21"/>
      <c r="B54" s="44"/>
      <c r="C54" s="44"/>
      <c r="D54" s="44"/>
      <c r="E54" s="44"/>
      <c r="F54" s="44"/>
      <c r="G54" s="44"/>
      <c r="H54" s="44"/>
      <c r="I54" s="44"/>
      <c r="J54" s="44"/>
      <c r="K54" s="44"/>
      <c r="L54" s="44"/>
      <c r="M54" s="44"/>
      <c r="N54" s="44"/>
      <c r="O54" s="58"/>
      <c r="P54" s="58"/>
      <c r="Q54" s="58"/>
      <c r="R54" s="44"/>
    </row>
    <row r="55" spans="1:18" ht="12.75">
      <c r="A55" s="43" t="s">
        <v>408</v>
      </c>
      <c r="B55" s="40" t="s">
        <v>8</v>
      </c>
      <c r="C55" s="40" t="s">
        <v>8</v>
      </c>
      <c r="D55" s="40" t="s">
        <v>8</v>
      </c>
      <c r="E55" s="40" t="s">
        <v>8</v>
      </c>
      <c r="F55" s="40" t="s">
        <v>8</v>
      </c>
      <c r="G55" s="40" t="s">
        <v>8</v>
      </c>
      <c r="H55" s="40" t="s">
        <v>8</v>
      </c>
      <c r="I55" s="40" t="s">
        <v>8</v>
      </c>
      <c r="J55" s="40" t="s">
        <v>8</v>
      </c>
      <c r="K55" s="45" t="s">
        <v>8</v>
      </c>
      <c r="L55" s="45" t="s">
        <v>8</v>
      </c>
      <c r="M55" s="45" t="s">
        <v>8</v>
      </c>
      <c r="N55" s="45" t="s">
        <v>8</v>
      </c>
      <c r="O55" s="87" t="s">
        <v>8</v>
      </c>
      <c r="P55" s="87" t="s">
        <v>8</v>
      </c>
      <c r="Q55" s="87" t="s">
        <v>8</v>
      </c>
      <c r="R55" s="40" t="s">
        <v>8</v>
      </c>
    </row>
    <row r="56" spans="1:18" ht="12.75">
      <c r="A56" s="57" t="s">
        <v>118</v>
      </c>
      <c r="B56" s="250">
        <f>SUM(D56:H56)</f>
        <v>680834</v>
      </c>
      <c r="C56" s="250">
        <f>SUM(I56:M56)</f>
        <v>805243</v>
      </c>
      <c r="D56" s="250"/>
      <c r="E56" s="250"/>
      <c r="F56" s="250"/>
      <c r="G56" s="250">
        <v>473065</v>
      </c>
      <c r="H56" s="250">
        <v>207769</v>
      </c>
      <c r="I56" s="250">
        <v>260265</v>
      </c>
      <c r="J56" s="250">
        <v>101184</v>
      </c>
      <c r="K56" s="250">
        <v>109975</v>
      </c>
      <c r="L56" s="250">
        <v>225004</v>
      </c>
      <c r="M56" s="250">
        <v>108815</v>
      </c>
      <c r="N56" s="250">
        <v>264120</v>
      </c>
      <c r="O56" s="252">
        <v>115970</v>
      </c>
      <c r="P56" s="252">
        <v>22375</v>
      </c>
      <c r="Q56" s="252">
        <v>150978</v>
      </c>
      <c r="R56" s="250">
        <f>SUM(D56:Q56)</f>
        <v>2039520</v>
      </c>
    </row>
    <row r="57" spans="1:18" ht="12.75">
      <c r="A57" s="15" t="s">
        <v>119</v>
      </c>
      <c r="B57" s="250">
        <f>SUM(D57:H57)</f>
        <v>4266377</v>
      </c>
      <c r="C57" s="250">
        <f>SUM(I57:M57)</f>
        <v>6434124</v>
      </c>
      <c r="D57" s="250"/>
      <c r="E57" s="250"/>
      <c r="F57" s="250"/>
      <c r="G57" s="250">
        <v>2454112</v>
      </c>
      <c r="H57" s="250">
        <v>1812265</v>
      </c>
      <c r="I57" s="250">
        <v>1172904</v>
      </c>
      <c r="J57" s="250">
        <v>1252717</v>
      </c>
      <c r="K57" s="250">
        <v>1349840</v>
      </c>
      <c r="L57" s="250">
        <v>1141755</v>
      </c>
      <c r="M57" s="250">
        <v>1516908</v>
      </c>
      <c r="N57" s="250">
        <v>1642577</v>
      </c>
      <c r="O57" s="252">
        <v>2379957</v>
      </c>
      <c r="P57" s="252">
        <v>1675718</v>
      </c>
      <c r="Q57" s="252">
        <v>2866744</v>
      </c>
      <c r="R57" s="250">
        <f>SUM(D57:Q57)</f>
        <v>19265497</v>
      </c>
    </row>
    <row r="58" spans="1:18" ht="12.75">
      <c r="A58" s="15" t="s">
        <v>120</v>
      </c>
      <c r="B58" s="250">
        <f>SUM(D58:H58)</f>
        <v>338360</v>
      </c>
      <c r="C58" s="250">
        <f>SUM(I58:M58)</f>
        <v>164630</v>
      </c>
      <c r="D58" s="250"/>
      <c r="E58" s="250"/>
      <c r="F58" s="250"/>
      <c r="G58" s="250">
        <v>134622</v>
      </c>
      <c r="H58" s="250">
        <v>203738</v>
      </c>
      <c r="I58" s="250">
        <v>42480</v>
      </c>
      <c r="J58" s="250">
        <v>31536</v>
      </c>
      <c r="K58" s="250">
        <v>46637</v>
      </c>
      <c r="L58" s="250">
        <v>43977</v>
      </c>
      <c r="M58" s="316"/>
      <c r="N58" s="316"/>
      <c r="O58" s="316"/>
      <c r="P58" s="316"/>
      <c r="Q58" s="316"/>
      <c r="R58" s="250">
        <f>SUM(D58:Q58)</f>
        <v>502990</v>
      </c>
    </row>
    <row r="59" spans="1:18" ht="12.75">
      <c r="A59" s="16" t="s">
        <v>1</v>
      </c>
      <c r="B59" s="263">
        <f>SUM(D59:H59)</f>
        <v>10858893</v>
      </c>
      <c r="C59" s="263">
        <f>SUM(I59:M59)</f>
        <v>7403997</v>
      </c>
      <c r="D59" s="263">
        <v>464149</v>
      </c>
      <c r="E59" s="263">
        <v>2164648</v>
      </c>
      <c r="F59" s="263">
        <v>2944525</v>
      </c>
      <c r="G59" s="263">
        <f aca="true" t="shared" si="16" ref="G59:L59">SUM(G56:G58)</f>
        <v>3061799</v>
      </c>
      <c r="H59" s="263">
        <f t="shared" si="16"/>
        <v>2223772</v>
      </c>
      <c r="I59" s="263">
        <f t="shared" si="16"/>
        <v>1475649</v>
      </c>
      <c r="J59" s="263">
        <f t="shared" si="16"/>
        <v>1385437</v>
      </c>
      <c r="K59" s="263">
        <f t="shared" si="16"/>
        <v>1506452</v>
      </c>
      <c r="L59" s="263">
        <f t="shared" si="16"/>
        <v>1410736</v>
      </c>
      <c r="M59" s="263">
        <f>SUM(M56:M58)</f>
        <v>1625723</v>
      </c>
      <c r="N59" s="263">
        <f>SUM(N56:N58)</f>
        <v>1906697</v>
      </c>
      <c r="O59" s="254">
        <f>SUM(O56:O58)</f>
        <v>2495927</v>
      </c>
      <c r="P59" s="254">
        <f>SUM(P56:P58)</f>
        <v>1698093</v>
      </c>
      <c r="Q59" s="254">
        <f>SUM(Q56:Q58)</f>
        <v>3017722</v>
      </c>
      <c r="R59" s="263">
        <f>SUM(D59:Q59)</f>
        <v>27381329</v>
      </c>
    </row>
    <row r="60" spans="1:18" ht="12.75">
      <c r="A60" s="21"/>
      <c r="B60" s="44"/>
      <c r="C60" s="44"/>
      <c r="D60" s="44"/>
      <c r="E60" s="44"/>
      <c r="F60" s="44"/>
      <c r="G60" s="44"/>
      <c r="H60" s="44"/>
      <c r="I60" s="44"/>
      <c r="J60" s="44"/>
      <c r="K60" s="44"/>
      <c r="L60" s="44"/>
      <c r="M60" s="44"/>
      <c r="N60" s="44"/>
      <c r="O60" s="58"/>
      <c r="P60" s="58"/>
      <c r="Q60" s="58"/>
      <c r="R60" s="44"/>
    </row>
    <row r="61" spans="1:18" ht="12.75">
      <c r="A61" s="43" t="s">
        <v>412</v>
      </c>
      <c r="B61" s="44" t="s">
        <v>397</v>
      </c>
      <c r="C61" s="44" t="s">
        <v>397</v>
      </c>
      <c r="D61" s="44" t="s">
        <v>397</v>
      </c>
      <c r="E61" s="44" t="s">
        <v>397</v>
      </c>
      <c r="F61" s="44" t="s">
        <v>397</v>
      </c>
      <c r="G61" s="44" t="s">
        <v>397</v>
      </c>
      <c r="H61" s="44" t="s">
        <v>397</v>
      </c>
      <c r="I61" s="44" t="s">
        <v>397</v>
      </c>
      <c r="J61" s="44" t="s">
        <v>397</v>
      </c>
      <c r="K61" s="84" t="s">
        <v>397</v>
      </c>
      <c r="L61" s="84" t="s">
        <v>397</v>
      </c>
      <c r="M61" s="84" t="s">
        <v>397</v>
      </c>
      <c r="N61" s="84" t="s">
        <v>397</v>
      </c>
      <c r="O61" s="88" t="s">
        <v>397</v>
      </c>
      <c r="P61" s="88" t="s">
        <v>397</v>
      </c>
      <c r="Q61" s="88" t="s">
        <v>397</v>
      </c>
      <c r="R61" s="44" t="s">
        <v>397</v>
      </c>
    </row>
    <row r="62" spans="1:18" ht="12.75">
      <c r="A62" s="57" t="s">
        <v>118</v>
      </c>
      <c r="B62" s="250">
        <f>SUM(D62:H62)</f>
        <v>9928</v>
      </c>
      <c r="C62" s="250">
        <f>SUM(I62:M62)</f>
        <v>11906</v>
      </c>
      <c r="D62" s="250"/>
      <c r="E62" s="250"/>
      <c r="F62" s="250"/>
      <c r="G62" s="250">
        <v>6380</v>
      </c>
      <c r="H62" s="250">
        <v>3548</v>
      </c>
      <c r="I62" s="250">
        <v>3861</v>
      </c>
      <c r="J62" s="250">
        <v>1796</v>
      </c>
      <c r="K62" s="250">
        <v>1399</v>
      </c>
      <c r="L62" s="250">
        <v>2935</v>
      </c>
      <c r="M62" s="250">
        <v>1915</v>
      </c>
      <c r="N62" s="250">
        <v>4650</v>
      </c>
      <c r="O62" s="252">
        <v>1736</v>
      </c>
      <c r="P62" s="252">
        <v>678</v>
      </c>
      <c r="Q62" s="252">
        <v>1101</v>
      </c>
      <c r="R62" s="250">
        <f>SUM(D62:Q62)</f>
        <v>29999</v>
      </c>
    </row>
    <row r="63" spans="1:18" ht="12.75">
      <c r="A63" s="15" t="s">
        <v>119</v>
      </c>
      <c r="B63" s="250">
        <f>SUM(D63:H63)</f>
        <v>62229</v>
      </c>
      <c r="C63" s="250">
        <f>SUM(I63:M63)</f>
        <v>87176</v>
      </c>
      <c r="D63" s="250"/>
      <c r="E63" s="250"/>
      <c r="F63" s="250"/>
      <c r="G63" s="250">
        <v>33751</v>
      </c>
      <c r="H63" s="250">
        <v>28478</v>
      </c>
      <c r="I63" s="250">
        <v>21539</v>
      </c>
      <c r="J63" s="250">
        <v>15252</v>
      </c>
      <c r="K63" s="250">
        <v>14186</v>
      </c>
      <c r="L63" s="252">
        <v>15312</v>
      </c>
      <c r="M63" s="252">
        <v>20887</v>
      </c>
      <c r="N63" s="252">
        <v>69567</v>
      </c>
      <c r="O63" s="252">
        <v>28158</v>
      </c>
      <c r="P63" s="252">
        <v>20492</v>
      </c>
      <c r="Q63" s="252">
        <v>30191</v>
      </c>
      <c r="R63" s="250">
        <f>SUM(D63:Q63)</f>
        <v>297813</v>
      </c>
    </row>
    <row r="64" spans="1:18" ht="12.75">
      <c r="A64" s="15" t="s">
        <v>120</v>
      </c>
      <c r="B64" s="250">
        <f>SUM(D64:H64)</f>
        <v>7555</v>
      </c>
      <c r="C64" s="250">
        <f>SUM(I64:M64)</f>
        <v>2742</v>
      </c>
      <c r="D64" s="250"/>
      <c r="E64" s="250"/>
      <c r="F64" s="250"/>
      <c r="G64" s="250">
        <v>3199</v>
      </c>
      <c r="H64" s="250">
        <v>4356</v>
      </c>
      <c r="I64" s="250">
        <v>901</v>
      </c>
      <c r="J64" s="250">
        <v>454</v>
      </c>
      <c r="K64" s="250">
        <v>853</v>
      </c>
      <c r="L64" s="250">
        <v>534</v>
      </c>
      <c r="M64" s="316"/>
      <c r="N64" s="316"/>
      <c r="O64" s="316"/>
      <c r="P64" s="316"/>
      <c r="Q64" s="316"/>
      <c r="R64" s="250">
        <f>SUM(D64:Q64)</f>
        <v>10297</v>
      </c>
    </row>
    <row r="65" spans="1:18" ht="12.75">
      <c r="A65" s="393" t="s">
        <v>1</v>
      </c>
      <c r="B65" s="263">
        <f>SUM(D65:H65)</f>
        <v>151121</v>
      </c>
      <c r="C65" s="263">
        <f>SUM(I65:M65)</f>
        <v>101824</v>
      </c>
      <c r="D65" s="263">
        <v>6364</v>
      </c>
      <c r="E65" s="263">
        <v>26750</v>
      </c>
      <c r="F65" s="263">
        <v>38155</v>
      </c>
      <c r="G65" s="263">
        <f>SUM(G62:G64)+140</f>
        <v>43470</v>
      </c>
      <c r="H65" s="263">
        <f aca="true" t="shared" si="17" ref="H65:N65">SUM(H62:H64)</f>
        <v>36382</v>
      </c>
      <c r="I65" s="263">
        <f t="shared" si="17"/>
        <v>26301</v>
      </c>
      <c r="J65" s="263">
        <f t="shared" si="17"/>
        <v>17502</v>
      </c>
      <c r="K65" s="263">
        <f t="shared" si="17"/>
        <v>16438</v>
      </c>
      <c r="L65" s="263">
        <f t="shared" si="17"/>
        <v>18781</v>
      </c>
      <c r="M65" s="263">
        <f t="shared" si="17"/>
        <v>22802</v>
      </c>
      <c r="N65" s="263">
        <f t="shared" si="17"/>
        <v>74217</v>
      </c>
      <c r="O65" s="254">
        <f>SUM(O62:O64)</f>
        <v>29894</v>
      </c>
      <c r="P65" s="254">
        <f>SUM(P62:P64)</f>
        <v>21170</v>
      </c>
      <c r="Q65" s="254">
        <f>SUM(Q62:Q64)</f>
        <v>31292</v>
      </c>
      <c r="R65" s="263">
        <f>SUM(D65:Q65)</f>
        <v>409518</v>
      </c>
    </row>
    <row r="66" spans="1:18" ht="12.75">
      <c r="A66" s="21"/>
      <c r="B66" s="44"/>
      <c r="C66" s="44"/>
      <c r="D66" s="44"/>
      <c r="E66" s="44"/>
      <c r="F66" s="44"/>
      <c r="G66" s="44"/>
      <c r="H66" s="44"/>
      <c r="I66" s="44"/>
      <c r="J66" s="44"/>
      <c r="K66" s="44"/>
      <c r="L66" s="44"/>
      <c r="M66" s="44"/>
      <c r="N66" s="44"/>
      <c r="O66" s="58"/>
      <c r="P66" s="58"/>
      <c r="Q66" s="58"/>
      <c r="R66" s="44"/>
    </row>
    <row r="67" spans="1:18" ht="12.75">
      <c r="A67" s="43" t="s">
        <v>409</v>
      </c>
      <c r="B67" s="44" t="s">
        <v>11</v>
      </c>
      <c r="C67" s="44" t="s">
        <v>11</v>
      </c>
      <c r="D67" s="44" t="s">
        <v>11</v>
      </c>
      <c r="E67" s="44" t="s">
        <v>11</v>
      </c>
      <c r="F67" s="44" t="s">
        <v>11</v>
      </c>
      <c r="G67" s="44" t="s">
        <v>11</v>
      </c>
      <c r="H67" s="44" t="s">
        <v>11</v>
      </c>
      <c r="I67" s="44" t="s">
        <v>11</v>
      </c>
      <c r="J67" s="44" t="s">
        <v>11</v>
      </c>
      <c r="K67" s="84" t="s">
        <v>11</v>
      </c>
      <c r="L67" s="84" t="s">
        <v>11</v>
      </c>
      <c r="M67" s="84" t="s">
        <v>11</v>
      </c>
      <c r="N67" s="84" t="s">
        <v>11</v>
      </c>
      <c r="O67" s="88" t="s">
        <v>11</v>
      </c>
      <c r="P67" s="88" t="s">
        <v>11</v>
      </c>
      <c r="Q67" s="88" t="s">
        <v>11</v>
      </c>
      <c r="R67" s="44" t="s">
        <v>11</v>
      </c>
    </row>
    <row r="68" spans="1:18" ht="12.75">
      <c r="A68" s="57" t="s">
        <v>118</v>
      </c>
      <c r="B68" s="250">
        <f>SUM(D68:H68)</f>
        <v>16911</v>
      </c>
      <c r="C68" s="250">
        <f>SUM(I68:M68)</f>
        <v>133835</v>
      </c>
      <c r="D68" s="250"/>
      <c r="E68" s="250"/>
      <c r="F68" s="250"/>
      <c r="G68" s="250">
        <v>4576</v>
      </c>
      <c r="H68" s="250">
        <v>12335</v>
      </c>
      <c r="I68" s="250">
        <v>2855</v>
      </c>
      <c r="J68" s="250">
        <v>6303</v>
      </c>
      <c r="K68" s="250">
        <v>18311</v>
      </c>
      <c r="L68" s="252">
        <v>1368</v>
      </c>
      <c r="M68" s="252">
        <v>104998</v>
      </c>
      <c r="N68" s="252">
        <v>4361</v>
      </c>
      <c r="O68" s="252">
        <v>3407</v>
      </c>
      <c r="P68" s="252">
        <v>19</v>
      </c>
      <c r="Q68" s="252">
        <v>4705</v>
      </c>
      <c r="R68" s="250">
        <f>SUM(D68:Q68)</f>
        <v>163238</v>
      </c>
    </row>
    <row r="69" spans="1:18" ht="12.75">
      <c r="A69" s="15" t="s">
        <v>119</v>
      </c>
      <c r="B69" s="250">
        <f>SUM(D69:H69)</f>
        <v>216052</v>
      </c>
      <c r="C69" s="250">
        <f>SUM(I69:M69)</f>
        <v>432990</v>
      </c>
      <c r="D69" s="250"/>
      <c r="E69" s="250"/>
      <c r="F69" s="250"/>
      <c r="G69" s="250">
        <v>40439</v>
      </c>
      <c r="H69" s="250">
        <v>175613</v>
      </c>
      <c r="I69" s="250">
        <v>171062</v>
      </c>
      <c r="J69" s="250">
        <v>32282</v>
      </c>
      <c r="K69" s="250">
        <v>38647</v>
      </c>
      <c r="L69" s="252">
        <v>42012</v>
      </c>
      <c r="M69" s="252">
        <v>148987</v>
      </c>
      <c r="N69" s="252">
        <v>56381</v>
      </c>
      <c r="O69" s="252">
        <v>138155</v>
      </c>
      <c r="P69" s="252">
        <v>30487</v>
      </c>
      <c r="Q69" s="252">
        <v>102563</v>
      </c>
      <c r="R69" s="250">
        <f>SUM(D69:Q69)</f>
        <v>976628</v>
      </c>
    </row>
    <row r="70" spans="1:18" ht="12.75">
      <c r="A70" s="15" t="s">
        <v>120</v>
      </c>
      <c r="B70" s="250">
        <f>SUM(D70:H70)</f>
        <v>11682</v>
      </c>
      <c r="C70" s="250">
        <f>SUM(I70:M70)</f>
        <v>46669</v>
      </c>
      <c r="D70" s="250"/>
      <c r="E70" s="250"/>
      <c r="F70" s="250"/>
      <c r="G70" s="250">
        <v>9629</v>
      </c>
      <c r="H70" s="250">
        <v>2053</v>
      </c>
      <c r="I70" s="250">
        <v>27913</v>
      </c>
      <c r="J70" s="250">
        <v>2228</v>
      </c>
      <c r="K70" s="250">
        <v>6396</v>
      </c>
      <c r="L70" s="252">
        <v>10132</v>
      </c>
      <c r="M70" s="316"/>
      <c r="N70" s="316"/>
      <c r="O70" s="316"/>
      <c r="P70" s="316"/>
      <c r="Q70" s="316"/>
      <c r="R70" s="250">
        <f>SUM(D70:Q70)</f>
        <v>58351</v>
      </c>
    </row>
    <row r="71" spans="1:18" ht="12.75">
      <c r="A71" s="16" t="s">
        <v>1</v>
      </c>
      <c r="B71" s="254">
        <f>SUM(D71:H71)</f>
        <v>400256</v>
      </c>
      <c r="C71" s="254">
        <f>SUM(I71:M71)</f>
        <v>613494</v>
      </c>
      <c r="D71" s="263">
        <v>33802</v>
      </c>
      <c r="E71" s="263">
        <v>33504</v>
      </c>
      <c r="F71" s="263">
        <v>88305</v>
      </c>
      <c r="G71" s="263">
        <f>SUM(G68:G70)</f>
        <v>54644</v>
      </c>
      <c r="H71" s="254">
        <v>190001</v>
      </c>
      <c r="I71" s="254">
        <f aca="true" t="shared" si="18" ref="I71:N71">SUM(I68:I70)</f>
        <v>201830</v>
      </c>
      <c r="J71" s="254">
        <f t="shared" si="18"/>
        <v>40813</v>
      </c>
      <c r="K71" s="254">
        <f t="shared" si="18"/>
        <v>63354</v>
      </c>
      <c r="L71" s="254">
        <f t="shared" si="18"/>
        <v>53512</v>
      </c>
      <c r="M71" s="254">
        <f t="shared" si="18"/>
        <v>253985</v>
      </c>
      <c r="N71" s="254">
        <f t="shared" si="18"/>
        <v>60742</v>
      </c>
      <c r="O71" s="254">
        <f>SUM(O68:O70)</f>
        <v>141562</v>
      </c>
      <c r="P71" s="254">
        <f>SUM(P68:P70)</f>
        <v>30506</v>
      </c>
      <c r="Q71" s="254">
        <f>SUM(Q68:Q70)</f>
        <v>107268</v>
      </c>
      <c r="R71" s="263">
        <f>SUM(D71:Q71)</f>
        <v>1353828</v>
      </c>
    </row>
    <row r="72" spans="1:18" ht="12.75">
      <c r="A72" s="21"/>
      <c r="B72" s="58"/>
      <c r="C72" s="58"/>
      <c r="D72" s="44"/>
      <c r="E72" s="44"/>
      <c r="F72" s="44"/>
      <c r="G72" s="44"/>
      <c r="H72" s="58"/>
      <c r="I72" s="58"/>
      <c r="J72" s="58"/>
      <c r="K72" s="58"/>
      <c r="L72" s="58"/>
      <c r="M72" s="58"/>
      <c r="N72" s="58"/>
      <c r="O72" s="58"/>
      <c r="P72" s="58"/>
      <c r="Q72" s="58"/>
      <c r="R72" s="44"/>
    </row>
    <row r="73" spans="1:18" ht="12.75">
      <c r="A73" s="43" t="s">
        <v>410</v>
      </c>
      <c r="B73" s="44" t="s">
        <v>11</v>
      </c>
      <c r="C73" s="44" t="s">
        <v>11</v>
      </c>
      <c r="D73" s="44" t="s">
        <v>11</v>
      </c>
      <c r="E73" s="44" t="s">
        <v>11</v>
      </c>
      <c r="F73" s="44" t="s">
        <v>11</v>
      </c>
      <c r="G73" s="44" t="s">
        <v>11</v>
      </c>
      <c r="H73" s="44" t="s">
        <v>11</v>
      </c>
      <c r="I73" s="44" t="s">
        <v>11</v>
      </c>
      <c r="J73" s="44" t="s">
        <v>11</v>
      </c>
      <c r="K73" s="84" t="s">
        <v>11</v>
      </c>
      <c r="L73" s="84" t="s">
        <v>11</v>
      </c>
      <c r="M73" s="84" t="s">
        <v>11</v>
      </c>
      <c r="N73" s="84" t="s">
        <v>11</v>
      </c>
      <c r="O73" s="84" t="s">
        <v>11</v>
      </c>
      <c r="P73" s="84" t="s">
        <v>11</v>
      </c>
      <c r="Q73" s="84" t="s">
        <v>11</v>
      </c>
      <c r="R73" s="44" t="s">
        <v>11</v>
      </c>
    </row>
    <row r="74" spans="1:18" ht="12.75">
      <c r="A74" s="57" t="s">
        <v>118</v>
      </c>
      <c r="B74" s="252">
        <f>SUM(D74:H74)</f>
        <v>310993</v>
      </c>
      <c r="C74" s="252">
        <f>SUM(I74:M74)</f>
        <v>2279693</v>
      </c>
      <c r="D74" s="250"/>
      <c r="E74" s="250"/>
      <c r="F74" s="250"/>
      <c r="G74" s="250">
        <v>68637</v>
      </c>
      <c r="H74" s="252">
        <v>242356</v>
      </c>
      <c r="I74" s="252">
        <v>44603</v>
      </c>
      <c r="J74" s="252">
        <v>99355</v>
      </c>
      <c r="K74" s="252">
        <v>230222</v>
      </c>
      <c r="L74" s="252">
        <v>13529</v>
      </c>
      <c r="M74" s="252">
        <v>1891984</v>
      </c>
      <c r="N74" s="252">
        <v>67666</v>
      </c>
      <c r="O74" s="252">
        <v>68120</v>
      </c>
      <c r="P74" s="252">
        <v>347</v>
      </c>
      <c r="Q74" s="252">
        <v>72614</v>
      </c>
      <c r="R74" s="250">
        <f>SUM(D74:Q74)</f>
        <v>2799433</v>
      </c>
    </row>
    <row r="75" spans="1:18" ht="12.75">
      <c r="A75" s="15" t="s">
        <v>119</v>
      </c>
      <c r="B75" s="252">
        <f>SUM(D75:H75)</f>
        <v>3768859</v>
      </c>
      <c r="C75" s="252">
        <f>SUM(I75:M75)</f>
        <v>7244697</v>
      </c>
      <c r="D75" s="250"/>
      <c r="E75" s="250"/>
      <c r="F75" s="250"/>
      <c r="G75" s="250">
        <v>606584</v>
      </c>
      <c r="H75" s="252">
        <v>3162275</v>
      </c>
      <c r="I75" s="252">
        <v>2681281</v>
      </c>
      <c r="J75" s="252">
        <v>535493</v>
      </c>
      <c r="K75" s="252">
        <v>675862</v>
      </c>
      <c r="L75" s="252">
        <v>628140</v>
      </c>
      <c r="M75" s="252">
        <v>2723921</v>
      </c>
      <c r="N75" s="252">
        <v>1026019</v>
      </c>
      <c r="O75" s="252">
        <v>2541686</v>
      </c>
      <c r="P75" s="252">
        <v>578990</v>
      </c>
      <c r="Q75" s="252">
        <v>1994045</v>
      </c>
      <c r="R75" s="250">
        <f>SUM(D75:Q75)</f>
        <v>17154296</v>
      </c>
    </row>
    <row r="76" spans="1:18" ht="12.75">
      <c r="A76" s="15" t="s">
        <v>120</v>
      </c>
      <c r="B76" s="252">
        <f>SUM(D76:H76)</f>
        <v>176049</v>
      </c>
      <c r="C76" s="252">
        <f>SUM(I76:M76)</f>
        <v>768217</v>
      </c>
      <c r="D76" s="250"/>
      <c r="E76" s="250"/>
      <c r="F76" s="250"/>
      <c r="G76" s="250">
        <v>144434</v>
      </c>
      <c r="H76" s="252">
        <v>31615</v>
      </c>
      <c r="I76" s="252">
        <v>419977</v>
      </c>
      <c r="J76" s="252">
        <v>44563</v>
      </c>
      <c r="K76" s="252">
        <v>127836</v>
      </c>
      <c r="L76" s="252">
        <v>175841</v>
      </c>
      <c r="M76" s="316"/>
      <c r="N76" s="316"/>
      <c r="O76" s="316"/>
      <c r="P76" s="316"/>
      <c r="Q76" s="316"/>
      <c r="R76" s="250">
        <f>SUM(D76:Q76)</f>
        <v>944266</v>
      </c>
    </row>
    <row r="77" spans="1:18" ht="12.75">
      <c r="A77" s="16" t="s">
        <v>1</v>
      </c>
      <c r="B77" s="254">
        <f>SUM(D77:H77)</f>
        <v>6885363</v>
      </c>
      <c r="C77" s="254">
        <f>SUM(I77:M77)</f>
        <v>10292607</v>
      </c>
      <c r="D77" s="263">
        <v>616099</v>
      </c>
      <c r="E77" s="263">
        <v>502563</v>
      </c>
      <c r="F77" s="263">
        <v>1510800</v>
      </c>
      <c r="G77" s="263">
        <f>SUM(G74:G76)</f>
        <v>819655</v>
      </c>
      <c r="H77" s="254">
        <v>3436246</v>
      </c>
      <c r="I77" s="254">
        <f aca="true" t="shared" si="19" ref="I77:N77">SUM(I74:I76)</f>
        <v>3145861</v>
      </c>
      <c r="J77" s="254">
        <f t="shared" si="19"/>
        <v>679411</v>
      </c>
      <c r="K77" s="254">
        <f t="shared" si="19"/>
        <v>1033920</v>
      </c>
      <c r="L77" s="254">
        <f t="shared" si="19"/>
        <v>817510</v>
      </c>
      <c r="M77" s="254">
        <f t="shared" si="19"/>
        <v>4615905</v>
      </c>
      <c r="N77" s="254">
        <f t="shared" si="19"/>
        <v>1093685</v>
      </c>
      <c r="O77" s="254">
        <f>SUM(O74:O76)</f>
        <v>2609806</v>
      </c>
      <c r="P77" s="254">
        <f>SUM(P74:P76)</f>
        <v>579337</v>
      </c>
      <c r="Q77" s="254">
        <f>SUM(Q74:Q76)</f>
        <v>2066659</v>
      </c>
      <c r="R77" s="263">
        <f>SUM(D77:Q77)</f>
        <v>23527457</v>
      </c>
    </row>
    <row r="78" spans="1:18" ht="12.75">
      <c r="A78" s="2" t="str">
        <f>A44</f>
        <v>* These columns/years have been hidden in this worksheet for viewing &amp; printing purposes</v>
      </c>
      <c r="B78" s="6"/>
      <c r="C78" s="6"/>
      <c r="D78" s="44"/>
      <c r="E78" s="44"/>
      <c r="F78" s="44"/>
      <c r="G78" s="44"/>
      <c r="H78" s="44"/>
      <c r="I78" s="44"/>
      <c r="J78" s="44"/>
      <c r="K78" s="44"/>
      <c r="L78" s="44"/>
      <c r="M78" s="44"/>
      <c r="N78" s="44"/>
      <c r="O78" s="44"/>
      <c r="P78" s="44"/>
      <c r="Q78" s="44"/>
      <c r="R78" s="44"/>
    </row>
    <row r="79" spans="1:18" ht="12.75">
      <c r="A79" s="2"/>
      <c r="B79" s="6"/>
      <c r="C79" s="6"/>
      <c r="D79" s="44"/>
      <c r="E79" s="44"/>
      <c r="F79" s="44"/>
      <c r="G79" s="44"/>
      <c r="H79" s="44"/>
      <c r="I79" s="44"/>
      <c r="J79" s="44"/>
      <c r="K79" s="44"/>
      <c r="L79" s="44"/>
      <c r="M79" s="44"/>
      <c r="N79" s="44"/>
      <c r="O79" s="44"/>
      <c r="P79" s="44"/>
      <c r="Q79" s="44"/>
      <c r="R79" s="44"/>
    </row>
    <row r="80" spans="1:18" ht="15.75">
      <c r="A80" s="428" t="s">
        <v>19</v>
      </c>
      <c r="B80" s="200"/>
      <c r="C80" s="200"/>
      <c r="D80" s="115"/>
      <c r="E80" s="115"/>
      <c r="F80" s="115"/>
      <c r="G80" s="115"/>
      <c r="H80" s="115"/>
      <c r="I80" s="115"/>
      <c r="J80" s="115"/>
      <c r="K80" s="115"/>
      <c r="L80" s="115"/>
      <c r="M80" s="115"/>
      <c r="N80" s="115"/>
      <c r="O80" s="115"/>
      <c r="P80" s="115"/>
      <c r="Q80" s="115"/>
      <c r="R80" s="115"/>
    </row>
    <row r="81" spans="1:21" ht="25.5">
      <c r="A81" s="43" t="s">
        <v>6</v>
      </c>
      <c r="B81" s="196" t="str">
        <f>B4</f>
        <v>Summary 
2001 to 2005*</v>
      </c>
      <c r="C81" s="196" t="str">
        <f>C4</f>
        <v>Summary 
2006 to 2010*</v>
      </c>
      <c r="D81" s="28">
        <f>D4</f>
        <v>2001</v>
      </c>
      <c r="E81" s="28">
        <f aca="true" t="shared" si="20" ref="E81:O81">E4</f>
        <v>2002</v>
      </c>
      <c r="F81" s="28">
        <f t="shared" si="20"/>
        <v>2003</v>
      </c>
      <c r="G81" s="28">
        <f t="shared" si="20"/>
        <v>2004</v>
      </c>
      <c r="H81" s="28">
        <f t="shared" si="20"/>
        <v>2005</v>
      </c>
      <c r="I81" s="28">
        <f t="shared" si="20"/>
        <v>2006</v>
      </c>
      <c r="J81" s="28">
        <f t="shared" si="20"/>
        <v>2007</v>
      </c>
      <c r="K81" s="28">
        <f t="shared" si="20"/>
        <v>2008</v>
      </c>
      <c r="L81" s="28">
        <f t="shared" si="20"/>
        <v>2009</v>
      </c>
      <c r="M81" s="28">
        <f t="shared" si="20"/>
        <v>2010</v>
      </c>
      <c r="N81" s="28">
        <f t="shared" si="20"/>
        <v>2011</v>
      </c>
      <c r="O81" s="196" t="str">
        <f t="shared" si="20"/>
        <v>(18 month)
2012-2013</v>
      </c>
      <c r="P81" s="196" t="str">
        <f>P4</f>
        <v>FY2014</v>
      </c>
      <c r="Q81" s="196" t="str">
        <f>Q4</f>
        <v>FY2015</v>
      </c>
      <c r="R81" s="40"/>
      <c r="S81" s="3"/>
      <c r="T81" s="3"/>
      <c r="U81" s="3"/>
    </row>
    <row r="82" spans="1:21" ht="12.75">
      <c r="A82" s="43" t="s">
        <v>407</v>
      </c>
      <c r="B82" s="40" t="s">
        <v>8</v>
      </c>
      <c r="C82" s="40" t="s">
        <v>8</v>
      </c>
      <c r="D82" s="40" t="s">
        <v>8</v>
      </c>
      <c r="E82" s="40" t="s">
        <v>8</v>
      </c>
      <c r="F82" s="40" t="s">
        <v>8</v>
      </c>
      <c r="G82" s="40" t="s">
        <v>8</v>
      </c>
      <c r="H82" s="40" t="s">
        <v>24</v>
      </c>
      <c r="I82" s="40" t="s">
        <v>24</v>
      </c>
      <c r="J82" s="40" t="s">
        <v>8</v>
      </c>
      <c r="K82" s="45" t="s">
        <v>8</v>
      </c>
      <c r="L82" s="45" t="s">
        <v>8</v>
      </c>
      <c r="M82" s="45" t="s">
        <v>8</v>
      </c>
      <c r="N82" s="45" t="s">
        <v>8</v>
      </c>
      <c r="O82" s="45" t="s">
        <v>8</v>
      </c>
      <c r="P82" s="45" t="s">
        <v>8</v>
      </c>
      <c r="Q82" s="45" t="s">
        <v>8</v>
      </c>
      <c r="R82" s="40"/>
      <c r="S82" s="3"/>
      <c r="T82" s="3"/>
      <c r="U82" s="3"/>
    </row>
    <row r="83" spans="1:21" ht="12.75">
      <c r="A83" s="57" t="s">
        <v>118</v>
      </c>
      <c r="B83" s="250">
        <f>SUM(D83:H83)</f>
        <v>34081</v>
      </c>
      <c r="C83" s="250">
        <f>SUM(I83:M83)</f>
        <v>65790</v>
      </c>
      <c r="D83" s="250"/>
      <c r="E83" s="250"/>
      <c r="F83" s="250"/>
      <c r="G83" s="250">
        <v>13099</v>
      </c>
      <c r="H83" s="250">
        <v>20982</v>
      </c>
      <c r="I83" s="250">
        <v>11603</v>
      </c>
      <c r="J83" s="250">
        <v>14759</v>
      </c>
      <c r="K83" s="250">
        <v>8440</v>
      </c>
      <c r="L83" s="250">
        <v>13000</v>
      </c>
      <c r="M83" s="250">
        <v>17988</v>
      </c>
      <c r="N83" s="250">
        <v>19178</v>
      </c>
      <c r="O83" s="252">
        <v>3082</v>
      </c>
      <c r="P83" s="252">
        <v>8510</v>
      </c>
      <c r="Q83" s="252">
        <v>6528</v>
      </c>
      <c r="R83" s="40"/>
      <c r="S83" s="3"/>
      <c r="T83" s="3"/>
      <c r="U83" s="3"/>
    </row>
    <row r="84" spans="1:21" ht="12.75">
      <c r="A84" s="15" t="s">
        <v>119</v>
      </c>
      <c r="B84" s="250">
        <f>SUM(D84:H84)</f>
        <v>158451</v>
      </c>
      <c r="C84" s="250">
        <f>SUM(I84:M84)</f>
        <v>413661</v>
      </c>
      <c r="D84" s="250"/>
      <c r="E84" s="250"/>
      <c r="F84" s="250"/>
      <c r="G84" s="250">
        <v>93010</v>
      </c>
      <c r="H84" s="250">
        <v>65441</v>
      </c>
      <c r="I84" s="250">
        <v>31020</v>
      </c>
      <c r="J84" s="250">
        <v>153001</v>
      </c>
      <c r="K84" s="250">
        <v>46312</v>
      </c>
      <c r="L84" s="250">
        <v>102876</v>
      </c>
      <c r="M84" s="250">
        <v>80452</v>
      </c>
      <c r="N84" s="250">
        <v>124518</v>
      </c>
      <c r="O84" s="252">
        <v>127375</v>
      </c>
      <c r="P84" s="252">
        <v>158740</v>
      </c>
      <c r="Q84" s="252">
        <v>169434</v>
      </c>
      <c r="R84" s="40"/>
      <c r="S84" s="3"/>
      <c r="T84" s="3"/>
      <c r="U84" s="3"/>
    </row>
    <row r="85" spans="1:21" ht="12.75">
      <c r="A85" s="15" t="s">
        <v>120</v>
      </c>
      <c r="B85" s="250">
        <f>SUM(D85:H85)</f>
        <v>15741</v>
      </c>
      <c r="C85" s="250">
        <f>SUM(I85:M85)</f>
        <v>17324</v>
      </c>
      <c r="D85" s="250"/>
      <c r="E85" s="250"/>
      <c r="F85" s="250"/>
      <c r="G85" s="250">
        <v>6074</v>
      </c>
      <c r="H85" s="250">
        <v>9667</v>
      </c>
      <c r="I85" s="250">
        <v>3116</v>
      </c>
      <c r="J85" s="250">
        <v>3825</v>
      </c>
      <c r="K85" s="250">
        <v>4523</v>
      </c>
      <c r="L85" s="250">
        <v>5860</v>
      </c>
      <c r="M85" s="316"/>
      <c r="N85" s="316"/>
      <c r="O85" s="316"/>
      <c r="P85" s="316"/>
      <c r="Q85" s="316"/>
      <c r="R85" s="40"/>
      <c r="S85" s="3"/>
      <c r="T85" s="3"/>
      <c r="U85" s="3"/>
    </row>
    <row r="86" spans="1:21" ht="12.75">
      <c r="A86" s="15" t="s">
        <v>121</v>
      </c>
      <c r="B86" s="250">
        <f>SUM(D86:H86)</f>
        <v>0</v>
      </c>
      <c r="C86" s="250">
        <f>SUM(I86:M86)</f>
        <v>354</v>
      </c>
      <c r="D86" s="250"/>
      <c r="E86" s="250"/>
      <c r="F86" s="250"/>
      <c r="G86" s="250"/>
      <c r="H86" s="250"/>
      <c r="I86" s="250"/>
      <c r="J86" s="250"/>
      <c r="K86" s="250"/>
      <c r="L86" s="250">
        <v>354</v>
      </c>
      <c r="M86" s="250"/>
      <c r="N86" s="250"/>
      <c r="O86" s="250"/>
      <c r="P86" s="250"/>
      <c r="Q86" s="250"/>
      <c r="R86" s="40"/>
      <c r="S86" s="3"/>
      <c r="T86" s="3"/>
      <c r="U86" s="3"/>
    </row>
    <row r="87" spans="1:18" ht="12.75">
      <c r="A87" s="16" t="s">
        <v>1</v>
      </c>
      <c r="B87" s="263">
        <f>SUM(D87:H87)</f>
        <v>484514</v>
      </c>
      <c r="C87" s="263">
        <f>SUM(I87:M87)</f>
        <v>497129</v>
      </c>
      <c r="D87" s="263">
        <v>62505</v>
      </c>
      <c r="E87" s="263">
        <v>51226</v>
      </c>
      <c r="F87" s="263">
        <v>162510</v>
      </c>
      <c r="G87" s="263">
        <f>SUM(G83:G85)</f>
        <v>112183</v>
      </c>
      <c r="H87" s="263">
        <f>SUM(H83:H85)</f>
        <v>96090</v>
      </c>
      <c r="I87" s="263">
        <f>SUM(I83:I85)</f>
        <v>45739</v>
      </c>
      <c r="J87" s="263">
        <f>SUM(J83:J85)</f>
        <v>171585</v>
      </c>
      <c r="K87" s="263">
        <f>SUM(K83:K85)</f>
        <v>59275</v>
      </c>
      <c r="L87" s="263">
        <f aca="true" t="shared" si="21" ref="L87:Q87">SUM(L83:L86)</f>
        <v>122090</v>
      </c>
      <c r="M87" s="263">
        <f t="shared" si="21"/>
        <v>98440</v>
      </c>
      <c r="N87" s="263">
        <f t="shared" si="21"/>
        <v>143696</v>
      </c>
      <c r="O87" s="263">
        <f t="shared" si="21"/>
        <v>130457</v>
      </c>
      <c r="P87" s="263">
        <f t="shared" si="21"/>
        <v>167250</v>
      </c>
      <c r="Q87" s="263">
        <f t="shared" si="21"/>
        <v>175962</v>
      </c>
      <c r="R87" s="44"/>
    </row>
    <row r="88" spans="1:18" ht="12.75">
      <c r="A88" s="21"/>
      <c r="B88" s="44"/>
      <c r="C88" s="44"/>
      <c r="D88" s="44"/>
      <c r="E88" s="44"/>
      <c r="F88" s="44"/>
      <c r="G88" s="44"/>
      <c r="H88" s="44"/>
      <c r="I88" s="44"/>
      <c r="J88" s="44"/>
      <c r="K88" s="44"/>
      <c r="L88" s="44"/>
      <c r="M88" s="44"/>
      <c r="N88" s="44"/>
      <c r="O88" s="44"/>
      <c r="P88" s="44"/>
      <c r="Q88" s="44"/>
      <c r="R88" s="44"/>
    </row>
    <row r="89" spans="1:18" ht="12.75">
      <c r="A89" s="43" t="s">
        <v>408</v>
      </c>
      <c r="B89" s="40" t="s">
        <v>8</v>
      </c>
      <c r="C89" s="40" t="s">
        <v>8</v>
      </c>
      <c r="D89" s="40" t="s">
        <v>8</v>
      </c>
      <c r="E89" s="40" t="s">
        <v>8</v>
      </c>
      <c r="F89" s="40" t="s">
        <v>8</v>
      </c>
      <c r="G89" s="40" t="s">
        <v>8</v>
      </c>
      <c r="H89" s="40" t="s">
        <v>8</v>
      </c>
      <c r="I89" s="40" t="s">
        <v>8</v>
      </c>
      <c r="J89" s="40" t="s">
        <v>8</v>
      </c>
      <c r="K89" s="45" t="s">
        <v>8</v>
      </c>
      <c r="L89" s="45" t="s">
        <v>8</v>
      </c>
      <c r="M89" s="45" t="s">
        <v>8</v>
      </c>
      <c r="N89" s="45" t="s">
        <v>8</v>
      </c>
      <c r="O89" s="87" t="s">
        <v>8</v>
      </c>
      <c r="P89" s="87" t="s">
        <v>8</v>
      </c>
      <c r="Q89" s="87" t="s">
        <v>8</v>
      </c>
      <c r="R89" s="40"/>
    </row>
    <row r="90" spans="1:18" ht="12.75">
      <c r="A90" s="57" t="s">
        <v>118</v>
      </c>
      <c r="B90" s="250">
        <f>SUM(D90:H90)</f>
        <v>314730</v>
      </c>
      <c r="C90" s="250">
        <f>SUM(I90:M90)</f>
        <v>982889</v>
      </c>
      <c r="D90" s="250"/>
      <c r="E90" s="250"/>
      <c r="F90" s="250"/>
      <c r="G90" s="250"/>
      <c r="H90" s="250">
        <v>314730</v>
      </c>
      <c r="I90" s="250">
        <v>173295</v>
      </c>
      <c r="J90" s="250">
        <v>218561</v>
      </c>
      <c r="K90" s="250">
        <v>117747</v>
      </c>
      <c r="L90" s="250">
        <v>201659</v>
      </c>
      <c r="M90" s="250">
        <v>271627</v>
      </c>
      <c r="N90" s="250">
        <v>288849</v>
      </c>
      <c r="O90" s="252">
        <v>46239</v>
      </c>
      <c r="P90" s="252">
        <v>132229</v>
      </c>
      <c r="Q90" s="252">
        <v>99254</v>
      </c>
      <c r="R90" s="44"/>
    </row>
    <row r="91" spans="1:18" ht="12.75">
      <c r="A91" s="15" t="s">
        <v>119</v>
      </c>
      <c r="B91" s="250">
        <f>SUM(D91:H91)</f>
        <v>981618</v>
      </c>
      <c r="C91" s="250">
        <f>SUM(I91:M91)</f>
        <v>6202258</v>
      </c>
      <c r="D91" s="250"/>
      <c r="E91" s="250"/>
      <c r="F91" s="250"/>
      <c r="G91" s="250"/>
      <c r="H91" s="250">
        <v>981618</v>
      </c>
      <c r="I91" s="250">
        <v>454080</v>
      </c>
      <c r="J91" s="250">
        <v>2287261</v>
      </c>
      <c r="K91" s="250">
        <v>717163</v>
      </c>
      <c r="L91" s="250">
        <v>1496091</v>
      </c>
      <c r="M91" s="250">
        <v>1247663</v>
      </c>
      <c r="N91" s="250">
        <v>1971230</v>
      </c>
      <c r="O91" s="252">
        <v>1934753</v>
      </c>
      <c r="P91" s="252">
        <v>2692548</v>
      </c>
      <c r="Q91" s="252">
        <v>2505007</v>
      </c>
      <c r="R91" s="44"/>
    </row>
    <row r="92" spans="1:18" ht="12.75">
      <c r="A92" s="15" t="s">
        <v>120</v>
      </c>
      <c r="B92" s="250">
        <f>SUM(D92:H92)</f>
        <v>145005</v>
      </c>
      <c r="C92" s="250">
        <f>SUM(I92:M92)</f>
        <v>210321</v>
      </c>
      <c r="D92" s="250"/>
      <c r="E92" s="250"/>
      <c r="F92" s="250"/>
      <c r="G92" s="250"/>
      <c r="H92" s="250">
        <v>145005</v>
      </c>
      <c r="I92" s="250">
        <v>46740</v>
      </c>
      <c r="J92" s="250">
        <v>57725</v>
      </c>
      <c r="K92" s="250">
        <v>42284</v>
      </c>
      <c r="L92" s="250">
        <v>63572</v>
      </c>
      <c r="M92" s="316"/>
      <c r="N92" s="316"/>
      <c r="O92" s="316"/>
      <c r="P92" s="316"/>
      <c r="Q92" s="316"/>
      <c r="R92" s="44"/>
    </row>
    <row r="93" spans="1:18" ht="12.75">
      <c r="A93" s="16" t="s">
        <v>1</v>
      </c>
      <c r="B93" s="263">
        <f>SUM(D93:H93)</f>
        <v>7357979</v>
      </c>
      <c r="C93" s="263">
        <f>SUM(I93:M93)</f>
        <v>7395468</v>
      </c>
      <c r="D93" s="263">
        <v>937582</v>
      </c>
      <c r="E93" s="263">
        <v>654800</v>
      </c>
      <c r="F93" s="263">
        <v>2441633</v>
      </c>
      <c r="G93" s="263">
        <v>1682736</v>
      </c>
      <c r="H93" s="263">
        <v>1641228</v>
      </c>
      <c r="I93" s="263">
        <f aca="true" t="shared" si="22" ref="I93:N93">SUM(I90:I92)</f>
        <v>674115</v>
      </c>
      <c r="J93" s="263">
        <f t="shared" si="22"/>
        <v>2563547</v>
      </c>
      <c r="K93" s="263">
        <f t="shared" si="22"/>
        <v>877194</v>
      </c>
      <c r="L93" s="263">
        <f t="shared" si="22"/>
        <v>1761322</v>
      </c>
      <c r="M93" s="263">
        <f t="shared" si="22"/>
        <v>1519290</v>
      </c>
      <c r="N93" s="263">
        <f t="shared" si="22"/>
        <v>2260079</v>
      </c>
      <c r="O93" s="254">
        <f>SUM(O90:O92)</f>
        <v>1980992</v>
      </c>
      <c r="P93" s="254">
        <f>SUM(P90:P92)</f>
        <v>2824777</v>
      </c>
      <c r="Q93" s="254">
        <f>SUM(Q90:Q92)</f>
        <v>2604261</v>
      </c>
      <c r="R93" s="44"/>
    </row>
    <row r="94" spans="1:18" ht="12.75">
      <c r="A94" s="21"/>
      <c r="B94" s="44"/>
      <c r="C94" s="44"/>
      <c r="D94" s="44"/>
      <c r="E94" s="44"/>
      <c r="F94" s="44"/>
      <c r="G94" s="44"/>
      <c r="H94" s="44"/>
      <c r="I94" s="44"/>
      <c r="J94" s="44"/>
      <c r="K94" s="44"/>
      <c r="L94" s="44"/>
      <c r="M94" s="44"/>
      <c r="N94" s="44"/>
      <c r="O94" s="44"/>
      <c r="P94" s="44"/>
      <c r="Q94" s="44"/>
      <c r="R94" s="44"/>
    </row>
    <row r="95" spans="1:18" ht="12.75">
      <c r="A95" s="43" t="s">
        <v>412</v>
      </c>
      <c r="B95" s="44" t="s">
        <v>397</v>
      </c>
      <c r="C95" s="44" t="s">
        <v>397</v>
      </c>
      <c r="D95" s="44" t="s">
        <v>397</v>
      </c>
      <c r="E95" s="44" t="s">
        <v>397</v>
      </c>
      <c r="F95" s="44" t="s">
        <v>397</v>
      </c>
      <c r="G95" s="44" t="s">
        <v>397</v>
      </c>
      <c r="H95" s="44" t="s">
        <v>397</v>
      </c>
      <c r="I95" s="44" t="s">
        <v>397</v>
      </c>
      <c r="J95" s="44" t="s">
        <v>397</v>
      </c>
      <c r="K95" s="84" t="s">
        <v>397</v>
      </c>
      <c r="L95" s="84" t="s">
        <v>397</v>
      </c>
      <c r="M95" s="84" t="s">
        <v>397</v>
      </c>
      <c r="N95" s="84" t="s">
        <v>397</v>
      </c>
      <c r="O95" s="84" t="s">
        <v>397</v>
      </c>
      <c r="P95" s="84" t="s">
        <v>397</v>
      </c>
      <c r="Q95" s="84" t="s">
        <v>397</v>
      </c>
      <c r="R95" s="44"/>
    </row>
    <row r="96" spans="1:18" ht="12.75">
      <c r="A96" s="57" t="s">
        <v>118</v>
      </c>
      <c r="B96" s="250">
        <f>SUM(D96:H96)</f>
        <v>4603</v>
      </c>
      <c r="C96" s="250">
        <f>SUM(I96:M96)</f>
        <v>20233</v>
      </c>
      <c r="D96" s="250"/>
      <c r="E96" s="250"/>
      <c r="F96" s="250"/>
      <c r="G96" s="250"/>
      <c r="H96" s="250">
        <v>4603</v>
      </c>
      <c r="I96" s="250">
        <v>1823</v>
      </c>
      <c r="J96" s="250">
        <v>3106</v>
      </c>
      <c r="K96" s="250">
        <v>9084</v>
      </c>
      <c r="L96" s="250">
        <v>3159</v>
      </c>
      <c r="M96" s="250">
        <v>3061</v>
      </c>
      <c r="N96" s="250">
        <v>19234</v>
      </c>
      <c r="O96" s="252">
        <v>989</v>
      </c>
      <c r="P96" s="252">
        <v>984</v>
      </c>
      <c r="Q96" s="252">
        <v>1102</v>
      </c>
      <c r="R96" s="44"/>
    </row>
    <row r="97" spans="1:18" ht="12.75">
      <c r="A97" s="15" t="s">
        <v>119</v>
      </c>
      <c r="B97" s="250">
        <f>SUM(D97:H97)</f>
        <v>15183</v>
      </c>
      <c r="C97" s="250">
        <f>SUM(I97:M97)</f>
        <v>75083</v>
      </c>
      <c r="D97" s="250"/>
      <c r="E97" s="250"/>
      <c r="F97" s="250"/>
      <c r="G97" s="250"/>
      <c r="H97" s="250">
        <v>15183</v>
      </c>
      <c r="I97" s="250">
        <v>7380</v>
      </c>
      <c r="J97" s="250">
        <v>20072</v>
      </c>
      <c r="K97" s="250">
        <v>9358</v>
      </c>
      <c r="L97" s="252">
        <v>21620</v>
      </c>
      <c r="M97" s="252">
        <v>16653</v>
      </c>
      <c r="N97" s="252">
        <v>102585</v>
      </c>
      <c r="O97" s="252">
        <v>31594</v>
      </c>
      <c r="P97" s="252">
        <v>27670</v>
      </c>
      <c r="Q97" s="252">
        <v>33197</v>
      </c>
      <c r="R97" s="44"/>
    </row>
    <row r="98" spans="1:18" ht="12.75">
      <c r="A98" s="15" t="s">
        <v>120</v>
      </c>
      <c r="B98" s="250">
        <f>SUM(D98:H98)</f>
        <v>2439</v>
      </c>
      <c r="C98" s="250">
        <f>SUM(I98:M98)</f>
        <v>3141</v>
      </c>
      <c r="D98" s="250"/>
      <c r="E98" s="250"/>
      <c r="F98" s="250"/>
      <c r="G98" s="250"/>
      <c r="H98" s="250">
        <v>2439</v>
      </c>
      <c r="I98" s="250">
        <v>835</v>
      </c>
      <c r="J98" s="250">
        <v>995</v>
      </c>
      <c r="K98" s="250">
        <v>554</v>
      </c>
      <c r="L98" s="250">
        <v>757</v>
      </c>
      <c r="M98" s="316"/>
      <c r="N98" s="316"/>
      <c r="O98" s="316"/>
      <c r="P98" s="316"/>
      <c r="Q98" s="316"/>
      <c r="R98" s="44"/>
    </row>
    <row r="99" spans="1:18" ht="12.75">
      <c r="A99" s="16" t="s">
        <v>1</v>
      </c>
      <c r="B99" s="263">
        <f>SUM(D99:H99)</f>
        <v>22225</v>
      </c>
      <c r="C99" s="263">
        <f>SUM(I99:M99)</f>
        <v>98457</v>
      </c>
      <c r="D99" s="263">
        <v>0</v>
      </c>
      <c r="E99" s="263">
        <v>0</v>
      </c>
      <c r="F99" s="263">
        <v>0</v>
      </c>
      <c r="G99" s="263">
        <v>0</v>
      </c>
      <c r="H99" s="263">
        <f aca="true" t="shared" si="23" ref="H99:N99">SUM(H96:H98)</f>
        <v>22225</v>
      </c>
      <c r="I99" s="263">
        <f t="shared" si="23"/>
        <v>10038</v>
      </c>
      <c r="J99" s="263">
        <f t="shared" si="23"/>
        <v>24173</v>
      </c>
      <c r="K99" s="263">
        <f t="shared" si="23"/>
        <v>18996</v>
      </c>
      <c r="L99" s="263">
        <f t="shared" si="23"/>
        <v>25536</v>
      </c>
      <c r="M99" s="263">
        <f t="shared" si="23"/>
        <v>19714</v>
      </c>
      <c r="N99" s="263">
        <f t="shared" si="23"/>
        <v>121819</v>
      </c>
      <c r="O99" s="263">
        <f>SUM(O96:O98)</f>
        <v>32583</v>
      </c>
      <c r="P99" s="263">
        <f>SUM(P96:P98)</f>
        <v>28654</v>
      </c>
      <c r="Q99" s="263">
        <f>SUM(Q96:Q98)</f>
        <v>34299</v>
      </c>
      <c r="R99" s="44"/>
    </row>
    <row r="100" spans="1:29" ht="12.75">
      <c r="A100" s="40"/>
      <c r="B100" s="44"/>
      <c r="C100" s="44"/>
      <c r="D100" s="44"/>
      <c r="E100" s="44"/>
      <c r="F100" s="44"/>
      <c r="G100" s="44"/>
      <c r="H100" s="44"/>
      <c r="I100" s="44"/>
      <c r="J100" s="44"/>
      <c r="K100" s="44"/>
      <c r="L100" s="44"/>
      <c r="M100" s="44"/>
      <c r="N100" s="44"/>
      <c r="O100" s="58"/>
      <c r="P100" s="58"/>
      <c r="Q100" s="58"/>
      <c r="R100" s="44"/>
      <c r="V100" s="9"/>
      <c r="W100" s="9"/>
      <c r="X100" s="9"/>
      <c r="Y100" s="9"/>
      <c r="Z100" s="9"/>
      <c r="AA100" s="9"/>
      <c r="AB100" s="9"/>
      <c r="AC100" s="9"/>
    </row>
    <row r="101" spans="1:29" ht="12.75">
      <c r="A101" s="43" t="s">
        <v>409</v>
      </c>
      <c r="B101" s="44" t="s">
        <v>11</v>
      </c>
      <c r="C101" s="44" t="s">
        <v>11</v>
      </c>
      <c r="D101" s="44" t="s">
        <v>11</v>
      </c>
      <c r="E101" s="44" t="s">
        <v>11</v>
      </c>
      <c r="F101" s="44" t="s">
        <v>11</v>
      </c>
      <c r="G101" s="44" t="s">
        <v>11</v>
      </c>
      <c r="H101" s="44" t="s">
        <v>11</v>
      </c>
      <c r="I101" s="44" t="s">
        <v>11</v>
      </c>
      <c r="J101" s="44" t="s">
        <v>11</v>
      </c>
      <c r="K101" s="44" t="s">
        <v>11</v>
      </c>
      <c r="L101" s="44" t="s">
        <v>11</v>
      </c>
      <c r="M101" s="44" t="s">
        <v>11</v>
      </c>
      <c r="N101" s="84" t="s">
        <v>11</v>
      </c>
      <c r="O101" s="88" t="s">
        <v>11</v>
      </c>
      <c r="P101" s="88" t="s">
        <v>11</v>
      </c>
      <c r="Q101" s="88" t="s">
        <v>11</v>
      </c>
      <c r="R101" s="44"/>
      <c r="V101" s="9"/>
      <c r="W101" s="9"/>
      <c r="X101" s="9"/>
      <c r="Y101" s="9"/>
      <c r="Z101" s="9"/>
      <c r="AA101" s="9"/>
      <c r="AB101" s="9"/>
      <c r="AC101" s="9"/>
    </row>
    <row r="102" spans="1:29" ht="12.75">
      <c r="A102" s="57" t="s">
        <v>118</v>
      </c>
      <c r="B102" s="250">
        <f>SUM(D102:H102)</f>
        <v>6368</v>
      </c>
      <c r="C102" s="250">
        <f>SUM(I102:M102)</f>
        <v>329262</v>
      </c>
      <c r="D102" s="250"/>
      <c r="E102" s="250"/>
      <c r="F102" s="250"/>
      <c r="G102" s="250"/>
      <c r="H102" s="250">
        <v>6368</v>
      </c>
      <c r="I102" s="250">
        <v>6760</v>
      </c>
      <c r="J102" s="250">
        <v>1573</v>
      </c>
      <c r="K102" s="250">
        <v>124072</v>
      </c>
      <c r="L102" s="250">
        <v>161750</v>
      </c>
      <c r="M102" s="250">
        <v>35107</v>
      </c>
      <c r="N102" s="250">
        <v>31528</v>
      </c>
      <c r="O102" s="252">
        <v>4051</v>
      </c>
      <c r="P102" s="252">
        <v>7722</v>
      </c>
      <c r="Q102" s="252">
        <v>8568</v>
      </c>
      <c r="R102" s="44"/>
      <c r="V102" s="9"/>
      <c r="W102" s="9"/>
      <c r="X102" s="9"/>
      <c r="Y102" s="9"/>
      <c r="Z102" s="9"/>
      <c r="AA102" s="9"/>
      <c r="AB102" s="9"/>
      <c r="AC102" s="9"/>
    </row>
    <row r="103" spans="1:29" ht="12.75">
      <c r="A103" s="15" t="s">
        <v>119</v>
      </c>
      <c r="B103" s="250">
        <f>SUM(D103:H103)</f>
        <v>148756</v>
      </c>
      <c r="C103" s="250">
        <f>SUM(I103:M103)</f>
        <v>306369</v>
      </c>
      <c r="D103" s="250"/>
      <c r="E103" s="250"/>
      <c r="F103" s="250"/>
      <c r="G103" s="250"/>
      <c r="H103" s="250">
        <v>148756</v>
      </c>
      <c r="I103" s="250">
        <v>38822</v>
      </c>
      <c r="J103" s="250">
        <v>49590</v>
      </c>
      <c r="K103" s="250">
        <v>79322</v>
      </c>
      <c r="L103" s="250">
        <v>90574</v>
      </c>
      <c r="M103" s="250">
        <v>48061</v>
      </c>
      <c r="N103" s="250">
        <v>224832</v>
      </c>
      <c r="O103" s="252">
        <v>81439</v>
      </c>
      <c r="P103" s="252">
        <v>105514</v>
      </c>
      <c r="Q103" s="252">
        <v>104031</v>
      </c>
      <c r="R103" s="44"/>
      <c r="V103" s="9"/>
      <c r="W103" s="9"/>
      <c r="X103" s="9"/>
      <c r="Y103" s="9"/>
      <c r="Z103" s="9"/>
      <c r="AA103" s="9"/>
      <c r="AB103" s="9"/>
      <c r="AC103" s="9"/>
    </row>
    <row r="104" spans="1:29" ht="12.75">
      <c r="A104" s="15" t="s">
        <v>120</v>
      </c>
      <c r="B104" s="250">
        <f>SUM(D104:H104)</f>
        <v>12326</v>
      </c>
      <c r="C104" s="250">
        <f>SUM(I104:M104)</f>
        <v>48930</v>
      </c>
      <c r="D104" s="250"/>
      <c r="E104" s="250"/>
      <c r="F104" s="250"/>
      <c r="G104" s="250"/>
      <c r="H104" s="250">
        <v>12326</v>
      </c>
      <c r="I104" s="250">
        <v>13178</v>
      </c>
      <c r="J104" s="250">
        <v>6596</v>
      </c>
      <c r="K104" s="250">
        <v>14742</v>
      </c>
      <c r="L104" s="250">
        <v>14414</v>
      </c>
      <c r="M104" s="316"/>
      <c r="N104" s="316"/>
      <c r="O104" s="316"/>
      <c r="P104" s="316"/>
      <c r="Q104" s="316"/>
      <c r="R104" s="44"/>
      <c r="V104" s="9"/>
      <c r="W104" s="9"/>
      <c r="X104" s="9"/>
      <c r="Y104" s="9"/>
      <c r="Z104" s="9"/>
      <c r="AA104" s="9"/>
      <c r="AB104" s="9"/>
      <c r="AC104" s="9"/>
    </row>
    <row r="105" spans="1:29" ht="12.75">
      <c r="A105" s="16" t="s">
        <v>1</v>
      </c>
      <c r="B105" s="254">
        <f>SUM(D105:H105)</f>
        <v>380387</v>
      </c>
      <c r="C105" s="254">
        <f>SUM(I105:M105)</f>
        <v>684561</v>
      </c>
      <c r="D105" s="263">
        <v>0</v>
      </c>
      <c r="E105" s="263">
        <v>31802</v>
      </c>
      <c r="F105" s="263">
        <v>27617</v>
      </c>
      <c r="G105" s="263">
        <v>153518</v>
      </c>
      <c r="H105" s="254">
        <f aca="true" t="shared" si="24" ref="H105:N105">SUM(H102:H104)</f>
        <v>167450</v>
      </c>
      <c r="I105" s="254">
        <f t="shared" si="24"/>
        <v>58760</v>
      </c>
      <c r="J105" s="254">
        <f t="shared" si="24"/>
        <v>57759</v>
      </c>
      <c r="K105" s="254">
        <f t="shared" si="24"/>
        <v>218136</v>
      </c>
      <c r="L105" s="254">
        <f t="shared" si="24"/>
        <v>266738</v>
      </c>
      <c r="M105" s="254">
        <f t="shared" si="24"/>
        <v>83168</v>
      </c>
      <c r="N105" s="254">
        <f t="shared" si="24"/>
        <v>256360</v>
      </c>
      <c r="O105" s="254">
        <f>SUM(O102:O104)</f>
        <v>85490</v>
      </c>
      <c r="P105" s="254">
        <f>SUM(P102:P104)</f>
        <v>113236</v>
      </c>
      <c r="Q105" s="254">
        <f>SUM(Q102:Q104)</f>
        <v>112599</v>
      </c>
      <c r="R105" s="44"/>
      <c r="V105" s="9"/>
      <c r="W105" s="9"/>
      <c r="X105" s="9"/>
      <c r="Y105" s="9"/>
      <c r="Z105" s="9"/>
      <c r="AA105" s="9"/>
      <c r="AB105" s="9"/>
      <c r="AC105" s="9"/>
    </row>
    <row r="106" spans="1:29" ht="12.75">
      <c r="A106" s="21"/>
      <c r="B106" s="58"/>
      <c r="C106" s="58"/>
      <c r="D106" s="44"/>
      <c r="E106" s="44"/>
      <c r="F106" s="44"/>
      <c r="G106" s="44"/>
      <c r="H106" s="58"/>
      <c r="I106" s="58"/>
      <c r="J106" s="58"/>
      <c r="K106" s="58"/>
      <c r="L106" s="58"/>
      <c r="M106" s="58"/>
      <c r="N106" s="58"/>
      <c r="O106" s="58"/>
      <c r="P106" s="58"/>
      <c r="Q106" s="58"/>
      <c r="R106" s="44"/>
      <c r="V106" s="9"/>
      <c r="W106" s="9"/>
      <c r="X106" s="9"/>
      <c r="Y106" s="9"/>
      <c r="Z106" s="9"/>
      <c r="AA106" s="9"/>
      <c r="AB106" s="9"/>
      <c r="AC106" s="9"/>
    </row>
    <row r="107" spans="1:29" ht="12.75">
      <c r="A107" s="43" t="s">
        <v>410</v>
      </c>
      <c r="B107" s="44" t="s">
        <v>11</v>
      </c>
      <c r="C107" s="44" t="s">
        <v>11</v>
      </c>
      <c r="D107" s="44" t="s">
        <v>11</v>
      </c>
      <c r="E107" s="44" t="s">
        <v>11</v>
      </c>
      <c r="F107" s="44" t="s">
        <v>11</v>
      </c>
      <c r="G107" s="44" t="s">
        <v>11</v>
      </c>
      <c r="H107" s="44" t="s">
        <v>11</v>
      </c>
      <c r="I107" s="44" t="s">
        <v>11</v>
      </c>
      <c r="J107" s="44" t="s">
        <v>11</v>
      </c>
      <c r="K107" s="44" t="s">
        <v>11</v>
      </c>
      <c r="L107" s="44" t="s">
        <v>11</v>
      </c>
      <c r="M107" s="44" t="s">
        <v>11</v>
      </c>
      <c r="N107" s="84" t="s">
        <v>11</v>
      </c>
      <c r="O107" s="88" t="s">
        <v>11</v>
      </c>
      <c r="P107" s="88" t="s">
        <v>11</v>
      </c>
      <c r="Q107" s="88" t="s">
        <v>11</v>
      </c>
      <c r="R107" s="44"/>
      <c r="V107" s="9"/>
      <c r="W107" s="9"/>
      <c r="X107" s="9"/>
      <c r="Y107" s="9"/>
      <c r="Z107" s="9"/>
      <c r="AA107" s="9"/>
      <c r="AB107" s="9"/>
      <c r="AC107" s="9"/>
    </row>
    <row r="108" spans="1:29" ht="12.75">
      <c r="A108" s="57" t="s">
        <v>118</v>
      </c>
      <c r="B108" s="252">
        <f>SUM(D108:H108)</f>
        <v>95526</v>
      </c>
      <c r="C108" s="252">
        <f>SUM(I108:M108)</f>
        <v>3502886</v>
      </c>
      <c r="D108" s="250"/>
      <c r="E108" s="250"/>
      <c r="F108" s="250"/>
      <c r="G108" s="250"/>
      <c r="H108" s="252">
        <v>95526</v>
      </c>
      <c r="I108" s="252">
        <v>101400</v>
      </c>
      <c r="J108" s="252">
        <v>31200</v>
      </c>
      <c r="K108" s="252">
        <v>269286</v>
      </c>
      <c r="L108" s="252">
        <v>2533483</v>
      </c>
      <c r="M108" s="252">
        <v>567517</v>
      </c>
      <c r="N108" s="252">
        <v>504953</v>
      </c>
      <c r="O108" s="252">
        <v>72665</v>
      </c>
      <c r="P108" s="252">
        <v>131006</v>
      </c>
      <c r="Q108" s="252">
        <v>144838</v>
      </c>
      <c r="R108" s="44"/>
      <c r="V108" s="9"/>
      <c r="W108" s="9"/>
      <c r="X108" s="9"/>
      <c r="Y108" s="9"/>
      <c r="Z108" s="9"/>
      <c r="AA108" s="9"/>
      <c r="AB108" s="9"/>
      <c r="AC108" s="9"/>
    </row>
    <row r="109" spans="1:29" ht="12.75">
      <c r="A109" s="15" t="s">
        <v>119</v>
      </c>
      <c r="B109" s="252">
        <f>SUM(D109:H109)</f>
        <v>2340823</v>
      </c>
      <c r="C109" s="252">
        <f>SUM(I109:M109)</f>
        <v>4738638</v>
      </c>
      <c r="D109" s="250"/>
      <c r="E109" s="250"/>
      <c r="F109" s="250"/>
      <c r="G109" s="250"/>
      <c r="H109" s="252">
        <v>2340823</v>
      </c>
      <c r="I109" s="252">
        <v>582460</v>
      </c>
      <c r="J109" s="252">
        <v>717372</v>
      </c>
      <c r="K109" s="252">
        <v>1026722</v>
      </c>
      <c r="L109" s="252">
        <v>1505918</v>
      </c>
      <c r="M109" s="252">
        <v>906166</v>
      </c>
      <c r="N109" s="252">
        <v>4392557</v>
      </c>
      <c r="O109" s="252">
        <v>1431661</v>
      </c>
      <c r="P109" s="252">
        <v>1936551</v>
      </c>
      <c r="Q109" s="252">
        <v>1833101</v>
      </c>
      <c r="R109" s="44"/>
      <c r="V109" s="9"/>
      <c r="W109" s="9"/>
      <c r="X109" s="9"/>
      <c r="Y109" s="9"/>
      <c r="Z109" s="9"/>
      <c r="AA109" s="9"/>
      <c r="AB109" s="9"/>
      <c r="AC109" s="9"/>
    </row>
    <row r="110" spans="1:29" ht="12.75">
      <c r="A110" s="15" t="s">
        <v>120</v>
      </c>
      <c r="B110" s="252">
        <f>SUM(D110:H110)</f>
        <v>190177</v>
      </c>
      <c r="C110" s="252">
        <f>SUM(I110:M110)</f>
        <v>767861</v>
      </c>
      <c r="D110" s="250"/>
      <c r="E110" s="250"/>
      <c r="F110" s="250"/>
      <c r="G110" s="250"/>
      <c r="H110" s="252">
        <v>190177</v>
      </c>
      <c r="I110" s="252">
        <v>209420</v>
      </c>
      <c r="J110" s="252">
        <v>130004</v>
      </c>
      <c r="K110" s="252">
        <v>194886</v>
      </c>
      <c r="L110" s="252">
        <v>233551</v>
      </c>
      <c r="M110" s="316"/>
      <c r="N110" s="316"/>
      <c r="O110" s="316"/>
      <c r="P110" s="316"/>
      <c r="Q110" s="316"/>
      <c r="R110" s="44"/>
      <c r="V110" s="9"/>
      <c r="W110" s="9"/>
      <c r="X110" s="9"/>
      <c r="Y110" s="9"/>
      <c r="Z110" s="9"/>
      <c r="AA110" s="9"/>
      <c r="AB110" s="9"/>
      <c r="AC110" s="9"/>
    </row>
    <row r="111" spans="1:18" ht="12.75">
      <c r="A111" s="16" t="s">
        <v>1</v>
      </c>
      <c r="B111" s="254">
        <f>SUM(D111:H111)</f>
        <v>5822680</v>
      </c>
      <c r="C111" s="254">
        <f>SUM(I111:M111)</f>
        <v>9009385</v>
      </c>
      <c r="D111" s="263">
        <v>0</v>
      </c>
      <c r="E111" s="263">
        <v>477024</v>
      </c>
      <c r="F111" s="263">
        <v>416360</v>
      </c>
      <c r="G111" s="263">
        <v>2302770</v>
      </c>
      <c r="H111" s="254">
        <f aca="true" t="shared" si="25" ref="H111:N111">SUM(H108:H110)</f>
        <v>2626526</v>
      </c>
      <c r="I111" s="254">
        <f t="shared" si="25"/>
        <v>893280</v>
      </c>
      <c r="J111" s="254">
        <f t="shared" si="25"/>
        <v>878576</v>
      </c>
      <c r="K111" s="254">
        <f t="shared" si="25"/>
        <v>1490894</v>
      </c>
      <c r="L111" s="254">
        <f t="shared" si="25"/>
        <v>4272952</v>
      </c>
      <c r="M111" s="254">
        <f t="shared" si="25"/>
        <v>1473683</v>
      </c>
      <c r="N111" s="254">
        <f t="shared" si="25"/>
        <v>4897510</v>
      </c>
      <c r="O111" s="254">
        <f>SUM(O108:O110)</f>
        <v>1504326</v>
      </c>
      <c r="P111" s="254">
        <f>SUM(P108:P110)</f>
        <v>2067557</v>
      </c>
      <c r="Q111" s="254">
        <f>SUM(Q108:Q110)</f>
        <v>1977939</v>
      </c>
      <c r="R111" s="44"/>
    </row>
    <row r="112" spans="1:18" ht="12.75">
      <c r="A112" s="2" t="str">
        <f>A44</f>
        <v>* These columns/years have been hidden in this worksheet for viewing &amp; printing purposes</v>
      </c>
      <c r="B112" s="21"/>
      <c r="C112" s="21"/>
      <c r="D112" s="44"/>
      <c r="E112" s="44"/>
      <c r="F112" s="44"/>
      <c r="G112" s="44"/>
      <c r="H112" s="44"/>
      <c r="I112" s="44"/>
      <c r="J112" s="44"/>
      <c r="K112" s="44"/>
      <c r="L112" s="44"/>
      <c r="M112" s="44"/>
      <c r="N112" s="44"/>
      <c r="O112" s="44"/>
      <c r="P112" s="44"/>
      <c r="Q112" s="44"/>
      <c r="R112" s="44"/>
    </row>
    <row r="113" spans="1:3" ht="12.75">
      <c r="A113" s="2"/>
      <c r="B113" s="2"/>
      <c r="C113" s="2"/>
    </row>
    <row r="114" spans="1:17" ht="12.75">
      <c r="A114" s="5"/>
      <c r="B114" s="5"/>
      <c r="C114" s="5"/>
      <c r="D114" s="7"/>
      <c r="E114" s="7"/>
      <c r="F114" s="7"/>
      <c r="G114" s="7"/>
      <c r="H114" s="7"/>
      <c r="I114" s="7"/>
      <c r="J114" s="7"/>
      <c r="K114" s="7"/>
      <c r="L114" s="7"/>
      <c r="M114" s="7"/>
      <c r="N114" s="7"/>
      <c r="O114" s="7"/>
      <c r="P114" s="7"/>
      <c r="Q114" s="7"/>
    </row>
    <row r="116" spans="1:3" ht="12.75">
      <c r="A116" s="2"/>
      <c r="B116" s="2"/>
      <c r="C116" s="2"/>
    </row>
    <row r="117" spans="1:21" ht="12.75">
      <c r="A117" s="2"/>
      <c r="B117" s="2"/>
      <c r="C117" s="2"/>
      <c r="D117" s="9"/>
      <c r="E117" s="9"/>
      <c r="F117" s="9"/>
      <c r="G117" s="9"/>
      <c r="H117" s="9"/>
      <c r="I117" s="9"/>
      <c r="J117" s="9"/>
      <c r="K117" s="9"/>
      <c r="L117" s="9"/>
      <c r="M117" s="9"/>
      <c r="N117" s="9"/>
      <c r="O117" s="9"/>
      <c r="P117" s="9"/>
      <c r="Q117" s="9"/>
      <c r="R117" s="9"/>
      <c r="S117" s="9"/>
      <c r="T117" s="9"/>
      <c r="U117" s="9"/>
    </row>
    <row r="118" spans="1:21" ht="12.75">
      <c r="A118" s="2"/>
      <c r="B118" s="2"/>
      <c r="C118" s="2"/>
      <c r="D118" s="9"/>
      <c r="E118" s="9"/>
      <c r="F118" s="9"/>
      <c r="G118" s="9"/>
      <c r="H118" s="9"/>
      <c r="I118" s="9"/>
      <c r="J118" s="9"/>
      <c r="K118" s="9"/>
      <c r="L118" s="9"/>
      <c r="M118" s="9"/>
      <c r="N118" s="9"/>
      <c r="O118" s="9"/>
      <c r="P118" s="9"/>
      <c r="Q118" s="9"/>
      <c r="R118" s="9"/>
      <c r="S118" s="9"/>
      <c r="T118" s="9"/>
      <c r="U118" s="9"/>
    </row>
    <row r="119" spans="1:4" ht="12.75">
      <c r="A119" s="2"/>
      <c r="B119" s="2"/>
      <c r="C119" s="2"/>
      <c r="D119" s="3"/>
    </row>
    <row r="120" spans="1:3" ht="12.75">
      <c r="A120" s="2"/>
      <c r="B120" s="2"/>
      <c r="C120" s="2"/>
    </row>
    <row r="121" spans="1:21" ht="12.75">
      <c r="A121" s="2"/>
      <c r="B121" s="2"/>
      <c r="C121" s="2"/>
      <c r="D121" s="8"/>
      <c r="E121" s="8"/>
      <c r="F121" s="8"/>
      <c r="G121" s="8"/>
      <c r="H121" s="8"/>
      <c r="I121" s="8"/>
      <c r="J121" s="8"/>
      <c r="K121" s="8"/>
      <c r="L121" s="8"/>
      <c r="M121" s="8"/>
      <c r="N121" s="8"/>
      <c r="O121" s="8"/>
      <c r="P121" s="8"/>
      <c r="Q121" s="8"/>
      <c r="R121" s="8"/>
      <c r="S121" s="8"/>
      <c r="T121" s="8"/>
      <c r="U121" s="8"/>
    </row>
    <row r="122" spans="1:21" ht="12.75">
      <c r="A122" s="2"/>
      <c r="B122" s="2"/>
      <c r="C122" s="2"/>
      <c r="D122" s="8"/>
      <c r="E122" s="8"/>
      <c r="F122" s="8"/>
      <c r="G122" s="8"/>
      <c r="H122" s="8"/>
      <c r="I122" s="8"/>
      <c r="J122" s="8"/>
      <c r="K122" s="8"/>
      <c r="L122" s="8"/>
      <c r="M122" s="8"/>
      <c r="N122" s="8"/>
      <c r="O122" s="8"/>
      <c r="P122" s="8"/>
      <c r="Q122" s="8"/>
      <c r="R122" s="8"/>
      <c r="S122" s="8"/>
      <c r="T122" s="8"/>
      <c r="U122" s="8"/>
    </row>
    <row r="123" spans="1:21" ht="12.75">
      <c r="A123" s="2"/>
      <c r="B123" s="2"/>
      <c r="C123" s="2"/>
      <c r="D123" s="8"/>
      <c r="E123" s="8"/>
      <c r="F123" s="8"/>
      <c r="G123" s="8"/>
      <c r="H123" s="8"/>
      <c r="I123" s="8"/>
      <c r="J123" s="8"/>
      <c r="K123" s="8"/>
      <c r="L123" s="8"/>
      <c r="M123" s="8"/>
      <c r="N123" s="8"/>
      <c r="O123" s="8"/>
      <c r="P123" s="8"/>
      <c r="Q123" s="8"/>
      <c r="R123" s="8"/>
      <c r="S123" s="8"/>
      <c r="T123" s="8"/>
      <c r="U123" s="8"/>
    </row>
    <row r="124" spans="1:21" ht="12.75">
      <c r="A124" s="6"/>
      <c r="B124" s="6"/>
      <c r="C124" s="6"/>
      <c r="D124" s="8"/>
      <c r="E124" s="8"/>
      <c r="F124" s="8"/>
      <c r="G124" s="8"/>
      <c r="H124" s="8"/>
      <c r="I124" s="8"/>
      <c r="J124" s="8"/>
      <c r="K124" s="8"/>
      <c r="L124" s="8"/>
      <c r="M124" s="8"/>
      <c r="N124" s="8"/>
      <c r="O124" s="8"/>
      <c r="P124" s="8"/>
      <c r="Q124" s="8"/>
      <c r="R124" s="8"/>
      <c r="S124" s="8"/>
      <c r="T124" s="8"/>
      <c r="U124" s="8"/>
    </row>
    <row r="125" spans="1:21" ht="12.75">
      <c r="A125" s="2"/>
      <c r="B125" s="2"/>
      <c r="C125" s="2"/>
      <c r="D125" s="8"/>
      <c r="E125" s="8"/>
      <c r="F125" s="8"/>
      <c r="G125" s="8"/>
      <c r="H125" s="8"/>
      <c r="I125" s="8"/>
      <c r="J125" s="8"/>
      <c r="K125" s="8"/>
      <c r="L125" s="8"/>
      <c r="M125" s="8"/>
      <c r="N125" s="8"/>
      <c r="O125" s="8"/>
      <c r="P125" s="8"/>
      <c r="Q125" s="8"/>
      <c r="R125" s="8"/>
      <c r="S125" s="8"/>
      <c r="T125" s="8"/>
      <c r="U125" s="8"/>
    </row>
    <row r="126" spans="1:21" ht="12.75">
      <c r="A126" s="2"/>
      <c r="B126" s="2"/>
      <c r="C126" s="2"/>
      <c r="D126" s="8"/>
      <c r="E126" s="8"/>
      <c r="F126" s="8"/>
      <c r="G126" s="8"/>
      <c r="H126" s="8"/>
      <c r="I126" s="8"/>
      <c r="J126" s="8"/>
      <c r="K126" s="8"/>
      <c r="L126" s="8"/>
      <c r="M126" s="8"/>
      <c r="N126" s="8"/>
      <c r="O126" s="8"/>
      <c r="P126" s="8"/>
      <c r="Q126" s="8"/>
      <c r="R126" s="8"/>
      <c r="S126" s="8"/>
      <c r="T126" s="8"/>
      <c r="U126" s="8"/>
    </row>
    <row r="127" spans="1:21" ht="12.75">
      <c r="A127" s="2"/>
      <c r="B127" s="2"/>
      <c r="C127" s="2"/>
      <c r="D127" s="8"/>
      <c r="E127" s="8"/>
      <c r="F127" s="8"/>
      <c r="G127" s="8"/>
      <c r="H127" s="8"/>
      <c r="I127" s="8"/>
      <c r="J127" s="8"/>
      <c r="K127" s="8"/>
      <c r="L127" s="8"/>
      <c r="M127" s="8"/>
      <c r="N127" s="8"/>
      <c r="O127" s="8"/>
      <c r="P127" s="8"/>
      <c r="Q127" s="8"/>
      <c r="R127" s="8"/>
      <c r="S127" s="8"/>
      <c r="T127" s="8"/>
      <c r="U127" s="8"/>
    </row>
    <row r="128" spans="1:21" ht="12.75">
      <c r="A128" s="2"/>
      <c r="B128" s="2"/>
      <c r="C128" s="2"/>
      <c r="D128" s="8"/>
      <c r="E128" s="8"/>
      <c r="F128" s="8"/>
      <c r="G128" s="8"/>
      <c r="H128" s="8"/>
      <c r="I128" s="8"/>
      <c r="J128" s="8"/>
      <c r="K128" s="8"/>
      <c r="L128" s="8"/>
      <c r="M128" s="8"/>
      <c r="N128" s="8"/>
      <c r="O128" s="8"/>
      <c r="P128" s="8"/>
      <c r="Q128" s="8"/>
      <c r="R128" s="8"/>
      <c r="S128" s="8"/>
      <c r="T128" s="8"/>
      <c r="U128" s="8"/>
    </row>
    <row r="129" spans="1:21" ht="12.75">
      <c r="A129" s="2"/>
      <c r="B129" s="2"/>
      <c r="C129" s="2"/>
      <c r="D129" s="8"/>
      <c r="E129" s="8"/>
      <c r="F129" s="8"/>
      <c r="G129" s="8"/>
      <c r="H129" s="8"/>
      <c r="I129" s="8"/>
      <c r="J129" s="8"/>
      <c r="K129" s="8"/>
      <c r="L129" s="8"/>
      <c r="M129" s="8"/>
      <c r="N129" s="8"/>
      <c r="O129" s="8"/>
      <c r="P129" s="8"/>
      <c r="Q129" s="8"/>
      <c r="R129" s="8"/>
      <c r="S129" s="8"/>
      <c r="T129" s="8"/>
      <c r="U129" s="8"/>
    </row>
    <row r="130" spans="1:21" ht="12.75">
      <c r="A130" s="2"/>
      <c r="B130" s="2"/>
      <c r="C130" s="2"/>
      <c r="D130" s="10"/>
      <c r="E130" s="10"/>
      <c r="F130" s="10"/>
      <c r="G130" s="10"/>
      <c r="H130" s="10"/>
      <c r="I130" s="10"/>
      <c r="J130" s="10"/>
      <c r="K130" s="10"/>
      <c r="L130" s="10"/>
      <c r="M130" s="10"/>
      <c r="N130" s="10"/>
      <c r="O130" s="10"/>
      <c r="P130" s="10"/>
      <c r="Q130" s="10"/>
      <c r="R130" s="10"/>
      <c r="S130" s="10"/>
      <c r="T130" s="10"/>
      <c r="U130" s="10"/>
    </row>
    <row r="131" spans="1:3" ht="12.75">
      <c r="A131" s="2"/>
      <c r="B131" s="2"/>
      <c r="C131" s="2"/>
    </row>
    <row r="132" spans="1:3" ht="12.75">
      <c r="A132" s="2"/>
      <c r="B132" s="2"/>
      <c r="C132" s="2"/>
    </row>
  </sheetData>
  <sheetProtection/>
  <mergeCells count="3">
    <mergeCell ref="A2:R2"/>
    <mergeCell ref="A13:R13"/>
    <mergeCell ref="A1:R1"/>
  </mergeCells>
  <printOptions/>
  <pageMargins left="0.17" right="0.17" top="0.4" bottom="0.6" header="0.24" footer="0.24"/>
  <pageSetup horizontalDpi="600" verticalDpi="600" orientation="landscape" scale="79" r:id="rId1"/>
  <headerFooter scaleWithDoc="0" alignWithMargins="0">
    <oddFooter>&amp;L&amp;6&amp;A - Results by Program Year&amp;R&amp;6printed &amp;D at &amp;T</oddFooter>
  </headerFooter>
  <rowBreaks count="2" manualBreakCount="2">
    <brk id="44" max="15" man="1"/>
    <brk id="78" max="15" man="1"/>
  </rowBreaks>
  <ignoredErrors>
    <ignoredError sqref="D11:G11" formulaRange="1"/>
    <ignoredError sqref="H65:I65" formula="1"/>
  </ignoredErrors>
</worksheet>
</file>

<file path=xl/worksheets/sheet15.xml><?xml version="1.0" encoding="utf-8"?>
<worksheet xmlns="http://schemas.openxmlformats.org/spreadsheetml/2006/main" xmlns:r="http://schemas.openxmlformats.org/officeDocument/2006/relationships">
  <sheetPr>
    <tabColor theme="6"/>
    <outlinePr summaryRight="0"/>
  </sheetPr>
  <dimension ref="A1:S116"/>
  <sheetViews>
    <sheetView showGridLines="0" zoomScalePageLayoutView="0" workbookViewId="0" topLeftCell="A1">
      <selection activeCell="A1" sqref="A1:R1"/>
    </sheetView>
  </sheetViews>
  <sheetFormatPr defaultColWidth="9.140625" defaultRowHeight="12.75" outlineLevelCol="1"/>
  <cols>
    <col min="1" max="1" width="28.421875" style="0" customWidth="1"/>
    <col min="2" max="2" width="13.8515625" style="0" bestFit="1" customWidth="1"/>
    <col min="3" max="3" width="13.8515625" style="0" bestFit="1" customWidth="1" collapsed="1"/>
    <col min="4" max="6" width="9.28125" style="0" hidden="1" customWidth="1" outlineLevel="1"/>
    <col min="7" max="7" width="12.421875" style="0" hidden="1" customWidth="1" outlineLevel="1"/>
    <col min="8" max="8" width="13.00390625" style="0" hidden="1" customWidth="1" outlineLevel="1"/>
    <col min="9" max="9" width="14.140625" style="0" hidden="1" customWidth="1" outlineLevel="1"/>
    <col min="10" max="11" width="13.8515625" style="0" hidden="1" customWidth="1" outlineLevel="1"/>
    <col min="12" max="13" width="13.421875" style="0" hidden="1" customWidth="1" outlineLevel="1"/>
    <col min="14" max="17" width="13.421875" style="0" customWidth="1"/>
    <col min="18" max="18" width="16.28125" style="0" bestFit="1" customWidth="1"/>
  </cols>
  <sheetData>
    <row r="1" spans="1:18" ht="12.75">
      <c r="A1" s="484" t="s">
        <v>393</v>
      </c>
      <c r="B1" s="484"/>
      <c r="C1" s="484"/>
      <c r="D1" s="484"/>
      <c r="E1" s="484"/>
      <c r="F1" s="484"/>
      <c r="G1" s="484"/>
      <c r="H1" s="484"/>
      <c r="I1" s="484"/>
      <c r="J1" s="484"/>
      <c r="K1" s="484"/>
      <c r="L1" s="484"/>
      <c r="M1" s="484"/>
      <c r="N1" s="484"/>
      <c r="O1" s="484"/>
      <c r="P1" s="484"/>
      <c r="Q1" s="484"/>
      <c r="R1" s="484"/>
    </row>
    <row r="2" spans="1:18" ht="12.75">
      <c r="A2" s="484" t="s">
        <v>147</v>
      </c>
      <c r="B2" s="484"/>
      <c r="C2" s="484"/>
      <c r="D2" s="484"/>
      <c r="E2" s="484"/>
      <c r="F2" s="484"/>
      <c r="G2" s="484"/>
      <c r="H2" s="484"/>
      <c r="I2" s="484"/>
      <c r="J2" s="484"/>
      <c r="K2" s="484"/>
      <c r="L2" s="484"/>
      <c r="M2" s="484"/>
      <c r="N2" s="484"/>
      <c r="O2" s="484"/>
      <c r="P2" s="484"/>
      <c r="Q2" s="484"/>
      <c r="R2" s="484"/>
    </row>
    <row r="3" spans="1:3" ht="15">
      <c r="A3" s="110"/>
      <c r="B3" s="110"/>
      <c r="C3" s="110"/>
    </row>
    <row r="4" spans="1:18" ht="25.5">
      <c r="A4" s="5" t="s">
        <v>206</v>
      </c>
      <c r="B4" s="81" t="s">
        <v>289</v>
      </c>
      <c r="C4" s="81" t="s">
        <v>461</v>
      </c>
      <c r="D4" s="25">
        <v>2001</v>
      </c>
      <c r="E4" s="25">
        <v>2002</v>
      </c>
      <c r="F4" s="25">
        <v>2003</v>
      </c>
      <c r="G4" s="25">
        <v>2004</v>
      </c>
      <c r="H4" s="25">
        <v>2005</v>
      </c>
      <c r="I4" s="25">
        <v>2006</v>
      </c>
      <c r="J4" s="25">
        <v>2007</v>
      </c>
      <c r="K4" s="25">
        <v>2008</v>
      </c>
      <c r="L4" s="25">
        <v>2009</v>
      </c>
      <c r="M4" s="25">
        <v>2010</v>
      </c>
      <c r="N4" s="25">
        <v>2011</v>
      </c>
      <c r="O4" s="81" t="s">
        <v>346</v>
      </c>
      <c r="P4" s="81" t="s">
        <v>351</v>
      </c>
      <c r="Q4" s="81" t="s">
        <v>440</v>
      </c>
      <c r="R4" s="344" t="str">
        <f>"Total "&amp;CHAR(10)&amp;D4&amp;" ~ "&amp;Q4</f>
        <v>Total 
2001 ~ FY2015</v>
      </c>
    </row>
    <row r="5" spans="1:18" ht="12.75">
      <c r="A5" s="22" t="s">
        <v>468</v>
      </c>
      <c r="B5" s="237">
        <f>SUM(D5:H5)</f>
        <v>12750000</v>
      </c>
      <c r="C5" s="237">
        <f>SUM(I5:M5)</f>
        <v>48096183.94</v>
      </c>
      <c r="D5" s="237"/>
      <c r="E5" s="237"/>
      <c r="F5" s="237"/>
      <c r="G5" s="237">
        <f>5000*1000</f>
        <v>5000000</v>
      </c>
      <c r="H5" s="237">
        <f>7750*1000</f>
        <v>7750000</v>
      </c>
      <c r="I5" s="237">
        <f>6681*1000</f>
        <v>6681000</v>
      </c>
      <c r="J5" s="237">
        <f>7857*1000</f>
        <v>7857000</v>
      </c>
      <c r="K5" s="237">
        <f>15914*1000</f>
        <v>15914000</v>
      </c>
      <c r="L5" s="237">
        <v>11784675.15</v>
      </c>
      <c r="M5" s="237">
        <v>5859508.79</v>
      </c>
      <c r="N5" s="237">
        <v>1002122.83</v>
      </c>
      <c r="O5" s="239">
        <v>13500000</v>
      </c>
      <c r="P5" s="239">
        <v>37964525.92</v>
      </c>
      <c r="Q5" s="239">
        <v>19451062.18</v>
      </c>
      <c r="R5" s="237">
        <f>SUM(D5:Q5)</f>
        <v>132763894.87</v>
      </c>
    </row>
    <row r="6" spans="2:18" ht="12.75">
      <c r="B6" s="12"/>
      <c r="C6" s="12"/>
      <c r="G6" s="12"/>
      <c r="H6" s="12"/>
      <c r="I6" s="12"/>
      <c r="J6" s="12"/>
      <c r="K6" s="12"/>
      <c r="L6" s="12"/>
      <c r="M6" s="12"/>
      <c r="N6" s="12"/>
      <c r="O6" s="12"/>
      <c r="P6" s="12"/>
      <c r="Q6" s="12"/>
      <c r="R6" s="12"/>
    </row>
    <row r="7" spans="1:18" ht="12.75">
      <c r="A7" s="1" t="s">
        <v>207</v>
      </c>
      <c r="B7" s="12"/>
      <c r="C7" s="12"/>
      <c r="G7" s="12"/>
      <c r="H7" s="12"/>
      <c r="I7" s="12"/>
      <c r="J7" s="12"/>
      <c r="K7" s="12"/>
      <c r="L7" s="12"/>
      <c r="M7" s="12"/>
      <c r="N7" s="12"/>
      <c r="O7" s="12"/>
      <c r="P7" s="12"/>
      <c r="Q7" s="12"/>
      <c r="R7" s="12"/>
    </row>
    <row r="8" spans="1:18" ht="12.75">
      <c r="A8" s="225" t="s">
        <v>20</v>
      </c>
      <c r="B8" s="237">
        <f>SUM(D8:H8)</f>
        <v>534000</v>
      </c>
      <c r="C8" s="237">
        <f>SUM(I8:M8)</f>
        <v>11302878.26</v>
      </c>
      <c r="D8" s="237"/>
      <c r="E8" s="237"/>
      <c r="F8" s="237"/>
      <c r="G8" s="237">
        <f>32*1000</f>
        <v>32000</v>
      </c>
      <c r="H8" s="237">
        <f>502*1000</f>
        <v>502000</v>
      </c>
      <c r="I8" s="237">
        <f>1875*1000</f>
        <v>1875000</v>
      </c>
      <c r="J8" s="237">
        <f>3024*1000</f>
        <v>3024000</v>
      </c>
      <c r="K8" s="237">
        <f>2119*1000</f>
        <v>2119000</v>
      </c>
      <c r="L8" s="237">
        <v>1576864.54</v>
      </c>
      <c r="M8" s="237">
        <v>2708013.72</v>
      </c>
      <c r="N8" s="237">
        <v>0</v>
      </c>
      <c r="O8" s="239">
        <v>200654</v>
      </c>
      <c r="P8" s="239">
        <v>1474906.46</v>
      </c>
      <c r="Q8" s="239">
        <v>2448357.76</v>
      </c>
      <c r="R8" s="237">
        <f>SUM(D8:Q8)</f>
        <v>15960796.479999999</v>
      </c>
    </row>
    <row r="9" spans="1:18" ht="12.75">
      <c r="A9" s="331" t="s">
        <v>19</v>
      </c>
      <c r="B9" s="237">
        <f>SUM(D9:H9)</f>
        <v>0</v>
      </c>
      <c r="C9" s="237">
        <f>SUM(I9:M9)</f>
        <v>25946812</v>
      </c>
      <c r="D9" s="237"/>
      <c r="E9" s="237"/>
      <c r="F9" s="237"/>
      <c r="G9" s="237"/>
      <c r="H9" s="237"/>
      <c r="I9" s="237"/>
      <c r="J9" s="237">
        <f>7037*1000</f>
        <v>7037000</v>
      </c>
      <c r="K9" s="237">
        <f>9067*1000</f>
        <v>9067000</v>
      </c>
      <c r="L9" s="237">
        <v>7842812</v>
      </c>
      <c r="M9" s="237">
        <v>2000000</v>
      </c>
      <c r="N9" s="237">
        <v>1000000</v>
      </c>
      <c r="O9" s="239">
        <v>5911320</v>
      </c>
      <c r="P9" s="239">
        <v>6050795.1</v>
      </c>
      <c r="Q9" s="239">
        <v>9361806.8</v>
      </c>
      <c r="R9" s="287"/>
    </row>
    <row r="10" spans="1:18" ht="12.75">
      <c r="A10" s="73" t="s">
        <v>1</v>
      </c>
      <c r="B10" s="243">
        <f>SUM(D10:H10)</f>
        <v>534000</v>
      </c>
      <c r="C10" s="243">
        <f>SUM(I10:M10)</f>
        <v>37249690.26</v>
      </c>
      <c r="D10" s="243"/>
      <c r="E10" s="243"/>
      <c r="F10" s="243"/>
      <c r="G10" s="243">
        <f>SUM(G8:G9)</f>
        <v>32000</v>
      </c>
      <c r="H10" s="243">
        <f>SUM(H8:H9)</f>
        <v>502000</v>
      </c>
      <c r="I10" s="243">
        <f>SUM(I8:I9)</f>
        <v>1875000</v>
      </c>
      <c r="J10" s="243">
        <f aca="true" t="shared" si="0" ref="J10:O10">SUM(J8:J9)</f>
        <v>10061000</v>
      </c>
      <c r="K10" s="243">
        <f t="shared" si="0"/>
        <v>11186000</v>
      </c>
      <c r="L10" s="243">
        <f t="shared" si="0"/>
        <v>9419676.54</v>
      </c>
      <c r="M10" s="243">
        <f t="shared" si="0"/>
        <v>4708013.720000001</v>
      </c>
      <c r="N10" s="243">
        <f t="shared" si="0"/>
        <v>1000000</v>
      </c>
      <c r="O10" s="243">
        <f t="shared" si="0"/>
        <v>6111974</v>
      </c>
      <c r="P10" s="243">
        <f>SUM(P8:P9)</f>
        <v>7525701.56</v>
      </c>
      <c r="Q10" s="243">
        <f>SUM(Q8:Q9)</f>
        <v>11810164.56</v>
      </c>
      <c r="R10" s="287"/>
    </row>
    <row r="12" ht="12.75">
      <c r="A12" s="1" t="s">
        <v>414</v>
      </c>
    </row>
    <row r="13" spans="1:18" ht="12.75">
      <c r="A13" s="225" t="s">
        <v>347</v>
      </c>
      <c r="B13" s="351"/>
      <c r="C13" s="351"/>
      <c r="D13" s="351"/>
      <c r="E13" s="351"/>
      <c r="F13" s="351"/>
      <c r="G13" s="351"/>
      <c r="H13" s="351"/>
      <c r="I13" s="351"/>
      <c r="J13" s="351"/>
      <c r="K13" s="351"/>
      <c r="L13" s="351"/>
      <c r="M13" s="351"/>
      <c r="N13" s="351"/>
      <c r="O13" s="258">
        <v>1</v>
      </c>
      <c r="P13" s="258"/>
      <c r="Q13" s="258"/>
      <c r="R13" s="353">
        <f>SUM(D13:Q13)</f>
        <v>1</v>
      </c>
    </row>
    <row r="14" spans="1:18" ht="12.75">
      <c r="A14" s="225" t="s">
        <v>355</v>
      </c>
      <c r="B14" s="351"/>
      <c r="C14" s="351"/>
      <c r="D14" s="351"/>
      <c r="E14" s="351"/>
      <c r="F14" s="351"/>
      <c r="G14" s="351"/>
      <c r="H14" s="351"/>
      <c r="I14" s="351"/>
      <c r="J14" s="351"/>
      <c r="K14" s="351"/>
      <c r="L14" s="351"/>
      <c r="M14" s="351"/>
      <c r="N14" s="351"/>
      <c r="O14" s="258">
        <v>0</v>
      </c>
      <c r="P14" s="258">
        <v>2</v>
      </c>
      <c r="Q14" s="258">
        <v>5</v>
      </c>
      <c r="R14" s="353">
        <f>SUM(D14:Q14)</f>
        <v>7</v>
      </c>
    </row>
    <row r="15" spans="1:18" ht="12.75">
      <c r="A15" s="14" t="s">
        <v>1</v>
      </c>
      <c r="B15" s="460">
        <f>SUM(D15:H15)</f>
        <v>2</v>
      </c>
      <c r="C15" s="460">
        <f>SUM(I15:M15)</f>
        <v>20</v>
      </c>
      <c r="D15" s="460"/>
      <c r="E15" s="460"/>
      <c r="F15" s="460"/>
      <c r="G15" s="460"/>
      <c r="H15" s="460">
        <v>2</v>
      </c>
      <c r="I15" s="460">
        <v>4</v>
      </c>
      <c r="J15" s="460">
        <v>5</v>
      </c>
      <c r="K15" s="460">
        <v>4</v>
      </c>
      <c r="L15" s="460">
        <v>1</v>
      </c>
      <c r="M15" s="460">
        <v>6</v>
      </c>
      <c r="N15" s="460">
        <v>0</v>
      </c>
      <c r="O15" s="461">
        <f>SUM(O13:O14)</f>
        <v>1</v>
      </c>
      <c r="P15" s="461">
        <f>SUM(P13:P14)</f>
        <v>2</v>
      </c>
      <c r="Q15" s="461">
        <f>SUM(Q13:Q14)</f>
        <v>5</v>
      </c>
      <c r="R15" s="460">
        <f>SUM(D15:Q15)</f>
        <v>30</v>
      </c>
    </row>
    <row r="16" spans="2:18" ht="12.75">
      <c r="B16" s="3"/>
      <c r="C16" s="3"/>
      <c r="D16" s="3"/>
      <c r="E16" s="3"/>
      <c r="F16" s="3"/>
      <c r="G16" s="3"/>
      <c r="H16" s="3"/>
      <c r="I16" s="3"/>
      <c r="J16" s="3"/>
      <c r="K16" s="3"/>
      <c r="L16" s="3"/>
      <c r="M16" s="3"/>
      <c r="N16" s="3"/>
      <c r="O16" s="3"/>
      <c r="P16" s="3"/>
      <c r="Q16" s="3"/>
      <c r="R16" s="6"/>
    </row>
    <row r="17" spans="1:18" ht="12.75">
      <c r="A17" s="1" t="s">
        <v>413</v>
      </c>
      <c r="B17" s="3"/>
      <c r="C17" s="3"/>
      <c r="D17" s="3"/>
      <c r="E17" s="3"/>
      <c r="F17" s="3"/>
      <c r="G17" s="3"/>
      <c r="H17" s="3"/>
      <c r="I17" s="3"/>
      <c r="J17" s="3"/>
      <c r="K17" s="3"/>
      <c r="L17" s="3"/>
      <c r="M17" s="3"/>
      <c r="N17" s="3"/>
      <c r="O17" s="3"/>
      <c r="P17" s="3"/>
      <c r="Q17" s="3"/>
      <c r="R17" s="6"/>
    </row>
    <row r="18" spans="1:18" ht="12.75">
      <c r="A18" s="225" t="s">
        <v>347</v>
      </c>
      <c r="B18" s="351"/>
      <c r="C18" s="351"/>
      <c r="D18" s="351"/>
      <c r="E18" s="351"/>
      <c r="F18" s="351"/>
      <c r="G18" s="351"/>
      <c r="H18" s="351"/>
      <c r="I18" s="351"/>
      <c r="J18" s="351"/>
      <c r="K18" s="351"/>
      <c r="L18" s="351"/>
      <c r="M18" s="351"/>
      <c r="N18" s="351"/>
      <c r="O18" s="258">
        <v>13</v>
      </c>
      <c r="P18" s="258"/>
      <c r="Q18" s="258"/>
      <c r="R18" s="6"/>
    </row>
    <row r="19" spans="1:18" ht="12.75">
      <c r="A19" s="225" t="s">
        <v>355</v>
      </c>
      <c r="B19" s="351"/>
      <c r="C19" s="351"/>
      <c r="D19" s="351"/>
      <c r="E19" s="351"/>
      <c r="F19" s="351"/>
      <c r="G19" s="351"/>
      <c r="H19" s="351"/>
      <c r="I19" s="351"/>
      <c r="J19" s="351"/>
      <c r="K19" s="351"/>
      <c r="L19" s="351"/>
      <c r="M19" s="351"/>
      <c r="N19" s="351"/>
      <c r="O19" s="258">
        <v>5</v>
      </c>
      <c r="P19" s="258">
        <v>5</v>
      </c>
      <c r="Q19" s="258">
        <v>11</v>
      </c>
      <c r="R19" s="6"/>
    </row>
    <row r="20" spans="1:19" ht="12.75">
      <c r="A20" s="14" t="s">
        <v>1</v>
      </c>
      <c r="B20" s="462">
        <f>SUM(D20:H20)</f>
        <v>0</v>
      </c>
      <c r="C20" s="462">
        <f>SUM(I20:M20)</f>
        <v>39</v>
      </c>
      <c r="D20" s="462"/>
      <c r="E20" s="462"/>
      <c r="F20" s="462"/>
      <c r="G20" s="462"/>
      <c r="H20" s="462"/>
      <c r="I20" s="462"/>
      <c r="J20" s="462">
        <v>13</v>
      </c>
      <c r="K20" s="463">
        <v>15</v>
      </c>
      <c r="L20" s="463">
        <v>9</v>
      </c>
      <c r="M20" s="463">
        <v>2</v>
      </c>
      <c r="N20" s="463">
        <v>0</v>
      </c>
      <c r="O20" s="463">
        <f>SUM(O18:O19)</f>
        <v>18</v>
      </c>
      <c r="P20" s="463">
        <f>SUM(P18:P19)</f>
        <v>5</v>
      </c>
      <c r="Q20" s="463">
        <f>SUM(Q18:Q19)</f>
        <v>11</v>
      </c>
      <c r="R20" s="44"/>
      <c r="S20" s="130"/>
    </row>
    <row r="21" spans="1:19" ht="12.75">
      <c r="A21" s="30"/>
      <c r="B21" s="355"/>
      <c r="C21" s="355"/>
      <c r="D21" s="355"/>
      <c r="E21" s="355"/>
      <c r="F21" s="355"/>
      <c r="G21" s="355"/>
      <c r="H21" s="355"/>
      <c r="I21" s="355"/>
      <c r="J21" s="355"/>
      <c r="K21" s="356"/>
      <c r="L21" s="356"/>
      <c r="M21" s="356"/>
      <c r="N21" s="356"/>
      <c r="O21" s="356"/>
      <c r="P21" s="356"/>
      <c r="Q21" s="356"/>
      <c r="R21" s="62"/>
      <c r="S21" s="130"/>
    </row>
    <row r="22" spans="1:18" ht="12.75">
      <c r="A22" s="428" t="s">
        <v>388</v>
      </c>
      <c r="B22" s="25"/>
      <c r="C22" s="25"/>
      <c r="D22" s="25"/>
      <c r="E22" s="25"/>
      <c r="F22" s="25"/>
      <c r="G22" s="25"/>
      <c r="H22" s="25"/>
      <c r="I22" s="25"/>
      <c r="J22" s="25"/>
      <c r="K22" s="25"/>
      <c r="L22" s="25"/>
      <c r="M22" s="25"/>
      <c r="N22" s="25"/>
      <c r="O22" s="25"/>
      <c r="P22" s="25"/>
      <c r="Q22" s="25"/>
      <c r="R22" s="99"/>
    </row>
    <row r="23" ht="12.75">
      <c r="A23" s="428"/>
    </row>
    <row r="24" spans="1:18" ht="25.5">
      <c r="A24" s="43" t="s">
        <v>6</v>
      </c>
      <c r="B24" s="81" t="str">
        <f aca="true" t="shared" si="1" ref="B24:R24">B4</f>
        <v>Summary 
2001 to 2005*</v>
      </c>
      <c r="C24" s="81" t="str">
        <f t="shared" si="1"/>
        <v>Summary 
2006 to 2010*</v>
      </c>
      <c r="D24" s="81">
        <f t="shared" si="1"/>
        <v>2001</v>
      </c>
      <c r="E24" s="81">
        <f t="shared" si="1"/>
        <v>2002</v>
      </c>
      <c r="F24" s="81">
        <f t="shared" si="1"/>
        <v>2003</v>
      </c>
      <c r="G24" s="81">
        <f t="shared" si="1"/>
        <v>2004</v>
      </c>
      <c r="H24" s="81">
        <f t="shared" si="1"/>
        <v>2005</v>
      </c>
      <c r="I24" s="81">
        <f t="shared" si="1"/>
        <v>2006</v>
      </c>
      <c r="J24" s="81">
        <f t="shared" si="1"/>
        <v>2007</v>
      </c>
      <c r="K24" s="81">
        <f t="shared" si="1"/>
        <v>2008</v>
      </c>
      <c r="L24" s="81">
        <f t="shared" si="1"/>
        <v>2009</v>
      </c>
      <c r="M24" s="81">
        <f t="shared" si="1"/>
        <v>2010</v>
      </c>
      <c r="N24" s="81">
        <f t="shared" si="1"/>
        <v>2011</v>
      </c>
      <c r="O24" s="81" t="str">
        <f t="shared" si="1"/>
        <v>(18 month)
2012-2013</v>
      </c>
      <c r="P24" s="81" t="str">
        <f t="shared" si="1"/>
        <v>FY2014</v>
      </c>
      <c r="Q24" s="81" t="str">
        <f t="shared" si="1"/>
        <v>FY2015</v>
      </c>
      <c r="R24" s="81" t="str">
        <f t="shared" si="1"/>
        <v>Total 
2001 ~ FY2015</v>
      </c>
    </row>
    <row r="25" spans="1:18" ht="12.75">
      <c r="A25" s="43" t="s">
        <v>407</v>
      </c>
      <c r="B25" s="26" t="s">
        <v>8</v>
      </c>
      <c r="C25" s="26" t="s">
        <v>8</v>
      </c>
      <c r="D25" s="26" t="s">
        <v>8</v>
      </c>
      <c r="E25" s="26" t="s">
        <v>8</v>
      </c>
      <c r="F25" s="26" t="s">
        <v>8</v>
      </c>
      <c r="G25" s="26" t="s">
        <v>8</v>
      </c>
      <c r="H25" s="26" t="s">
        <v>8</v>
      </c>
      <c r="I25" s="26" t="s">
        <v>8</v>
      </c>
      <c r="J25" s="26" t="s">
        <v>8</v>
      </c>
      <c r="K25" s="26" t="s">
        <v>8</v>
      </c>
      <c r="L25" s="26" t="s">
        <v>8</v>
      </c>
      <c r="M25" s="26" t="s">
        <v>8</v>
      </c>
      <c r="N25" s="26" t="s">
        <v>8</v>
      </c>
      <c r="O25" s="148" t="s">
        <v>8</v>
      </c>
      <c r="P25" s="148" t="s">
        <v>8</v>
      </c>
      <c r="Q25" s="148" t="s">
        <v>8</v>
      </c>
      <c r="R25" s="90" t="s">
        <v>8</v>
      </c>
    </row>
    <row r="26" spans="1:18" ht="12.75">
      <c r="A26" s="225" t="s">
        <v>347</v>
      </c>
      <c r="B26" s="351"/>
      <c r="C26" s="351"/>
      <c r="D26" s="351"/>
      <c r="E26" s="351"/>
      <c r="F26" s="351"/>
      <c r="G26" s="351"/>
      <c r="H26" s="351"/>
      <c r="I26" s="351"/>
      <c r="J26" s="351"/>
      <c r="K26" s="351"/>
      <c r="L26" s="351"/>
      <c r="M26" s="351"/>
      <c r="N26" s="351"/>
      <c r="O26" s="318">
        <v>0</v>
      </c>
      <c r="P26" s="318">
        <v>0</v>
      </c>
      <c r="Q26" s="318">
        <v>0</v>
      </c>
      <c r="R26" s="352">
        <f>SUM(D26:Q26)</f>
        <v>0</v>
      </c>
    </row>
    <row r="27" spans="1:18" ht="12.75">
      <c r="A27" s="225" t="s">
        <v>355</v>
      </c>
      <c r="B27" s="351"/>
      <c r="C27" s="351"/>
      <c r="D27" s="351"/>
      <c r="E27" s="351"/>
      <c r="F27" s="351"/>
      <c r="G27" s="351"/>
      <c r="H27" s="351"/>
      <c r="I27" s="351"/>
      <c r="J27" s="351"/>
      <c r="K27" s="351"/>
      <c r="L27" s="351"/>
      <c r="M27" s="351"/>
      <c r="N27" s="351"/>
      <c r="O27" s="318">
        <v>0</v>
      </c>
      <c r="P27" s="318">
        <v>0</v>
      </c>
      <c r="Q27" s="318">
        <v>0</v>
      </c>
      <c r="R27" s="352">
        <f>SUM(D27:Q27)</f>
        <v>0</v>
      </c>
    </row>
    <row r="28" spans="1:18" ht="12.75">
      <c r="A28" s="14" t="s">
        <v>1</v>
      </c>
      <c r="B28" s="245">
        <f>SUM(D28:H28)</f>
        <v>0</v>
      </c>
      <c r="C28" s="245">
        <f>SUM(I28:M28)</f>
        <v>2141</v>
      </c>
      <c r="D28" s="245"/>
      <c r="E28" s="245"/>
      <c r="F28" s="245"/>
      <c r="G28" s="245"/>
      <c r="H28" s="245"/>
      <c r="I28" s="245"/>
      <c r="J28" s="245"/>
      <c r="K28" s="267">
        <v>141</v>
      </c>
      <c r="L28" s="267">
        <v>0</v>
      </c>
      <c r="M28" s="267">
        <v>2000</v>
      </c>
      <c r="N28" s="267"/>
      <c r="O28" s="267">
        <f>SUM(O26:O27)</f>
        <v>0</v>
      </c>
      <c r="P28" s="267">
        <f>SUM(P26:P27)</f>
        <v>0</v>
      </c>
      <c r="Q28" s="267">
        <f>SUM(Q26:Q27)</f>
        <v>0</v>
      </c>
      <c r="R28" s="245">
        <f>SUM(D28:Q28)</f>
        <v>2141</v>
      </c>
    </row>
    <row r="29" spans="1:18" ht="12.75">
      <c r="A29" s="24"/>
      <c r="B29" s="62"/>
      <c r="C29" s="62"/>
      <c r="D29" s="24"/>
      <c r="E29" s="24"/>
      <c r="F29" s="24"/>
      <c r="G29" s="24"/>
      <c r="H29" s="62"/>
      <c r="I29" s="62"/>
      <c r="J29" s="62"/>
      <c r="K29" s="97"/>
      <c r="L29" s="97"/>
      <c r="M29" s="97"/>
      <c r="N29" s="97"/>
      <c r="O29" s="97"/>
      <c r="P29" s="97"/>
      <c r="Q29" s="97"/>
      <c r="R29" s="62"/>
    </row>
    <row r="30" spans="1:18" ht="12.75">
      <c r="A30" s="1" t="s">
        <v>408</v>
      </c>
      <c r="B30" s="26"/>
      <c r="C30" s="26"/>
      <c r="D30" s="26"/>
      <c r="E30" s="26"/>
      <c r="F30" s="26"/>
      <c r="G30" s="26"/>
      <c r="H30" s="26"/>
      <c r="I30" s="26"/>
      <c r="J30" s="26"/>
      <c r="K30" s="26"/>
      <c r="L30" s="26"/>
      <c r="M30" s="26"/>
      <c r="N30" s="26"/>
      <c r="O30" s="148"/>
      <c r="P30" s="148"/>
      <c r="Q30" s="148"/>
      <c r="R30" s="90"/>
    </row>
    <row r="31" spans="1:18" ht="12.75">
      <c r="A31" s="225" t="s">
        <v>347</v>
      </c>
      <c r="B31" s="351"/>
      <c r="C31" s="351"/>
      <c r="D31" s="351"/>
      <c r="E31" s="351"/>
      <c r="F31" s="351"/>
      <c r="G31" s="351"/>
      <c r="H31" s="351"/>
      <c r="I31" s="351"/>
      <c r="J31" s="351"/>
      <c r="K31" s="351"/>
      <c r="L31" s="351"/>
      <c r="M31" s="351"/>
      <c r="N31" s="351"/>
      <c r="O31" s="318">
        <v>0</v>
      </c>
      <c r="P31" s="318">
        <v>0</v>
      </c>
      <c r="Q31" s="318">
        <v>0</v>
      </c>
      <c r="R31" s="352">
        <f>SUM(D31:Q31)</f>
        <v>0</v>
      </c>
    </row>
    <row r="32" spans="1:18" ht="12.75">
      <c r="A32" s="225" t="s">
        <v>355</v>
      </c>
      <c r="B32" s="351"/>
      <c r="C32" s="351"/>
      <c r="D32" s="351"/>
      <c r="E32" s="351"/>
      <c r="F32" s="351"/>
      <c r="G32" s="351"/>
      <c r="H32" s="351"/>
      <c r="I32" s="351"/>
      <c r="J32" s="351"/>
      <c r="K32" s="351"/>
      <c r="L32" s="351"/>
      <c r="M32" s="351"/>
      <c r="N32" s="351"/>
      <c r="O32" s="318">
        <v>0</v>
      </c>
      <c r="P32" s="318">
        <v>0</v>
      </c>
      <c r="Q32" s="318">
        <v>0</v>
      </c>
      <c r="R32" s="352">
        <f>SUM(D32:Q32)</f>
        <v>0</v>
      </c>
    </row>
    <row r="33" spans="1:18" ht="12.75">
      <c r="A33" s="14" t="s">
        <v>1</v>
      </c>
      <c r="B33" s="245">
        <f>SUM(D33:H33)</f>
        <v>0</v>
      </c>
      <c r="C33" s="245">
        <f>SUM(I33:M33)</f>
        <v>26120</v>
      </c>
      <c r="D33" s="245"/>
      <c r="E33" s="245"/>
      <c r="F33" s="245"/>
      <c r="G33" s="245"/>
      <c r="H33" s="245"/>
      <c r="I33" s="245"/>
      <c r="J33" s="245"/>
      <c r="K33" s="267">
        <v>2119</v>
      </c>
      <c r="L33" s="267">
        <v>0</v>
      </c>
      <c r="M33" s="267">
        <v>24001</v>
      </c>
      <c r="N33" s="267"/>
      <c r="O33" s="267">
        <f>SUM(O31:O32)</f>
        <v>0</v>
      </c>
      <c r="P33" s="267">
        <f>SUM(P31:P32)</f>
        <v>0</v>
      </c>
      <c r="Q33" s="267">
        <f>SUM(Q31:Q32)</f>
        <v>0</v>
      </c>
      <c r="R33" s="245">
        <f>SUM(D33:Q33)</f>
        <v>26120</v>
      </c>
    </row>
    <row r="34" spans="1:18" ht="12.75">
      <c r="A34" s="24"/>
      <c r="B34" s="430"/>
      <c r="C34" s="430"/>
      <c r="D34" s="415"/>
      <c r="E34" s="415"/>
      <c r="F34" s="415"/>
      <c r="G34" s="415"/>
      <c r="H34" s="430"/>
      <c r="I34" s="430"/>
      <c r="J34" s="430"/>
      <c r="K34" s="430"/>
      <c r="L34" s="430"/>
      <c r="M34" s="430"/>
      <c r="N34" s="430"/>
      <c r="O34" s="154"/>
      <c r="P34" s="154"/>
      <c r="Q34" s="154"/>
      <c r="R34" s="430"/>
    </row>
    <row r="35" spans="1:18" ht="12.75">
      <c r="A35" s="1" t="s">
        <v>412</v>
      </c>
      <c r="B35" s="26" t="s">
        <v>397</v>
      </c>
      <c r="C35" s="26" t="s">
        <v>397</v>
      </c>
      <c r="D35" s="26" t="s">
        <v>397</v>
      </c>
      <c r="E35" s="26" t="s">
        <v>397</v>
      </c>
      <c r="F35" s="26" t="s">
        <v>397</v>
      </c>
      <c r="G35" s="26" t="s">
        <v>397</v>
      </c>
      <c r="H35" s="26" t="s">
        <v>397</v>
      </c>
      <c r="I35" s="26" t="s">
        <v>397</v>
      </c>
      <c r="J35" s="26" t="s">
        <v>397</v>
      </c>
      <c r="K35" s="26" t="s">
        <v>397</v>
      </c>
      <c r="L35" s="26" t="s">
        <v>397</v>
      </c>
      <c r="M35" s="26" t="s">
        <v>397</v>
      </c>
      <c r="N35" s="26" t="s">
        <v>397</v>
      </c>
      <c r="O35" s="148" t="s">
        <v>397</v>
      </c>
      <c r="P35" s="148" t="s">
        <v>397</v>
      </c>
      <c r="Q35" s="148" t="s">
        <v>397</v>
      </c>
      <c r="R35" s="90" t="s">
        <v>397</v>
      </c>
    </row>
    <row r="36" spans="1:18" ht="12.75">
      <c r="A36" s="225" t="s">
        <v>347</v>
      </c>
      <c r="B36" s="351"/>
      <c r="C36" s="351"/>
      <c r="D36" s="351"/>
      <c r="E36" s="351"/>
      <c r="F36" s="351"/>
      <c r="G36" s="351"/>
      <c r="H36" s="351"/>
      <c r="I36" s="351"/>
      <c r="J36" s="351"/>
      <c r="K36" s="351"/>
      <c r="L36" s="351"/>
      <c r="M36" s="351"/>
      <c r="N36" s="351"/>
      <c r="O36" s="318">
        <v>0</v>
      </c>
      <c r="P36" s="318">
        <v>0</v>
      </c>
      <c r="Q36" s="318">
        <v>0</v>
      </c>
      <c r="R36" s="352">
        <f>SUM(D36:Q36)</f>
        <v>0</v>
      </c>
    </row>
    <row r="37" spans="1:18" ht="12.75">
      <c r="A37" s="225" t="s">
        <v>355</v>
      </c>
      <c r="B37" s="351"/>
      <c r="C37" s="351"/>
      <c r="D37" s="351"/>
      <c r="E37" s="351"/>
      <c r="F37" s="351"/>
      <c r="G37" s="351"/>
      <c r="H37" s="351"/>
      <c r="I37" s="351"/>
      <c r="J37" s="351"/>
      <c r="K37" s="351"/>
      <c r="L37" s="351"/>
      <c r="M37" s="351"/>
      <c r="N37" s="351"/>
      <c r="O37" s="318">
        <v>0</v>
      </c>
      <c r="P37" s="318">
        <v>0</v>
      </c>
      <c r="Q37" s="318">
        <v>0</v>
      </c>
      <c r="R37" s="352">
        <f>SUM(D37:Q37)</f>
        <v>0</v>
      </c>
    </row>
    <row r="38" spans="1:18" ht="12.75">
      <c r="A38" s="14" t="s">
        <v>1</v>
      </c>
      <c r="B38" s="245">
        <f>SUM(D38:H38)</f>
        <v>0</v>
      </c>
      <c r="C38" s="245">
        <f>SUM(I38:M38)</f>
        <v>305</v>
      </c>
      <c r="D38" s="245"/>
      <c r="E38" s="245"/>
      <c r="F38" s="245"/>
      <c r="G38" s="245"/>
      <c r="H38" s="245"/>
      <c r="I38" s="245"/>
      <c r="J38" s="245"/>
      <c r="K38" s="267">
        <v>30</v>
      </c>
      <c r="L38" s="267">
        <v>0</v>
      </c>
      <c r="M38" s="267">
        <v>275</v>
      </c>
      <c r="N38" s="267"/>
      <c r="O38" s="267">
        <f>SUM(O36:O37)</f>
        <v>0</v>
      </c>
      <c r="P38" s="267">
        <f>SUM(P36:P37)</f>
        <v>0</v>
      </c>
      <c r="Q38" s="267">
        <f>SUM(Q36:Q37)</f>
        <v>0</v>
      </c>
      <c r="R38" s="245">
        <f>SUM(D38:Q38)</f>
        <v>305</v>
      </c>
    </row>
    <row r="39" spans="1:18" ht="12.75">
      <c r="A39" s="30"/>
      <c r="B39" s="355"/>
      <c r="C39" s="355"/>
      <c r="D39" s="355"/>
      <c r="E39" s="355"/>
      <c r="F39" s="355"/>
      <c r="G39" s="355"/>
      <c r="H39" s="355"/>
      <c r="I39" s="355"/>
      <c r="J39" s="355"/>
      <c r="K39" s="356"/>
      <c r="L39" s="356"/>
      <c r="M39" s="356"/>
      <c r="N39" s="356"/>
      <c r="O39" s="356"/>
      <c r="P39" s="356"/>
      <c r="Q39" s="356"/>
      <c r="R39" s="355"/>
    </row>
    <row r="40" spans="1:17" ht="12.75">
      <c r="A40" s="43" t="s">
        <v>194</v>
      </c>
      <c r="O40" s="136"/>
      <c r="P40" s="136"/>
      <c r="Q40" s="136"/>
    </row>
    <row r="41" spans="1:18" ht="12.75">
      <c r="A41" s="43" t="s">
        <v>407</v>
      </c>
      <c r="B41" s="26" t="s">
        <v>8</v>
      </c>
      <c r="C41" s="26" t="s">
        <v>8</v>
      </c>
      <c r="D41" s="26" t="s">
        <v>8</v>
      </c>
      <c r="E41" s="26" t="s">
        <v>8</v>
      </c>
      <c r="F41" s="26" t="s">
        <v>8</v>
      </c>
      <c r="G41" s="26" t="s">
        <v>8</v>
      </c>
      <c r="H41" s="26" t="s">
        <v>8</v>
      </c>
      <c r="I41" s="26" t="s">
        <v>8</v>
      </c>
      <c r="J41" s="26" t="s">
        <v>8</v>
      </c>
      <c r="K41" s="26" t="s">
        <v>8</v>
      </c>
      <c r="L41" s="26" t="s">
        <v>8</v>
      </c>
      <c r="M41" s="26" t="s">
        <v>8</v>
      </c>
      <c r="N41" s="26" t="s">
        <v>8</v>
      </c>
      <c r="O41" s="148" t="s">
        <v>8</v>
      </c>
      <c r="P41" s="148" t="s">
        <v>8</v>
      </c>
      <c r="Q41" s="148" t="s">
        <v>8</v>
      </c>
      <c r="R41" s="26" t="s">
        <v>8</v>
      </c>
    </row>
    <row r="42" spans="1:18" ht="12.75">
      <c r="A42" s="225" t="s">
        <v>347</v>
      </c>
      <c r="B42" s="354"/>
      <c r="C42" s="354"/>
      <c r="D42" s="354"/>
      <c r="E42" s="354"/>
      <c r="F42" s="354"/>
      <c r="G42" s="354"/>
      <c r="H42" s="354"/>
      <c r="I42" s="354"/>
      <c r="J42" s="354"/>
      <c r="K42" s="354"/>
      <c r="L42" s="354"/>
      <c r="M42" s="354"/>
      <c r="N42" s="354"/>
      <c r="O42" s="431"/>
      <c r="P42" s="431">
        <v>1154</v>
      </c>
      <c r="Q42" s="464">
        <v>12847</v>
      </c>
      <c r="R42" s="354">
        <f>SUM(D42:Q42)</f>
        <v>14001</v>
      </c>
    </row>
    <row r="43" spans="1:18" ht="12.75">
      <c r="A43" s="225" t="s">
        <v>355</v>
      </c>
      <c r="B43" s="354"/>
      <c r="C43" s="354"/>
      <c r="D43" s="354"/>
      <c r="E43" s="354"/>
      <c r="F43" s="354"/>
      <c r="G43" s="354"/>
      <c r="H43" s="354"/>
      <c r="I43" s="354"/>
      <c r="J43" s="354"/>
      <c r="K43" s="354"/>
      <c r="L43" s="354"/>
      <c r="M43" s="354"/>
      <c r="N43" s="354"/>
      <c r="O43" s="431"/>
      <c r="P43" s="431">
        <v>0</v>
      </c>
      <c r="Q43" s="464">
        <v>33288</v>
      </c>
      <c r="R43" s="354">
        <f>SUM(D43:Q43)</f>
        <v>33288</v>
      </c>
    </row>
    <row r="44" spans="1:18" ht="12.75">
      <c r="A44" s="14" t="s">
        <v>1</v>
      </c>
      <c r="B44" s="245">
        <f>SUM(D44:H44)</f>
        <v>767</v>
      </c>
      <c r="C44" s="245">
        <f>SUM(I44:M44)</f>
        <v>206874</v>
      </c>
      <c r="D44" s="245"/>
      <c r="E44" s="245"/>
      <c r="F44" s="245"/>
      <c r="G44" s="245"/>
      <c r="H44" s="245">
        <v>767</v>
      </c>
      <c r="I44" s="245">
        <v>12575</v>
      </c>
      <c r="J44" s="245">
        <v>102125</v>
      </c>
      <c r="K44" s="267">
        <v>9114</v>
      </c>
      <c r="L44" s="267">
        <v>35317</v>
      </c>
      <c r="M44" s="267">
        <v>47743</v>
      </c>
      <c r="N44" s="267"/>
      <c r="O44" s="267">
        <v>0</v>
      </c>
      <c r="P44" s="267">
        <f>SUM(P42:P43)</f>
        <v>1154</v>
      </c>
      <c r="Q44" s="267">
        <f>SUM(Q42:Q43)</f>
        <v>46135</v>
      </c>
      <c r="R44" s="245">
        <f>SUM(D44:Q44)</f>
        <v>254930</v>
      </c>
    </row>
    <row r="45" spans="15:17" ht="12.75">
      <c r="O45" s="136"/>
      <c r="P45" s="136"/>
      <c r="Q45" s="136"/>
    </row>
    <row r="46" spans="1:18" ht="12.75">
      <c r="A46" s="1" t="s">
        <v>408</v>
      </c>
      <c r="B46" s="26"/>
      <c r="C46" s="26"/>
      <c r="D46" s="26"/>
      <c r="E46" s="26"/>
      <c r="F46" s="26"/>
      <c r="G46" s="26"/>
      <c r="H46" s="26"/>
      <c r="I46" s="26"/>
      <c r="J46" s="26"/>
      <c r="K46" s="26"/>
      <c r="L46" s="26"/>
      <c r="M46" s="26"/>
      <c r="N46" s="26"/>
      <c r="O46" s="148"/>
      <c r="P46" s="148"/>
      <c r="Q46" s="148"/>
      <c r="R46" s="26"/>
    </row>
    <row r="47" spans="1:18" ht="12.75">
      <c r="A47" s="225" t="s">
        <v>347</v>
      </c>
      <c r="B47" s="354"/>
      <c r="C47" s="354"/>
      <c r="D47" s="354"/>
      <c r="E47" s="354"/>
      <c r="F47" s="354"/>
      <c r="G47" s="354"/>
      <c r="H47" s="354"/>
      <c r="I47" s="354"/>
      <c r="J47" s="354"/>
      <c r="K47" s="354"/>
      <c r="L47" s="354"/>
      <c r="M47" s="354"/>
      <c r="N47" s="354"/>
      <c r="O47" s="431"/>
      <c r="P47" s="431">
        <v>13850</v>
      </c>
      <c r="Q47" s="464">
        <v>163537</v>
      </c>
      <c r="R47" s="354">
        <f>SUM(D47:Q47)</f>
        <v>177387</v>
      </c>
    </row>
    <row r="48" spans="1:18" ht="12.75">
      <c r="A48" s="225" t="s">
        <v>355</v>
      </c>
      <c r="B48" s="354"/>
      <c r="C48" s="354"/>
      <c r="D48" s="354"/>
      <c r="E48" s="354"/>
      <c r="F48" s="354"/>
      <c r="G48" s="354"/>
      <c r="H48" s="354"/>
      <c r="I48" s="354"/>
      <c r="J48" s="354"/>
      <c r="K48" s="354"/>
      <c r="L48" s="354"/>
      <c r="M48" s="354"/>
      <c r="N48" s="354"/>
      <c r="O48" s="431"/>
      <c r="P48" s="431">
        <v>0</v>
      </c>
      <c r="Q48" s="464">
        <v>332880</v>
      </c>
      <c r="R48" s="354">
        <f>SUM(D48:Q48)</f>
        <v>332880</v>
      </c>
    </row>
    <row r="49" spans="1:18" ht="12.75">
      <c r="A49" s="14" t="s">
        <v>1</v>
      </c>
      <c r="B49" s="245">
        <f>SUM(D49:H49)</f>
        <v>11498</v>
      </c>
      <c r="C49" s="245">
        <f>SUM(I49:M49)</f>
        <v>2395505</v>
      </c>
      <c r="D49" s="245"/>
      <c r="E49" s="245"/>
      <c r="F49" s="245"/>
      <c r="G49" s="245"/>
      <c r="H49" s="245">
        <v>11498</v>
      </c>
      <c r="I49" s="245">
        <v>112759</v>
      </c>
      <c r="J49" s="245">
        <v>1225505</v>
      </c>
      <c r="K49" s="267">
        <v>109364</v>
      </c>
      <c r="L49" s="267">
        <v>423802</v>
      </c>
      <c r="M49" s="267">
        <v>524075</v>
      </c>
      <c r="N49" s="267"/>
      <c r="O49" s="267">
        <v>0</v>
      </c>
      <c r="P49" s="267">
        <f>SUM(P47:P48)</f>
        <v>13850</v>
      </c>
      <c r="Q49" s="267">
        <f>SUM(Q47:Q48)</f>
        <v>496417</v>
      </c>
      <c r="R49" s="245">
        <f>SUM(D49:Q49)</f>
        <v>2917270</v>
      </c>
    </row>
    <row r="50" spans="15:17" ht="12.75">
      <c r="O50" s="136"/>
      <c r="P50" s="136"/>
      <c r="Q50" s="136"/>
    </row>
    <row r="51" spans="1:18" ht="12.75">
      <c r="A51" s="1" t="s">
        <v>438</v>
      </c>
      <c r="B51" s="26" t="s">
        <v>397</v>
      </c>
      <c r="C51" s="26" t="s">
        <v>397</v>
      </c>
      <c r="D51" s="26" t="s">
        <v>397</v>
      </c>
      <c r="E51" s="26" t="s">
        <v>397</v>
      </c>
      <c r="F51" s="26" t="s">
        <v>397</v>
      </c>
      <c r="G51" s="26" t="s">
        <v>397</v>
      </c>
      <c r="H51" s="26" t="s">
        <v>397</v>
      </c>
      <c r="I51" s="26" t="s">
        <v>397</v>
      </c>
      <c r="J51" s="26" t="s">
        <v>397</v>
      </c>
      <c r="K51" s="26" t="s">
        <v>397</v>
      </c>
      <c r="L51" s="26" t="s">
        <v>397</v>
      </c>
      <c r="M51" s="26" t="s">
        <v>397</v>
      </c>
      <c r="N51" s="26" t="s">
        <v>397</v>
      </c>
      <c r="O51" s="148" t="s">
        <v>397</v>
      </c>
      <c r="P51" s="148" t="s">
        <v>397</v>
      </c>
      <c r="Q51" s="148" t="s">
        <v>397</v>
      </c>
      <c r="R51" s="26" t="s">
        <v>397</v>
      </c>
    </row>
    <row r="52" spans="1:18" ht="12.75">
      <c r="A52" s="225" t="s">
        <v>347</v>
      </c>
      <c r="B52" s="354"/>
      <c r="C52" s="354"/>
      <c r="D52" s="354"/>
      <c r="E52" s="354"/>
      <c r="F52" s="354"/>
      <c r="G52" s="354"/>
      <c r="H52" s="354"/>
      <c r="I52" s="354"/>
      <c r="J52" s="354"/>
      <c r="K52" s="354"/>
      <c r="L52" s="354"/>
      <c r="M52" s="354"/>
      <c r="N52" s="354"/>
      <c r="O52" s="431"/>
      <c r="P52" s="431">
        <v>410</v>
      </c>
      <c r="Q52" s="464">
        <v>1660</v>
      </c>
      <c r="R52" s="354">
        <f>SUM(D52:Q52)</f>
        <v>2070</v>
      </c>
    </row>
    <row r="53" spans="1:18" ht="12.75">
      <c r="A53" s="225" t="s">
        <v>355</v>
      </c>
      <c r="B53" s="354"/>
      <c r="C53" s="354"/>
      <c r="D53" s="354"/>
      <c r="E53" s="354"/>
      <c r="F53" s="354"/>
      <c r="G53" s="354"/>
      <c r="H53" s="354"/>
      <c r="I53" s="354"/>
      <c r="J53" s="354"/>
      <c r="K53" s="354"/>
      <c r="L53" s="354"/>
      <c r="M53" s="354"/>
      <c r="N53" s="354"/>
      <c r="O53" s="431"/>
      <c r="P53" s="431">
        <v>0</v>
      </c>
      <c r="Q53" s="464">
        <v>4110</v>
      </c>
      <c r="R53" s="354">
        <f>SUM(D53:Q53)</f>
        <v>4110</v>
      </c>
    </row>
    <row r="54" spans="1:18" ht="12.75">
      <c r="A54" s="14" t="s">
        <v>1</v>
      </c>
      <c r="B54" s="245">
        <f>SUM(D54:H54)</f>
        <v>140</v>
      </c>
      <c r="C54" s="245">
        <f>SUM(I54:M54)</f>
        <v>19611</v>
      </c>
      <c r="D54" s="245"/>
      <c r="E54" s="245"/>
      <c r="F54" s="245"/>
      <c r="G54" s="245"/>
      <c r="H54" s="245">
        <v>140</v>
      </c>
      <c r="I54" s="245">
        <v>3175</v>
      </c>
      <c r="J54" s="245">
        <v>4925</v>
      </c>
      <c r="K54" s="267">
        <v>1276</v>
      </c>
      <c r="L54" s="267">
        <v>4700</v>
      </c>
      <c r="M54" s="267">
        <v>5535</v>
      </c>
      <c r="N54" s="267"/>
      <c r="O54" s="267">
        <v>0</v>
      </c>
      <c r="P54" s="267">
        <f>SUM(P52:P53)</f>
        <v>410</v>
      </c>
      <c r="Q54" s="267">
        <f>SUM(Q52:Q53)</f>
        <v>5770</v>
      </c>
      <c r="R54" s="245">
        <f>SUM(D54:Q54)</f>
        <v>25931</v>
      </c>
    </row>
    <row r="55" spans="1:18" ht="12.75">
      <c r="A55" s="30"/>
      <c r="B55" s="355"/>
      <c r="C55" s="355"/>
      <c r="D55" s="355"/>
      <c r="E55" s="355"/>
      <c r="F55" s="355"/>
      <c r="G55" s="355"/>
      <c r="H55" s="355"/>
      <c r="I55" s="355"/>
      <c r="J55" s="355"/>
      <c r="K55" s="356"/>
      <c r="L55" s="356"/>
      <c r="M55" s="356"/>
      <c r="N55" s="356"/>
      <c r="O55" s="356"/>
      <c r="P55" s="356"/>
      <c r="Q55" s="356"/>
      <c r="R55" s="355"/>
    </row>
    <row r="56" spans="1:18" ht="12.75">
      <c r="A56" s="43" t="s">
        <v>6</v>
      </c>
      <c r="B56" s="81"/>
      <c r="C56" s="81"/>
      <c r="D56" s="25"/>
      <c r="E56" s="25"/>
      <c r="F56" s="25"/>
      <c r="G56" s="25"/>
      <c r="H56" s="25"/>
      <c r="I56" s="25"/>
      <c r="J56" s="25"/>
      <c r="K56" s="25"/>
      <c r="L56" s="25"/>
      <c r="M56" s="25"/>
      <c r="N56" s="25"/>
      <c r="O56" s="81"/>
      <c r="P56" s="81"/>
      <c r="Q56" s="81"/>
      <c r="R56" s="355"/>
    </row>
    <row r="57" spans="1:18" ht="12.75">
      <c r="A57" s="1" t="s">
        <v>409</v>
      </c>
      <c r="B57" s="26" t="s">
        <v>11</v>
      </c>
      <c r="C57" s="26" t="s">
        <v>11</v>
      </c>
      <c r="D57" s="26" t="s">
        <v>11</v>
      </c>
      <c r="E57" s="26" t="s">
        <v>11</v>
      </c>
      <c r="F57" s="26" t="s">
        <v>11</v>
      </c>
      <c r="G57" s="26" t="s">
        <v>11</v>
      </c>
      <c r="H57" s="26" t="s">
        <v>11</v>
      </c>
      <c r="I57" s="26" t="s">
        <v>11</v>
      </c>
      <c r="J57" s="26" t="s">
        <v>11</v>
      </c>
      <c r="K57" s="26" t="s">
        <v>11</v>
      </c>
      <c r="L57" s="26" t="s">
        <v>11</v>
      </c>
      <c r="M57" s="26" t="s">
        <v>11</v>
      </c>
      <c r="N57" s="26" t="s">
        <v>11</v>
      </c>
      <c r="O57" s="148" t="s">
        <v>11</v>
      </c>
      <c r="P57" s="148" t="s">
        <v>11</v>
      </c>
      <c r="Q57" s="148" t="s">
        <v>11</v>
      </c>
      <c r="R57" s="62"/>
    </row>
    <row r="58" spans="1:18" ht="12.75">
      <c r="A58" s="225" t="s">
        <v>347</v>
      </c>
      <c r="B58" s="351"/>
      <c r="C58" s="351"/>
      <c r="D58" s="351"/>
      <c r="E58" s="351"/>
      <c r="F58" s="351"/>
      <c r="G58" s="351"/>
      <c r="H58" s="351"/>
      <c r="I58" s="351"/>
      <c r="J58" s="351"/>
      <c r="K58" s="351"/>
      <c r="L58" s="351"/>
      <c r="M58" s="351"/>
      <c r="N58" s="351"/>
      <c r="O58" s="318"/>
      <c r="P58" s="318">
        <v>0</v>
      </c>
      <c r="Q58" s="318">
        <v>47017</v>
      </c>
      <c r="R58" s="62"/>
    </row>
    <row r="59" spans="1:18" ht="12.75">
      <c r="A59" s="225" t="s">
        <v>355</v>
      </c>
      <c r="B59" s="351"/>
      <c r="C59" s="351"/>
      <c r="D59" s="351"/>
      <c r="E59" s="351"/>
      <c r="F59" s="351"/>
      <c r="G59" s="351"/>
      <c r="H59" s="351"/>
      <c r="I59" s="351"/>
      <c r="J59" s="351"/>
      <c r="K59" s="351"/>
      <c r="L59" s="351"/>
      <c r="M59" s="351"/>
      <c r="N59" s="351"/>
      <c r="O59" s="318"/>
      <c r="P59" s="318">
        <v>8358</v>
      </c>
      <c r="Q59" s="318">
        <v>123791</v>
      </c>
      <c r="R59" s="62"/>
    </row>
    <row r="60" spans="1:18" ht="12.75">
      <c r="A60" s="14" t="s">
        <v>1</v>
      </c>
      <c r="B60" s="245">
        <f>SUM(D60:H60)</f>
        <v>0</v>
      </c>
      <c r="C60" s="245">
        <f>SUM(I60:M60)</f>
        <v>926652</v>
      </c>
      <c r="D60" s="245"/>
      <c r="E60" s="245"/>
      <c r="F60" s="245"/>
      <c r="G60" s="245"/>
      <c r="H60" s="245">
        <v>0</v>
      </c>
      <c r="I60" s="245">
        <v>0</v>
      </c>
      <c r="J60" s="245">
        <v>526105</v>
      </c>
      <c r="K60" s="267">
        <v>52103</v>
      </c>
      <c r="L60" s="267">
        <v>176521</v>
      </c>
      <c r="M60" s="267">
        <v>171923</v>
      </c>
      <c r="N60" s="267"/>
      <c r="O60" s="267">
        <f>SUM(O58:O59)</f>
        <v>0</v>
      </c>
      <c r="P60" s="267">
        <f>SUM(P58:P59)</f>
        <v>8358</v>
      </c>
      <c r="Q60" s="267">
        <f>SUM(Q58:Q59)</f>
        <v>170808</v>
      </c>
      <c r="R60" s="80"/>
    </row>
    <row r="61" spans="15:18" ht="12.75">
      <c r="O61" s="136"/>
      <c r="P61" s="136"/>
      <c r="Q61" s="136"/>
      <c r="R61" s="80"/>
    </row>
    <row r="62" spans="1:18" ht="12.75">
      <c r="A62" s="1" t="s">
        <v>410</v>
      </c>
      <c r="B62" s="26" t="s">
        <v>11</v>
      </c>
      <c r="C62" s="26" t="s">
        <v>11</v>
      </c>
      <c r="D62" s="26" t="s">
        <v>11</v>
      </c>
      <c r="E62" s="26" t="s">
        <v>11</v>
      </c>
      <c r="F62" s="26" t="s">
        <v>11</v>
      </c>
      <c r="G62" s="26" t="s">
        <v>11</v>
      </c>
      <c r="H62" s="26" t="s">
        <v>11</v>
      </c>
      <c r="I62" s="26" t="s">
        <v>11</v>
      </c>
      <c r="J62" s="26" t="s">
        <v>11</v>
      </c>
      <c r="K62" s="26" t="s">
        <v>11</v>
      </c>
      <c r="L62" s="26" t="s">
        <v>11</v>
      </c>
      <c r="M62" s="26" t="s">
        <v>11</v>
      </c>
      <c r="N62" s="26" t="s">
        <v>11</v>
      </c>
      <c r="O62" s="148" t="s">
        <v>11</v>
      </c>
      <c r="P62" s="148" t="s">
        <v>11</v>
      </c>
      <c r="Q62" s="148" t="s">
        <v>11</v>
      </c>
      <c r="R62" s="80"/>
    </row>
    <row r="63" spans="1:18" ht="12.75">
      <c r="A63" s="225" t="s">
        <v>347</v>
      </c>
      <c r="B63" s="351"/>
      <c r="C63" s="351"/>
      <c r="D63" s="351"/>
      <c r="E63" s="351"/>
      <c r="F63" s="351"/>
      <c r="G63" s="351"/>
      <c r="H63" s="351"/>
      <c r="I63" s="351"/>
      <c r="J63" s="351"/>
      <c r="K63" s="351"/>
      <c r="L63" s="351"/>
      <c r="M63" s="351"/>
      <c r="N63" s="351"/>
      <c r="O63" s="318"/>
      <c r="P63" s="318">
        <v>0</v>
      </c>
      <c r="Q63" s="318">
        <v>629583</v>
      </c>
      <c r="R63" s="62"/>
    </row>
    <row r="64" spans="1:18" ht="12.75">
      <c r="A64" s="225" t="s">
        <v>355</v>
      </c>
      <c r="B64" s="351"/>
      <c r="C64" s="351"/>
      <c r="D64" s="351"/>
      <c r="E64" s="351"/>
      <c r="F64" s="351"/>
      <c r="G64" s="351"/>
      <c r="H64" s="351"/>
      <c r="I64" s="351"/>
      <c r="J64" s="351"/>
      <c r="K64" s="351"/>
      <c r="L64" s="351"/>
      <c r="M64" s="351"/>
      <c r="N64" s="351"/>
      <c r="O64" s="318"/>
      <c r="P64" s="318">
        <v>100301</v>
      </c>
      <c r="Q64" s="318">
        <v>1237910</v>
      </c>
      <c r="R64" s="62"/>
    </row>
    <row r="65" spans="1:18" ht="12.75">
      <c r="A65" s="14" t="s">
        <v>1</v>
      </c>
      <c r="B65" s="245">
        <f>SUM(D65:H65)</f>
        <v>0</v>
      </c>
      <c r="C65" s="245">
        <f>SUM(I65:M65)</f>
        <v>11119822</v>
      </c>
      <c r="D65" s="245"/>
      <c r="E65" s="245"/>
      <c r="F65" s="245"/>
      <c r="G65" s="245"/>
      <c r="H65" s="245">
        <v>0</v>
      </c>
      <c r="I65" s="245">
        <v>0</v>
      </c>
      <c r="J65" s="245">
        <v>6313260</v>
      </c>
      <c r="K65" s="267">
        <v>625236</v>
      </c>
      <c r="L65" s="267">
        <v>2118252</v>
      </c>
      <c r="M65" s="267">
        <v>2063074</v>
      </c>
      <c r="N65" s="267"/>
      <c r="O65" s="267">
        <f>SUM(O63:O64)</f>
        <v>0</v>
      </c>
      <c r="P65" s="267">
        <f>SUM(P63:P64)</f>
        <v>100301</v>
      </c>
      <c r="Q65" s="267">
        <f>SUM(Q63:Q64)</f>
        <v>1867493</v>
      </c>
      <c r="R65" s="80"/>
    </row>
    <row r="66" spans="1:18" ht="12.75">
      <c r="A66" s="30"/>
      <c r="B66" s="355"/>
      <c r="C66" s="355"/>
      <c r="D66" s="355"/>
      <c r="E66" s="355"/>
      <c r="F66" s="355"/>
      <c r="G66" s="355"/>
      <c r="H66" s="355"/>
      <c r="I66" s="355"/>
      <c r="J66" s="355"/>
      <c r="K66" s="356"/>
      <c r="L66" s="356"/>
      <c r="M66" s="356"/>
      <c r="N66" s="356"/>
      <c r="O66" s="356"/>
      <c r="P66" s="356"/>
      <c r="Q66" s="356"/>
      <c r="R66" s="80"/>
    </row>
    <row r="67" spans="1:18" ht="12.75">
      <c r="A67" s="30"/>
      <c r="B67" s="355"/>
      <c r="C67" s="355"/>
      <c r="D67" s="355"/>
      <c r="E67" s="355"/>
      <c r="F67" s="355"/>
      <c r="G67" s="355"/>
      <c r="H67" s="355"/>
      <c r="I67" s="355"/>
      <c r="J67" s="355"/>
      <c r="K67" s="356"/>
      <c r="L67" s="356"/>
      <c r="M67" s="356"/>
      <c r="N67" s="356"/>
      <c r="O67" s="356"/>
      <c r="P67" s="356"/>
      <c r="Q67" s="356"/>
      <c r="R67" s="80"/>
    </row>
    <row r="68" spans="1:18" ht="12.75">
      <c r="A68" s="428" t="s">
        <v>19</v>
      </c>
      <c r="B68" s="62"/>
      <c r="C68" s="62"/>
      <c r="D68" s="24"/>
      <c r="E68" s="24"/>
      <c r="F68" s="24"/>
      <c r="G68" s="24"/>
      <c r="H68" s="62"/>
      <c r="I68" s="62"/>
      <c r="J68" s="62"/>
      <c r="K68" s="62"/>
      <c r="L68" s="62"/>
      <c r="M68" s="62"/>
      <c r="N68" s="62"/>
      <c r="O68" s="97"/>
      <c r="P68" s="97"/>
      <c r="Q68" s="97"/>
      <c r="R68" s="80"/>
    </row>
    <row r="69" spans="1:18" ht="12.75">
      <c r="A69" s="428"/>
      <c r="B69" s="62"/>
      <c r="C69" s="62"/>
      <c r="D69" s="24"/>
      <c r="E69" s="24"/>
      <c r="F69" s="24"/>
      <c r="G69" s="24"/>
      <c r="H69" s="62"/>
      <c r="I69" s="62"/>
      <c r="J69" s="62"/>
      <c r="K69" s="62"/>
      <c r="L69" s="62"/>
      <c r="M69" s="62"/>
      <c r="N69" s="62"/>
      <c r="O69" s="97"/>
      <c r="P69" s="97"/>
      <c r="Q69" s="97"/>
      <c r="R69" s="62"/>
    </row>
    <row r="70" spans="1:18" ht="25.5">
      <c r="A70" s="43" t="s">
        <v>6</v>
      </c>
      <c r="B70" s="471" t="str">
        <f aca="true" t="shared" si="2" ref="B70:Q70">B4</f>
        <v>Summary 
2001 to 2005*</v>
      </c>
      <c r="C70" s="471" t="str">
        <f t="shared" si="2"/>
        <v>Summary 
2006 to 2010*</v>
      </c>
      <c r="D70" s="196">
        <f t="shared" si="2"/>
        <v>2001</v>
      </c>
      <c r="E70" s="196">
        <f t="shared" si="2"/>
        <v>2002</v>
      </c>
      <c r="F70" s="196">
        <f t="shared" si="2"/>
        <v>2003</v>
      </c>
      <c r="G70" s="196">
        <f t="shared" si="2"/>
        <v>2004</v>
      </c>
      <c r="H70" s="471">
        <f t="shared" si="2"/>
        <v>2005</v>
      </c>
      <c r="I70" s="471">
        <f t="shared" si="2"/>
        <v>2006</v>
      </c>
      <c r="J70" s="471">
        <f t="shared" si="2"/>
        <v>2007</v>
      </c>
      <c r="K70" s="471">
        <f t="shared" si="2"/>
        <v>2008</v>
      </c>
      <c r="L70" s="471">
        <f t="shared" si="2"/>
        <v>2009</v>
      </c>
      <c r="M70" s="471">
        <f t="shared" si="2"/>
        <v>2010</v>
      </c>
      <c r="N70" s="471">
        <f t="shared" si="2"/>
        <v>2011</v>
      </c>
      <c r="O70" s="472" t="str">
        <f t="shared" si="2"/>
        <v>(18 month)
2012-2013</v>
      </c>
      <c r="P70" s="472" t="str">
        <f t="shared" si="2"/>
        <v>FY2014</v>
      </c>
      <c r="Q70" s="472" t="str">
        <f t="shared" si="2"/>
        <v>FY2015</v>
      </c>
      <c r="R70" s="81"/>
    </row>
    <row r="71" spans="1:17" ht="12.75">
      <c r="A71" s="43" t="s">
        <v>407</v>
      </c>
      <c r="B71" s="26" t="s">
        <v>8</v>
      </c>
      <c r="C71" s="26" t="s">
        <v>8</v>
      </c>
      <c r="D71" s="26" t="s">
        <v>8</v>
      </c>
      <c r="E71" s="26" t="s">
        <v>8</v>
      </c>
      <c r="F71" s="26" t="s">
        <v>8</v>
      </c>
      <c r="G71" s="26" t="s">
        <v>8</v>
      </c>
      <c r="H71" s="26" t="s">
        <v>8</v>
      </c>
      <c r="I71" s="26" t="s">
        <v>8</v>
      </c>
      <c r="J71" s="26" t="s">
        <v>8</v>
      </c>
      <c r="K71" s="26" t="s">
        <v>8</v>
      </c>
      <c r="L71" s="26" t="s">
        <v>8</v>
      </c>
      <c r="M71" s="26" t="s">
        <v>8</v>
      </c>
      <c r="N71" s="26" t="s">
        <v>8</v>
      </c>
      <c r="O71" s="148" t="s">
        <v>8</v>
      </c>
      <c r="P71" s="148" t="s">
        <v>8</v>
      </c>
      <c r="Q71" s="148" t="s">
        <v>8</v>
      </c>
    </row>
    <row r="72" spans="1:18" ht="12.75">
      <c r="A72" s="225" t="s">
        <v>347</v>
      </c>
      <c r="B72" s="351"/>
      <c r="C72" s="351"/>
      <c r="D72" s="351"/>
      <c r="E72" s="351"/>
      <c r="F72" s="351"/>
      <c r="G72" s="351"/>
      <c r="H72" s="351"/>
      <c r="I72" s="351"/>
      <c r="J72" s="351"/>
      <c r="K72" s="351"/>
      <c r="L72" s="351"/>
      <c r="M72" s="351"/>
      <c r="N72" s="351"/>
      <c r="O72" s="318">
        <v>0</v>
      </c>
      <c r="P72" s="318">
        <v>0</v>
      </c>
      <c r="Q72" s="318">
        <v>0</v>
      </c>
      <c r="R72" s="28"/>
    </row>
    <row r="73" spans="1:18" ht="12.75">
      <c r="A73" s="225" t="s">
        <v>355</v>
      </c>
      <c r="B73" s="351"/>
      <c r="C73" s="351"/>
      <c r="D73" s="351"/>
      <c r="E73" s="351"/>
      <c r="F73" s="351"/>
      <c r="G73" s="351"/>
      <c r="H73" s="351"/>
      <c r="I73" s="351"/>
      <c r="J73" s="351"/>
      <c r="K73" s="351"/>
      <c r="L73" s="351"/>
      <c r="M73" s="351"/>
      <c r="N73" s="351"/>
      <c r="O73" s="318">
        <v>169644</v>
      </c>
      <c r="P73" s="318">
        <v>0</v>
      </c>
      <c r="Q73" s="318">
        <v>505</v>
      </c>
      <c r="R73" s="28"/>
    </row>
    <row r="74" spans="1:18" ht="12.75">
      <c r="A74" s="14" t="s">
        <v>1</v>
      </c>
      <c r="B74" s="245"/>
      <c r="C74" s="245">
        <f>SUM(I74:M74)</f>
        <v>0</v>
      </c>
      <c r="D74" s="245"/>
      <c r="E74" s="245"/>
      <c r="F74" s="245"/>
      <c r="G74" s="245"/>
      <c r="H74" s="245">
        <v>0</v>
      </c>
      <c r="I74" s="245"/>
      <c r="J74" s="245"/>
      <c r="K74" s="267"/>
      <c r="L74" s="267"/>
      <c r="M74" s="267"/>
      <c r="N74" s="267"/>
      <c r="O74" s="267">
        <f>SUM(O72:O73)</f>
        <v>169644</v>
      </c>
      <c r="P74" s="267">
        <f>SUM(P72:P73)</f>
        <v>0</v>
      </c>
      <c r="Q74" s="267">
        <f>SUM(Q72:Q73)</f>
        <v>505</v>
      </c>
      <c r="R74" s="28"/>
    </row>
    <row r="75" spans="1:18" ht="12.75">
      <c r="A75" s="30"/>
      <c r="B75" s="355"/>
      <c r="C75" s="355"/>
      <c r="D75" s="355"/>
      <c r="E75" s="355"/>
      <c r="F75" s="355"/>
      <c r="G75" s="355"/>
      <c r="H75" s="355"/>
      <c r="I75" s="355"/>
      <c r="J75" s="355"/>
      <c r="K75" s="356"/>
      <c r="L75" s="356"/>
      <c r="M75" s="356"/>
      <c r="N75" s="356"/>
      <c r="O75" s="356"/>
      <c r="P75" s="356"/>
      <c r="Q75" s="356"/>
      <c r="R75" s="62"/>
    </row>
    <row r="76" spans="1:18" ht="12.75">
      <c r="A76" s="1" t="s">
        <v>408</v>
      </c>
      <c r="B76" s="26"/>
      <c r="C76" s="26"/>
      <c r="D76" s="26"/>
      <c r="E76" s="26"/>
      <c r="F76" s="26"/>
      <c r="G76" s="26"/>
      <c r="H76" s="26"/>
      <c r="I76" s="26"/>
      <c r="J76" s="26"/>
      <c r="K76" s="26"/>
      <c r="L76" s="26"/>
      <c r="M76" s="26"/>
      <c r="N76" s="26"/>
      <c r="O76" s="148"/>
      <c r="P76" s="148"/>
      <c r="Q76" s="148"/>
      <c r="R76" s="24"/>
    </row>
    <row r="77" spans="1:18" ht="12.75">
      <c r="A77" s="225" t="s">
        <v>347</v>
      </c>
      <c r="B77" s="351"/>
      <c r="C77" s="351"/>
      <c r="D77" s="351"/>
      <c r="E77" s="351"/>
      <c r="F77" s="351"/>
      <c r="G77" s="351"/>
      <c r="H77" s="351"/>
      <c r="I77" s="351"/>
      <c r="J77" s="351"/>
      <c r="K77" s="351"/>
      <c r="L77" s="351"/>
      <c r="M77" s="351"/>
      <c r="N77" s="351"/>
      <c r="O77" s="318">
        <v>0</v>
      </c>
      <c r="P77" s="318">
        <v>0</v>
      </c>
      <c r="Q77" s="318">
        <v>0</v>
      </c>
      <c r="R77" s="28"/>
    </row>
    <row r="78" spans="1:18" ht="12.75">
      <c r="A78" s="225" t="s">
        <v>355</v>
      </c>
      <c r="B78" s="351"/>
      <c r="C78" s="351"/>
      <c r="D78" s="351"/>
      <c r="E78" s="351"/>
      <c r="F78" s="351"/>
      <c r="G78" s="351"/>
      <c r="H78" s="351"/>
      <c r="I78" s="351"/>
      <c r="J78" s="351"/>
      <c r="K78" s="351"/>
      <c r="L78" s="351"/>
      <c r="M78" s="351"/>
      <c r="N78" s="351"/>
      <c r="O78" s="318">
        <v>0</v>
      </c>
      <c r="P78" s="318">
        <v>0</v>
      </c>
      <c r="Q78" s="318">
        <v>7578</v>
      </c>
      <c r="R78" s="28"/>
    </row>
    <row r="79" spans="1:18" ht="12.75">
      <c r="A79" s="14" t="s">
        <v>1</v>
      </c>
      <c r="B79" s="245">
        <f>SUM(D79:H79)</f>
        <v>0</v>
      </c>
      <c r="C79" s="245">
        <f>SUM(I79:M79)</f>
        <v>4245</v>
      </c>
      <c r="D79" s="245"/>
      <c r="E79" s="245"/>
      <c r="F79" s="245"/>
      <c r="G79" s="245"/>
      <c r="H79" s="245"/>
      <c r="I79" s="245"/>
      <c r="J79" s="245"/>
      <c r="K79" s="267"/>
      <c r="L79" s="267">
        <v>4245</v>
      </c>
      <c r="M79" s="267"/>
      <c r="N79" s="267"/>
      <c r="O79" s="267">
        <f>SUM(O77:O78)</f>
        <v>0</v>
      </c>
      <c r="P79" s="267">
        <f>SUM(P77:P78)</f>
        <v>0</v>
      </c>
      <c r="Q79" s="267">
        <f>SUM(Q77:Q78)</f>
        <v>7578</v>
      </c>
      <c r="R79" s="28"/>
    </row>
    <row r="80" spans="1:18" ht="12.75">
      <c r="A80" s="30"/>
      <c r="B80" s="355"/>
      <c r="C80" s="355"/>
      <c r="D80" s="355"/>
      <c r="E80" s="355"/>
      <c r="F80" s="355"/>
      <c r="G80" s="355"/>
      <c r="H80" s="355"/>
      <c r="I80" s="355"/>
      <c r="J80" s="355"/>
      <c r="K80" s="356"/>
      <c r="L80" s="356"/>
      <c r="M80" s="356"/>
      <c r="N80" s="356"/>
      <c r="O80" s="356"/>
      <c r="P80" s="356"/>
      <c r="Q80" s="356"/>
      <c r="R80" s="28"/>
    </row>
    <row r="81" spans="1:18" ht="12.75">
      <c r="A81" s="1" t="s">
        <v>438</v>
      </c>
      <c r="B81" s="26" t="s">
        <v>397</v>
      </c>
      <c r="C81" s="26" t="s">
        <v>397</v>
      </c>
      <c r="D81" s="26" t="s">
        <v>397</v>
      </c>
      <c r="E81" s="26" t="s">
        <v>397</v>
      </c>
      <c r="F81" s="26" t="s">
        <v>397</v>
      </c>
      <c r="G81" s="26" t="s">
        <v>397</v>
      </c>
      <c r="H81" s="26" t="s">
        <v>397</v>
      </c>
      <c r="I81" s="26" t="s">
        <v>397</v>
      </c>
      <c r="J81" s="26" t="s">
        <v>397</v>
      </c>
      <c r="K81" s="26" t="s">
        <v>397</v>
      </c>
      <c r="L81" s="26" t="s">
        <v>397</v>
      </c>
      <c r="M81" s="26" t="s">
        <v>397</v>
      </c>
      <c r="N81" s="26" t="s">
        <v>397</v>
      </c>
      <c r="O81" s="148" t="s">
        <v>397</v>
      </c>
      <c r="P81" s="148" t="s">
        <v>397</v>
      </c>
      <c r="Q81" s="148" t="s">
        <v>397</v>
      </c>
      <c r="R81" s="28"/>
    </row>
    <row r="82" spans="1:18" ht="12.75">
      <c r="A82" s="225" t="s">
        <v>347</v>
      </c>
      <c r="B82" s="354"/>
      <c r="C82" s="354"/>
      <c r="D82" s="354"/>
      <c r="E82" s="354"/>
      <c r="F82" s="354"/>
      <c r="G82" s="354"/>
      <c r="H82" s="354"/>
      <c r="I82" s="354"/>
      <c r="J82" s="354"/>
      <c r="K82" s="354"/>
      <c r="L82" s="354"/>
      <c r="M82" s="354"/>
      <c r="N82" s="354"/>
      <c r="O82" s="431"/>
      <c r="P82" s="431"/>
      <c r="Q82" s="464">
        <v>0</v>
      </c>
      <c r="R82" s="28"/>
    </row>
    <row r="83" spans="1:18" ht="12.75">
      <c r="A83" s="225" t="s">
        <v>355</v>
      </c>
      <c r="B83" s="354"/>
      <c r="C83" s="354"/>
      <c r="D83" s="354"/>
      <c r="E83" s="354"/>
      <c r="F83" s="354"/>
      <c r="G83" s="354"/>
      <c r="H83" s="354"/>
      <c r="I83" s="354"/>
      <c r="J83" s="354"/>
      <c r="K83" s="354"/>
      <c r="L83" s="354"/>
      <c r="M83" s="354"/>
      <c r="N83" s="354"/>
      <c r="O83" s="431"/>
      <c r="P83" s="431"/>
      <c r="Q83" s="464">
        <v>126</v>
      </c>
      <c r="R83" s="28"/>
    </row>
    <row r="84" spans="1:18" ht="12.75">
      <c r="A84" s="14" t="s">
        <v>1</v>
      </c>
      <c r="B84" s="245"/>
      <c r="C84" s="245">
        <f>SUM(I84:M84)</f>
        <v>0</v>
      </c>
      <c r="D84" s="245"/>
      <c r="E84" s="245"/>
      <c r="F84" s="245"/>
      <c r="G84" s="245"/>
      <c r="H84" s="245"/>
      <c r="I84" s="245"/>
      <c r="J84" s="245"/>
      <c r="K84" s="267"/>
      <c r="L84" s="267"/>
      <c r="M84" s="267"/>
      <c r="N84" s="267"/>
      <c r="O84" s="267"/>
      <c r="P84" s="267"/>
      <c r="Q84" s="267">
        <f>SUM(Q82:Q83)</f>
        <v>126</v>
      </c>
      <c r="R84" s="28"/>
    </row>
    <row r="85" spans="15:18" ht="12.75">
      <c r="O85" s="136"/>
      <c r="P85" s="136"/>
      <c r="Q85" s="136"/>
      <c r="R85" s="28"/>
    </row>
    <row r="86" spans="1:18" ht="12.75">
      <c r="A86" s="1" t="s">
        <v>194</v>
      </c>
      <c r="O86" s="136"/>
      <c r="P86" s="136"/>
      <c r="Q86" s="136"/>
      <c r="R86" s="24"/>
    </row>
    <row r="87" spans="1:18" ht="12.75">
      <c r="A87" s="43" t="s">
        <v>407</v>
      </c>
      <c r="B87" s="26" t="s">
        <v>24</v>
      </c>
      <c r="C87" s="26" t="s">
        <v>24</v>
      </c>
      <c r="D87" s="26" t="s">
        <v>8</v>
      </c>
      <c r="E87" s="26" t="s">
        <v>8</v>
      </c>
      <c r="F87" s="26" t="s">
        <v>8</v>
      </c>
      <c r="G87" s="26" t="s">
        <v>8</v>
      </c>
      <c r="H87" s="26" t="s">
        <v>24</v>
      </c>
      <c r="I87" s="26" t="s">
        <v>24</v>
      </c>
      <c r="J87" s="26" t="s">
        <v>8</v>
      </c>
      <c r="K87" s="26" t="s">
        <v>8</v>
      </c>
      <c r="L87" s="26" t="s">
        <v>8</v>
      </c>
      <c r="M87" s="26" t="s">
        <v>8</v>
      </c>
      <c r="N87" s="26" t="s">
        <v>8</v>
      </c>
      <c r="O87" s="148" t="s">
        <v>8</v>
      </c>
      <c r="P87" s="148" t="s">
        <v>8</v>
      </c>
      <c r="Q87" s="148" t="s">
        <v>8</v>
      </c>
      <c r="R87" s="28"/>
    </row>
    <row r="88" spans="1:18" ht="12.75">
      <c r="A88" s="225" t="s">
        <v>347</v>
      </c>
      <c r="B88" s="354"/>
      <c r="C88" s="354"/>
      <c r="D88" s="354"/>
      <c r="E88" s="354"/>
      <c r="F88" s="354"/>
      <c r="G88" s="354"/>
      <c r="H88" s="354"/>
      <c r="I88" s="354"/>
      <c r="J88" s="354"/>
      <c r="K88" s="354"/>
      <c r="L88" s="354"/>
      <c r="M88" s="354"/>
      <c r="N88" s="354"/>
      <c r="O88" s="318">
        <v>33304</v>
      </c>
      <c r="P88" s="318">
        <v>33222</v>
      </c>
      <c r="Q88" s="318">
        <v>78095</v>
      </c>
      <c r="R88" s="28"/>
    </row>
    <row r="89" spans="1:18" ht="12.75">
      <c r="A89" s="225" t="s">
        <v>355</v>
      </c>
      <c r="B89" s="354"/>
      <c r="C89" s="354"/>
      <c r="D89" s="354"/>
      <c r="E89" s="354"/>
      <c r="F89" s="354"/>
      <c r="G89" s="354"/>
      <c r="H89" s="354"/>
      <c r="I89" s="354"/>
      <c r="J89" s="354"/>
      <c r="K89" s="354"/>
      <c r="L89" s="354"/>
      <c r="M89" s="354"/>
      <c r="N89" s="354"/>
      <c r="O89" s="318">
        <v>102314</v>
      </c>
      <c r="P89" s="318">
        <v>0</v>
      </c>
      <c r="Q89" s="318">
        <v>23513</v>
      </c>
      <c r="R89" s="28"/>
    </row>
    <row r="90" spans="1:18" ht="12.75">
      <c r="A90" s="14" t="s">
        <v>1</v>
      </c>
      <c r="B90" s="245">
        <f>SUM(D90:H90)</f>
        <v>0</v>
      </c>
      <c r="C90" s="245">
        <f>SUM(I90:M90)</f>
        <v>1091293</v>
      </c>
      <c r="D90" s="245"/>
      <c r="E90" s="245"/>
      <c r="F90" s="245"/>
      <c r="G90" s="245"/>
      <c r="H90" s="245"/>
      <c r="I90" s="245">
        <v>729628</v>
      </c>
      <c r="J90" s="245">
        <v>105252</v>
      </c>
      <c r="K90" s="245">
        <v>90800</v>
      </c>
      <c r="L90" s="245">
        <v>123895</v>
      </c>
      <c r="M90" s="245">
        <v>41718</v>
      </c>
      <c r="N90" s="245">
        <v>2455</v>
      </c>
      <c r="O90" s="267">
        <f>SUM(O88:O89)</f>
        <v>135618</v>
      </c>
      <c r="P90" s="267">
        <f>SUM(P88:P89)</f>
        <v>33222</v>
      </c>
      <c r="Q90" s="267">
        <f>SUM(Q88:Q89)</f>
        <v>101608</v>
      </c>
      <c r="R90" s="62"/>
    </row>
    <row r="91" spans="15:18" ht="12.75">
      <c r="O91" s="136"/>
      <c r="P91" s="136"/>
      <c r="Q91" s="136"/>
      <c r="R91" s="62"/>
    </row>
    <row r="92" spans="1:18" ht="12.75">
      <c r="A92" s="1" t="s">
        <v>408</v>
      </c>
      <c r="B92" s="26" t="s">
        <v>8</v>
      </c>
      <c r="C92" s="26" t="s">
        <v>8</v>
      </c>
      <c r="D92" s="26" t="s">
        <v>8</v>
      </c>
      <c r="E92" s="26" t="s">
        <v>8</v>
      </c>
      <c r="F92" s="26" t="s">
        <v>8</v>
      </c>
      <c r="G92" s="26" t="s">
        <v>8</v>
      </c>
      <c r="H92" s="26" t="s">
        <v>8</v>
      </c>
      <c r="I92" s="26" t="s">
        <v>8</v>
      </c>
      <c r="J92" s="26" t="s">
        <v>8</v>
      </c>
      <c r="K92" s="26" t="s">
        <v>8</v>
      </c>
      <c r="L92" s="26" t="s">
        <v>8</v>
      </c>
      <c r="M92" s="26" t="s">
        <v>8</v>
      </c>
      <c r="N92" s="26" t="s">
        <v>8</v>
      </c>
      <c r="O92" s="148" t="s">
        <v>8</v>
      </c>
      <c r="P92" s="148" t="s">
        <v>8</v>
      </c>
      <c r="Q92" s="148" t="s">
        <v>8</v>
      </c>
      <c r="R92" s="62"/>
    </row>
    <row r="93" spans="1:18" ht="12.75">
      <c r="A93" s="225" t="s">
        <v>347</v>
      </c>
      <c r="B93" s="354"/>
      <c r="C93" s="354"/>
      <c r="D93" s="354"/>
      <c r="E93" s="354"/>
      <c r="F93" s="354"/>
      <c r="G93" s="354"/>
      <c r="H93" s="354"/>
      <c r="I93" s="354"/>
      <c r="J93" s="354"/>
      <c r="K93" s="354"/>
      <c r="L93" s="354"/>
      <c r="M93" s="354"/>
      <c r="N93" s="354"/>
      <c r="O93" s="318">
        <v>399643</v>
      </c>
      <c r="P93" s="318">
        <v>440093</v>
      </c>
      <c r="Q93" s="318">
        <v>1397640</v>
      </c>
      <c r="R93" s="80"/>
    </row>
    <row r="94" spans="1:18" ht="12.75">
      <c r="A94" s="225" t="s">
        <v>355</v>
      </c>
      <c r="B94" s="354"/>
      <c r="C94" s="354"/>
      <c r="D94" s="354"/>
      <c r="E94" s="354"/>
      <c r="F94" s="354"/>
      <c r="G94" s="354"/>
      <c r="H94" s="354"/>
      <c r="I94" s="354"/>
      <c r="J94" s="354"/>
      <c r="K94" s="354"/>
      <c r="L94" s="354"/>
      <c r="M94" s="354"/>
      <c r="N94" s="354"/>
      <c r="O94" s="318">
        <v>2168539</v>
      </c>
      <c r="P94" s="318">
        <v>0</v>
      </c>
      <c r="Q94" s="318">
        <v>470268</v>
      </c>
      <c r="R94" s="80"/>
    </row>
    <row r="95" spans="1:18" ht="12.75">
      <c r="A95" s="14" t="s">
        <v>1</v>
      </c>
      <c r="B95" s="245">
        <f>SUM(D95:H95)</f>
        <v>199875</v>
      </c>
      <c r="C95" s="245">
        <f>SUM(I95:M95)</f>
        <v>6955733</v>
      </c>
      <c r="D95" s="245"/>
      <c r="E95" s="245"/>
      <c r="F95" s="245"/>
      <c r="G95" s="245"/>
      <c r="H95" s="245">
        <v>199875</v>
      </c>
      <c r="I95" s="245">
        <v>0</v>
      </c>
      <c r="J95" s="245">
        <v>1263019</v>
      </c>
      <c r="K95" s="245">
        <v>3705353</v>
      </c>
      <c r="L95" s="245">
        <v>1486741</v>
      </c>
      <c r="M95" s="245">
        <v>500620</v>
      </c>
      <c r="N95" s="245">
        <v>29465</v>
      </c>
      <c r="O95" s="267">
        <f>SUM(O93:O94)</f>
        <v>2568182</v>
      </c>
      <c r="P95" s="267">
        <f>SUM(P93:P94)</f>
        <v>440093</v>
      </c>
      <c r="Q95" s="267">
        <f>SUM(Q93:Q94)</f>
        <v>1867908</v>
      </c>
      <c r="R95" s="80"/>
    </row>
    <row r="96" spans="15:18" ht="12.75">
      <c r="O96" s="136"/>
      <c r="P96" s="136"/>
      <c r="Q96" s="136"/>
      <c r="R96" s="62"/>
    </row>
    <row r="97" spans="1:18" ht="12.75">
      <c r="A97" s="1" t="s">
        <v>438</v>
      </c>
      <c r="B97" s="26" t="s">
        <v>397</v>
      </c>
      <c r="C97" s="26" t="s">
        <v>397</v>
      </c>
      <c r="D97" s="26" t="s">
        <v>397</v>
      </c>
      <c r="E97" s="26" t="s">
        <v>397</v>
      </c>
      <c r="F97" s="26" t="s">
        <v>397</v>
      </c>
      <c r="G97" s="26" t="s">
        <v>397</v>
      </c>
      <c r="H97" s="26" t="s">
        <v>397</v>
      </c>
      <c r="I97" s="26" t="s">
        <v>397</v>
      </c>
      <c r="J97" s="26" t="s">
        <v>397</v>
      </c>
      <c r="K97" s="26" t="s">
        <v>397</v>
      </c>
      <c r="L97" s="26" t="s">
        <v>397</v>
      </c>
      <c r="M97" s="26" t="s">
        <v>397</v>
      </c>
      <c r="N97" s="26" t="s">
        <v>397</v>
      </c>
      <c r="O97" s="148" t="s">
        <v>397</v>
      </c>
      <c r="P97" s="148" t="s">
        <v>397</v>
      </c>
      <c r="Q97" s="148" t="s">
        <v>397</v>
      </c>
      <c r="R97" s="62"/>
    </row>
    <row r="98" spans="1:18" ht="12.75">
      <c r="A98" s="225" t="s">
        <v>347</v>
      </c>
      <c r="B98" s="354"/>
      <c r="C98" s="354"/>
      <c r="D98" s="354"/>
      <c r="E98" s="354"/>
      <c r="F98" s="354"/>
      <c r="G98" s="354"/>
      <c r="H98" s="354"/>
      <c r="I98" s="354"/>
      <c r="J98" s="354"/>
      <c r="K98" s="354"/>
      <c r="L98" s="354"/>
      <c r="M98" s="354"/>
      <c r="N98" s="354"/>
      <c r="O98" s="318">
        <v>4425</v>
      </c>
      <c r="P98" s="318">
        <v>4243</v>
      </c>
      <c r="Q98" s="318">
        <v>9548</v>
      </c>
      <c r="R98" s="80"/>
    </row>
    <row r="99" spans="1:18" ht="12.75">
      <c r="A99" s="225" t="s">
        <v>355</v>
      </c>
      <c r="B99" s="354"/>
      <c r="C99" s="354"/>
      <c r="D99" s="354"/>
      <c r="E99" s="354"/>
      <c r="F99" s="354"/>
      <c r="G99" s="354"/>
      <c r="H99" s="354"/>
      <c r="I99" s="354"/>
      <c r="J99" s="354"/>
      <c r="K99" s="354"/>
      <c r="L99" s="354"/>
      <c r="M99" s="354"/>
      <c r="N99" s="354"/>
      <c r="O99" s="318">
        <v>12579</v>
      </c>
      <c r="P99" s="318">
        <v>0</v>
      </c>
      <c r="Q99" s="318">
        <v>3000</v>
      </c>
      <c r="R99" s="80"/>
    </row>
    <row r="100" spans="1:18" ht="12.75">
      <c r="A100" s="14" t="s">
        <v>1</v>
      </c>
      <c r="B100" s="245">
        <f>SUM(D100:H100)</f>
        <v>2668</v>
      </c>
      <c r="C100" s="245">
        <f>SUM(I100:M100)</f>
        <v>47387</v>
      </c>
      <c r="D100" s="245"/>
      <c r="E100" s="245"/>
      <c r="F100" s="245"/>
      <c r="G100" s="245"/>
      <c r="H100" s="245">
        <v>2668</v>
      </c>
      <c r="I100" s="245">
        <v>0</v>
      </c>
      <c r="J100" s="245">
        <v>13685</v>
      </c>
      <c r="K100" s="245">
        <v>11365</v>
      </c>
      <c r="L100" s="245">
        <v>16367</v>
      </c>
      <c r="M100" s="245">
        <v>5970</v>
      </c>
      <c r="N100" s="245">
        <v>300</v>
      </c>
      <c r="O100" s="267">
        <f>SUM(O98:O99)</f>
        <v>17004</v>
      </c>
      <c r="P100" s="267">
        <f>SUM(P98:P99)</f>
        <v>4243</v>
      </c>
      <c r="Q100" s="267">
        <f>SUM(Q98:Q99)</f>
        <v>12548</v>
      </c>
      <c r="R100" s="80"/>
    </row>
    <row r="101" spans="1:18" ht="12.75">
      <c r="A101" s="24"/>
      <c r="B101" s="62"/>
      <c r="C101" s="62"/>
      <c r="D101" s="24"/>
      <c r="E101" s="24"/>
      <c r="F101" s="24"/>
      <c r="G101" s="24"/>
      <c r="H101" s="62"/>
      <c r="I101" s="62"/>
      <c r="J101" s="62"/>
      <c r="K101" s="62"/>
      <c r="L101" s="62"/>
      <c r="M101" s="62"/>
      <c r="N101" s="62"/>
      <c r="O101" s="97"/>
      <c r="P101" s="97"/>
      <c r="Q101" s="97"/>
      <c r="R101" s="62"/>
    </row>
    <row r="102" spans="1:18" ht="12.75">
      <c r="A102" s="43" t="s">
        <v>6</v>
      </c>
      <c r="B102" s="25"/>
      <c r="C102" s="25"/>
      <c r="D102" s="25"/>
      <c r="E102" s="25"/>
      <c r="F102" s="25"/>
      <c r="G102" s="25"/>
      <c r="H102" s="25"/>
      <c r="I102" s="25"/>
      <c r="J102" s="25"/>
      <c r="K102" s="25"/>
      <c r="L102" s="25"/>
      <c r="M102" s="25"/>
      <c r="N102" s="25"/>
      <c r="O102" s="147"/>
      <c r="P102" s="147"/>
      <c r="Q102" s="147"/>
      <c r="R102" s="99"/>
    </row>
    <row r="103" spans="1:18" ht="12.75">
      <c r="A103" s="1" t="s">
        <v>409</v>
      </c>
      <c r="B103" s="26" t="s">
        <v>11</v>
      </c>
      <c r="C103" s="26" t="s">
        <v>11</v>
      </c>
      <c r="D103" s="26" t="s">
        <v>11</v>
      </c>
      <c r="E103" s="26" t="s">
        <v>11</v>
      </c>
      <c r="F103" s="26" t="s">
        <v>11</v>
      </c>
      <c r="G103" s="26" t="s">
        <v>11</v>
      </c>
      <c r="H103" s="26" t="s">
        <v>11</v>
      </c>
      <c r="I103" s="26" t="s">
        <v>11</v>
      </c>
      <c r="J103" s="26" t="s">
        <v>11</v>
      </c>
      <c r="K103" s="26" t="s">
        <v>11</v>
      </c>
      <c r="L103" s="26" t="s">
        <v>11</v>
      </c>
      <c r="M103" s="26" t="s">
        <v>11</v>
      </c>
      <c r="N103" s="26" t="s">
        <v>11</v>
      </c>
      <c r="O103" s="148" t="s">
        <v>11</v>
      </c>
      <c r="P103" s="148" t="s">
        <v>11</v>
      </c>
      <c r="Q103" s="148" t="s">
        <v>11</v>
      </c>
      <c r="R103" s="99"/>
    </row>
    <row r="104" spans="1:18" ht="12.75">
      <c r="A104" s="225" t="s">
        <v>347</v>
      </c>
      <c r="B104" s="351"/>
      <c r="C104" s="351"/>
      <c r="D104" s="351"/>
      <c r="E104" s="351"/>
      <c r="F104" s="351"/>
      <c r="G104" s="351"/>
      <c r="H104" s="351"/>
      <c r="I104" s="351"/>
      <c r="J104" s="351"/>
      <c r="K104" s="351"/>
      <c r="L104" s="351"/>
      <c r="M104" s="351"/>
      <c r="N104" s="351"/>
      <c r="O104" s="318">
        <v>74230</v>
      </c>
      <c r="P104" s="318">
        <v>0</v>
      </c>
      <c r="Q104" s="318">
        <v>263745</v>
      </c>
      <c r="R104" s="99"/>
    </row>
    <row r="105" spans="1:18" ht="12.75">
      <c r="A105" s="225" t="s">
        <v>355</v>
      </c>
      <c r="B105" s="351"/>
      <c r="C105" s="351"/>
      <c r="D105" s="351"/>
      <c r="E105" s="351"/>
      <c r="F105" s="351"/>
      <c r="G105" s="351"/>
      <c r="H105" s="351"/>
      <c r="I105" s="351"/>
      <c r="J105" s="351"/>
      <c r="K105" s="351"/>
      <c r="L105" s="351"/>
      <c r="M105" s="351"/>
      <c r="N105" s="351"/>
      <c r="O105" s="318">
        <v>550048</v>
      </c>
      <c r="P105" s="318">
        <v>90526</v>
      </c>
      <c r="Q105" s="318">
        <v>77672</v>
      </c>
      <c r="R105" s="99"/>
    </row>
    <row r="106" spans="1:18" ht="12.75">
      <c r="A106" s="14" t="s">
        <v>1</v>
      </c>
      <c r="B106" s="245">
        <f>SUM(D106:H106)</f>
        <v>217927</v>
      </c>
      <c r="C106" s="245">
        <f>SUM(I106:M106)</f>
        <v>3055920</v>
      </c>
      <c r="D106" s="245"/>
      <c r="E106" s="245"/>
      <c r="F106" s="245"/>
      <c r="G106" s="245"/>
      <c r="H106" s="245">
        <v>217927</v>
      </c>
      <c r="I106" s="245">
        <v>0</v>
      </c>
      <c r="J106" s="245">
        <v>603845</v>
      </c>
      <c r="K106" s="267">
        <v>1254210</v>
      </c>
      <c r="L106" s="267">
        <v>962446</v>
      </c>
      <c r="M106" s="267">
        <v>235419</v>
      </c>
      <c r="N106" s="267">
        <v>5202</v>
      </c>
      <c r="O106" s="267">
        <f>SUM(O104:O105)</f>
        <v>624278</v>
      </c>
      <c r="P106" s="267">
        <f>SUM(P104:P105)</f>
        <v>90526</v>
      </c>
      <c r="Q106" s="267">
        <f>SUM(Q104:Q105)</f>
        <v>341417</v>
      </c>
      <c r="R106" s="62"/>
    </row>
    <row r="107" spans="2:18" ht="12.75">
      <c r="B107" s="23"/>
      <c r="C107" s="23"/>
      <c r="H107" s="23"/>
      <c r="I107" s="23"/>
      <c r="J107" s="23"/>
      <c r="K107" s="23"/>
      <c r="L107" s="23"/>
      <c r="M107" s="23"/>
      <c r="N107" s="23"/>
      <c r="O107" s="138"/>
      <c r="P107" s="138"/>
      <c r="Q107" s="138"/>
      <c r="R107" s="99"/>
    </row>
    <row r="108" spans="1:18" ht="12.75">
      <c r="A108" s="1" t="s">
        <v>410</v>
      </c>
      <c r="B108" s="26" t="s">
        <v>11</v>
      </c>
      <c r="C108" s="26" t="s">
        <v>11</v>
      </c>
      <c r="D108" s="26" t="s">
        <v>11</v>
      </c>
      <c r="E108" s="26" t="s">
        <v>11</v>
      </c>
      <c r="F108" s="26" t="s">
        <v>11</v>
      </c>
      <c r="G108" s="26" t="s">
        <v>11</v>
      </c>
      <c r="H108" s="26" t="s">
        <v>11</v>
      </c>
      <c r="I108" s="26" t="s">
        <v>11</v>
      </c>
      <c r="J108" s="26" t="s">
        <v>11</v>
      </c>
      <c r="K108" s="26" t="s">
        <v>11</v>
      </c>
      <c r="L108" s="26" t="s">
        <v>11</v>
      </c>
      <c r="M108" s="26" t="s">
        <v>11</v>
      </c>
      <c r="N108" s="26" t="s">
        <v>11</v>
      </c>
      <c r="O108" s="148" t="s">
        <v>11</v>
      </c>
      <c r="P108" s="148" t="s">
        <v>11</v>
      </c>
      <c r="Q108" s="148" t="s">
        <v>11</v>
      </c>
      <c r="R108" s="25"/>
    </row>
    <row r="109" spans="1:18" ht="12.75">
      <c r="A109" s="225" t="s">
        <v>347</v>
      </c>
      <c r="B109" s="351"/>
      <c r="C109" s="351"/>
      <c r="D109" s="351"/>
      <c r="E109" s="351"/>
      <c r="F109" s="351"/>
      <c r="G109" s="351"/>
      <c r="H109" s="351"/>
      <c r="I109" s="351"/>
      <c r="J109" s="351"/>
      <c r="K109" s="351"/>
      <c r="L109" s="351"/>
      <c r="M109" s="351"/>
      <c r="N109" s="351"/>
      <c r="O109" s="318">
        <v>930760</v>
      </c>
      <c r="P109" s="318">
        <v>0</v>
      </c>
      <c r="Q109" s="318">
        <v>4989471</v>
      </c>
      <c r="R109" s="25"/>
    </row>
    <row r="110" spans="1:18" ht="12.75">
      <c r="A110" s="225" t="s">
        <v>355</v>
      </c>
      <c r="B110" s="351"/>
      <c r="C110" s="351"/>
      <c r="D110" s="351"/>
      <c r="E110" s="351"/>
      <c r="F110" s="351"/>
      <c r="G110" s="351"/>
      <c r="H110" s="351"/>
      <c r="I110" s="351"/>
      <c r="J110" s="351"/>
      <c r="K110" s="351"/>
      <c r="L110" s="351"/>
      <c r="M110" s="351"/>
      <c r="N110" s="351"/>
      <c r="O110" s="318">
        <v>13248900</v>
      </c>
      <c r="P110" s="318">
        <v>1298191</v>
      </c>
      <c r="Q110" s="318">
        <v>1553440</v>
      </c>
      <c r="R110" s="62"/>
    </row>
    <row r="111" spans="1:18" ht="12.75">
      <c r="A111" s="14" t="s">
        <v>1</v>
      </c>
      <c r="B111" s="245">
        <f>SUM(D111:H111)</f>
        <v>3268911</v>
      </c>
      <c r="C111" s="245">
        <f>SUM(I111:M111)</f>
        <v>36012217</v>
      </c>
      <c r="D111" s="245"/>
      <c r="E111" s="245"/>
      <c r="F111" s="245"/>
      <c r="G111" s="245"/>
      <c r="H111" s="245">
        <v>3268911</v>
      </c>
      <c r="I111" s="245">
        <v>0</v>
      </c>
      <c r="J111" s="245">
        <v>7246151</v>
      </c>
      <c r="K111" s="267">
        <v>14391686</v>
      </c>
      <c r="L111" s="267">
        <v>11549352</v>
      </c>
      <c r="M111" s="267">
        <v>2825028</v>
      </c>
      <c r="N111" s="267">
        <v>62424</v>
      </c>
      <c r="O111" s="267">
        <f>SUM(O109:O110)</f>
        <v>14179660</v>
      </c>
      <c r="P111" s="267">
        <f>SUM(P109:P110)</f>
        <v>1298191</v>
      </c>
      <c r="Q111" s="267">
        <f>SUM(Q109:Q110)</f>
        <v>6542911</v>
      </c>
      <c r="R111" s="62"/>
    </row>
    <row r="112" spans="1:18" ht="12.75">
      <c r="A112" s="2" t="s">
        <v>291</v>
      </c>
      <c r="B112" s="25"/>
      <c r="C112" s="25"/>
      <c r="D112" s="25"/>
      <c r="E112" s="25"/>
      <c r="F112" s="25"/>
      <c r="G112" s="25"/>
      <c r="H112" s="25"/>
      <c r="I112" s="25"/>
      <c r="J112" s="25"/>
      <c r="K112" s="25"/>
      <c r="L112" s="25"/>
      <c r="M112" s="25"/>
      <c r="N112" s="25"/>
      <c r="O112" s="147"/>
      <c r="P112" s="147"/>
      <c r="Q112" s="147"/>
      <c r="R112" s="25"/>
    </row>
    <row r="113" spans="1:18" ht="15.75">
      <c r="A113" s="56"/>
      <c r="B113" s="25"/>
      <c r="C113" s="25"/>
      <c r="D113" s="25"/>
      <c r="E113" s="25"/>
      <c r="F113" s="25"/>
      <c r="G113" s="25"/>
      <c r="H113" s="25"/>
      <c r="I113" s="25"/>
      <c r="J113" s="25"/>
      <c r="K113" s="25"/>
      <c r="L113" s="25"/>
      <c r="M113" s="25"/>
      <c r="N113" s="25"/>
      <c r="O113" s="147"/>
      <c r="P113" s="147"/>
      <c r="Q113" s="147"/>
      <c r="R113" s="25"/>
    </row>
    <row r="114" ht="12.75">
      <c r="R114" s="62"/>
    </row>
    <row r="115" ht="12.75">
      <c r="R115" s="28"/>
    </row>
    <row r="116" ht="12.75">
      <c r="R116" s="62"/>
    </row>
  </sheetData>
  <sheetProtection/>
  <mergeCells count="2">
    <mergeCell ref="A2:R2"/>
    <mergeCell ref="A1:R1"/>
  </mergeCells>
  <printOptions/>
  <pageMargins left="0.25" right="0.25" top="0.68" bottom="0.61" header="0.3" footer="0.3"/>
  <pageSetup fitToHeight="2" horizontalDpi="600" verticalDpi="600" orientation="landscape" scale="75" r:id="rId1"/>
  <headerFooter scaleWithDoc="0" alignWithMargins="0">
    <oddFooter>&amp;L&amp;6&amp;A - Results by Program Year&amp;R&amp;6printed &amp;D at &amp;T</oddFooter>
  </headerFooter>
  <rowBreaks count="2" manualBreakCount="2">
    <brk id="20" max="17" man="1"/>
    <brk id="65" max="17" man="1"/>
  </rowBreaks>
</worksheet>
</file>

<file path=xl/worksheets/sheet16.xml><?xml version="1.0" encoding="utf-8"?>
<worksheet xmlns="http://schemas.openxmlformats.org/spreadsheetml/2006/main" xmlns:r="http://schemas.openxmlformats.org/officeDocument/2006/relationships">
  <sheetPr>
    <tabColor theme="6"/>
    <pageSetUpPr fitToPage="1"/>
  </sheetPr>
  <dimension ref="A1:Q46"/>
  <sheetViews>
    <sheetView showGridLines="0" zoomScalePageLayoutView="0" workbookViewId="0" topLeftCell="A1">
      <selection activeCell="A1" sqref="A1:R1"/>
    </sheetView>
  </sheetViews>
  <sheetFormatPr defaultColWidth="9.140625" defaultRowHeight="12.75"/>
  <cols>
    <col min="1" max="1" width="24.421875" style="0" bestFit="1" customWidth="1"/>
    <col min="2" max="8" width="15.140625" style="0" customWidth="1"/>
    <col min="9" max="9" width="15.57421875" style="0" customWidth="1"/>
  </cols>
  <sheetData>
    <row r="1" spans="1:17" ht="12.75">
      <c r="A1" s="484" t="s">
        <v>393</v>
      </c>
      <c r="B1" s="484"/>
      <c r="C1" s="484"/>
      <c r="D1" s="484"/>
      <c r="E1" s="484"/>
      <c r="F1" s="484"/>
      <c r="G1" s="484"/>
      <c r="H1" s="484"/>
      <c r="I1" s="484"/>
      <c r="J1" s="432"/>
      <c r="K1" s="432"/>
      <c r="L1" s="432"/>
      <c r="M1" s="432"/>
      <c r="N1" s="432"/>
      <c r="O1" s="432"/>
      <c r="P1" s="432"/>
      <c r="Q1" s="432"/>
    </row>
    <row r="2" spans="1:9" ht="12.75">
      <c r="A2" s="484" t="s">
        <v>235</v>
      </c>
      <c r="B2" s="484"/>
      <c r="C2" s="484"/>
      <c r="D2" s="484"/>
      <c r="E2" s="484"/>
      <c r="F2" s="484"/>
      <c r="G2" s="484"/>
      <c r="H2" s="484"/>
      <c r="I2" s="484"/>
    </row>
    <row r="4" spans="1:9" ht="25.5">
      <c r="A4" s="30" t="s">
        <v>206</v>
      </c>
      <c r="B4" s="28">
        <v>2008</v>
      </c>
      <c r="C4" s="25">
        <v>2009</v>
      </c>
      <c r="D4" s="25">
        <v>2010</v>
      </c>
      <c r="E4" s="25">
        <v>2011</v>
      </c>
      <c r="F4" s="126" t="s">
        <v>346</v>
      </c>
      <c r="G4" s="126" t="s">
        <v>351</v>
      </c>
      <c r="H4" s="126" t="s">
        <v>440</v>
      </c>
      <c r="I4" s="81" t="str">
        <f>"Total "&amp;CHAR(10)&amp;B4&amp;" ~ "&amp;H4</f>
        <v>Total 
2008 ~ FY2015</v>
      </c>
    </row>
    <row r="5" spans="1:9" ht="12.75">
      <c r="A5" s="19" t="s">
        <v>183</v>
      </c>
      <c r="B5" s="281">
        <v>3000000</v>
      </c>
      <c r="C5" s="281">
        <v>10295999</v>
      </c>
      <c r="D5" s="281">
        <v>24532976.5</v>
      </c>
      <c r="E5" s="281">
        <v>35896150.92</v>
      </c>
      <c r="F5" s="289">
        <v>56632162.2</v>
      </c>
      <c r="G5" s="289">
        <v>42569603.07</v>
      </c>
      <c r="H5" s="289">
        <v>48981360.42</v>
      </c>
      <c r="I5" s="281">
        <f>SUM(B5:H5)</f>
        <v>221908252.11</v>
      </c>
    </row>
    <row r="6" spans="1:9" ht="12.75">
      <c r="A6" s="21"/>
      <c r="B6" s="21"/>
      <c r="C6" s="101"/>
      <c r="D6" s="101"/>
      <c r="E6" s="101"/>
      <c r="F6" s="137"/>
      <c r="G6" s="137"/>
      <c r="H6" s="137"/>
      <c r="I6" s="101"/>
    </row>
    <row r="7" spans="1:9" ht="12.75">
      <c r="A7" s="30" t="s">
        <v>207</v>
      </c>
      <c r="B7" s="30"/>
      <c r="C7" s="101"/>
      <c r="D7" s="101"/>
      <c r="E7" s="101"/>
      <c r="F7" s="137"/>
      <c r="G7" s="137"/>
      <c r="H7" s="137"/>
      <c r="I7" s="101"/>
    </row>
    <row r="8" spans="1:9" ht="12.75">
      <c r="A8" s="181" t="s">
        <v>20</v>
      </c>
      <c r="B8" s="288">
        <v>0</v>
      </c>
      <c r="C8" s="278">
        <v>0</v>
      </c>
      <c r="D8" s="278">
        <v>3970159.58</v>
      </c>
      <c r="E8" s="278">
        <v>21733218.78</v>
      </c>
      <c r="F8" s="279">
        <v>34203559.13</v>
      </c>
      <c r="G8" s="279">
        <v>26688242.65</v>
      </c>
      <c r="H8" s="279">
        <v>35658947.49</v>
      </c>
      <c r="I8" s="278">
        <f>SUM(B8:H8)</f>
        <v>122254127.63</v>
      </c>
    </row>
    <row r="9" spans="1:10" ht="12.75">
      <c r="A9" s="181" t="s">
        <v>19</v>
      </c>
      <c r="B9" s="288"/>
      <c r="C9" s="278"/>
      <c r="D9" s="278"/>
      <c r="E9" s="278">
        <v>1086568</v>
      </c>
      <c r="F9" s="279">
        <v>14874180.48</v>
      </c>
      <c r="G9" s="279">
        <v>13633307.92</v>
      </c>
      <c r="H9" s="279">
        <v>12782416.81</v>
      </c>
      <c r="I9" s="279">
        <f>SUM(B9:H9)</f>
        <v>42376473.21</v>
      </c>
      <c r="J9" s="146"/>
    </row>
    <row r="10" spans="1:10" ht="12.75">
      <c r="A10" s="16" t="s">
        <v>1</v>
      </c>
      <c r="B10" s="281"/>
      <c r="C10" s="281"/>
      <c r="D10" s="281"/>
      <c r="E10" s="281">
        <f>SUM(E8:E9)</f>
        <v>22819786.78</v>
      </c>
      <c r="F10" s="281">
        <f>SUM(F8:F9)</f>
        <v>49077739.61</v>
      </c>
      <c r="G10" s="281">
        <f>SUM(G8:G9)</f>
        <v>40321550.57</v>
      </c>
      <c r="H10" s="281">
        <f>SUM(H8:H9)</f>
        <v>48441364.300000004</v>
      </c>
      <c r="I10" s="289">
        <f>SUM(I8:I9)</f>
        <v>164630600.84</v>
      </c>
      <c r="J10" s="136"/>
    </row>
    <row r="11" spans="1:2" ht="12.75">
      <c r="A11" s="21"/>
      <c r="B11" s="21"/>
    </row>
    <row r="12" spans="1:11" ht="12.75">
      <c r="A12" s="43" t="s">
        <v>5</v>
      </c>
      <c r="B12" s="43"/>
      <c r="E12" s="136"/>
      <c r="F12" s="136"/>
      <c r="G12" s="136"/>
      <c r="H12" s="136"/>
      <c r="I12" s="136"/>
      <c r="J12" s="136"/>
      <c r="K12" s="136"/>
    </row>
    <row r="13" spans="1:11" ht="12.75">
      <c r="A13" s="181" t="s">
        <v>388</v>
      </c>
      <c r="B13" s="290"/>
      <c r="C13" s="246"/>
      <c r="D13" s="246">
        <v>162</v>
      </c>
      <c r="E13" s="256">
        <v>1325</v>
      </c>
      <c r="F13" s="256">
        <v>2084</v>
      </c>
      <c r="G13" s="256">
        <v>1124</v>
      </c>
      <c r="H13" s="256">
        <v>1349</v>
      </c>
      <c r="I13" s="256">
        <f>SUM(B13:H13)</f>
        <v>6044</v>
      </c>
      <c r="J13" s="138"/>
      <c r="K13" s="136"/>
    </row>
    <row r="14" spans="1:11" ht="12.75">
      <c r="A14" s="181" t="s">
        <v>19</v>
      </c>
      <c r="B14" s="290"/>
      <c r="C14" s="246"/>
      <c r="D14" s="256">
        <v>443</v>
      </c>
      <c r="E14" s="256"/>
      <c r="F14" s="256"/>
      <c r="G14" s="256"/>
      <c r="H14" s="256"/>
      <c r="I14" s="256">
        <f>SUM(B14:H14)</f>
        <v>443</v>
      </c>
      <c r="J14" s="135"/>
      <c r="K14" s="136"/>
    </row>
    <row r="15" spans="1:11" ht="12.75">
      <c r="A15" s="16" t="s">
        <v>1</v>
      </c>
      <c r="B15" s="290"/>
      <c r="C15" s="245">
        <f aca="true" t="shared" si="0" ref="C15:H15">SUM(C13:C14)</f>
        <v>0</v>
      </c>
      <c r="D15" s="245">
        <f t="shared" si="0"/>
        <v>605</v>
      </c>
      <c r="E15" s="267">
        <f t="shared" si="0"/>
        <v>1325</v>
      </c>
      <c r="F15" s="267">
        <f t="shared" si="0"/>
        <v>2084</v>
      </c>
      <c r="G15" s="267">
        <f t="shared" si="0"/>
        <v>1124</v>
      </c>
      <c r="H15" s="267">
        <f t="shared" si="0"/>
        <v>1349</v>
      </c>
      <c r="I15" s="267">
        <f>SUM(B15:H15)</f>
        <v>6487</v>
      </c>
      <c r="J15" s="155"/>
      <c r="K15" s="136"/>
    </row>
    <row r="16" spans="1:11" ht="12.75">
      <c r="A16" s="43"/>
      <c r="B16" s="43"/>
      <c r="C16" s="24"/>
      <c r="D16" s="24"/>
      <c r="E16" s="74"/>
      <c r="F16" s="74"/>
      <c r="G16" s="74"/>
      <c r="H16" s="74"/>
      <c r="I16" s="74"/>
      <c r="J16" s="136"/>
      <c r="K16" s="136"/>
    </row>
    <row r="17" spans="1:11" ht="12.75">
      <c r="A17" s="43"/>
      <c r="B17" s="43"/>
      <c r="C17" s="24"/>
      <c r="D17" s="24"/>
      <c r="E17" s="74"/>
      <c r="F17" s="74"/>
      <c r="G17" s="74"/>
      <c r="H17" s="74"/>
      <c r="I17" s="74"/>
      <c r="J17" s="136"/>
      <c r="K17" s="136"/>
    </row>
    <row r="18" spans="1:11" ht="12.75">
      <c r="A18" s="428" t="s">
        <v>388</v>
      </c>
      <c r="B18" s="43"/>
      <c r="C18" s="24"/>
      <c r="D18" s="24"/>
      <c r="E18" s="74"/>
      <c r="F18" s="74"/>
      <c r="G18" s="74"/>
      <c r="H18" s="74"/>
      <c r="I18" s="74"/>
      <c r="J18" s="136"/>
      <c r="K18" s="136"/>
    </row>
    <row r="19" spans="1:11" ht="12.75">
      <c r="A19" s="428"/>
      <c r="B19" s="21"/>
      <c r="E19" s="136"/>
      <c r="F19" s="136"/>
      <c r="G19" s="136"/>
      <c r="H19" s="136"/>
      <c r="I19" s="136"/>
      <c r="J19" s="136"/>
      <c r="K19" s="136"/>
    </row>
    <row r="20" spans="1:2" ht="12.75">
      <c r="A20" s="43" t="s">
        <v>6</v>
      </c>
      <c r="B20" s="43"/>
    </row>
    <row r="21" spans="1:9" ht="12.75">
      <c r="A21" s="43" t="s">
        <v>7</v>
      </c>
      <c r="B21" s="40" t="s">
        <v>8</v>
      </c>
      <c r="C21" s="40" t="s">
        <v>8</v>
      </c>
      <c r="D21" s="40" t="s">
        <v>8</v>
      </c>
      <c r="E21" s="40" t="s">
        <v>8</v>
      </c>
      <c r="F21" s="40" t="s">
        <v>8</v>
      </c>
      <c r="G21" s="40" t="s">
        <v>8</v>
      </c>
      <c r="H21" s="40" t="s">
        <v>8</v>
      </c>
      <c r="I21" s="40" t="s">
        <v>8</v>
      </c>
    </row>
    <row r="22" spans="1:9" ht="12.75">
      <c r="A22" s="19" t="s">
        <v>343</v>
      </c>
      <c r="B22" s="290"/>
      <c r="C22" s="246"/>
      <c r="D22" s="246">
        <v>5007</v>
      </c>
      <c r="E22" s="246">
        <v>41640</v>
      </c>
      <c r="F22" s="256">
        <v>61416</v>
      </c>
      <c r="G22" s="256">
        <v>38040</v>
      </c>
      <c r="H22" s="256">
        <v>46955</v>
      </c>
      <c r="I22" s="246">
        <f>SUM(B22:H22)</f>
        <v>193058</v>
      </c>
    </row>
    <row r="23" spans="1:9" ht="12.75">
      <c r="A23" s="19" t="s">
        <v>344</v>
      </c>
      <c r="B23" s="290"/>
      <c r="C23" s="246"/>
      <c r="D23" s="246">
        <v>75032</v>
      </c>
      <c r="E23" s="246">
        <v>621575</v>
      </c>
      <c r="F23" s="256">
        <v>869610</v>
      </c>
      <c r="G23" s="256">
        <v>548554</v>
      </c>
      <c r="H23" s="256">
        <v>683425</v>
      </c>
      <c r="I23" s="246">
        <f>SUM(B23:H23)</f>
        <v>2798196</v>
      </c>
    </row>
    <row r="24" spans="1:9" ht="12.75">
      <c r="A24" s="21"/>
      <c r="B24" s="21"/>
      <c r="D24" s="23"/>
      <c r="E24" s="23"/>
      <c r="F24" s="138"/>
      <c r="G24" s="138"/>
      <c r="H24" s="138"/>
      <c r="I24" s="23"/>
    </row>
    <row r="25" spans="1:9" ht="12.75">
      <c r="A25" s="43" t="s">
        <v>111</v>
      </c>
      <c r="B25" s="44" t="s">
        <v>397</v>
      </c>
      <c r="C25" s="44" t="s">
        <v>397</v>
      </c>
      <c r="D25" s="44" t="s">
        <v>397</v>
      </c>
      <c r="E25" s="44" t="s">
        <v>397</v>
      </c>
      <c r="F25" s="58" t="s">
        <v>397</v>
      </c>
      <c r="G25" s="58" t="s">
        <v>397</v>
      </c>
      <c r="H25" s="58" t="s">
        <v>397</v>
      </c>
      <c r="I25" s="44" t="s">
        <v>397</v>
      </c>
    </row>
    <row r="26" spans="1:9" ht="12.75">
      <c r="A26" s="19" t="s">
        <v>425</v>
      </c>
      <c r="B26" s="290"/>
      <c r="C26" s="246"/>
      <c r="D26" s="246">
        <v>1276</v>
      </c>
      <c r="E26" s="246">
        <v>8693</v>
      </c>
      <c r="F26" s="256">
        <v>14288</v>
      </c>
      <c r="G26" s="256">
        <v>9390</v>
      </c>
      <c r="H26" s="256">
        <v>12186</v>
      </c>
      <c r="I26" s="246">
        <f>SUM(B26:H26)</f>
        <v>45833</v>
      </c>
    </row>
    <row r="27" spans="1:9" ht="12.75">
      <c r="A27" s="5"/>
      <c r="B27" s="5"/>
      <c r="D27" s="23"/>
      <c r="E27" s="23"/>
      <c r="F27" s="138"/>
      <c r="G27" s="138"/>
      <c r="H27" s="138"/>
      <c r="I27" s="23"/>
    </row>
    <row r="28" spans="1:9" ht="12.75">
      <c r="A28" s="43" t="s">
        <v>6</v>
      </c>
      <c r="B28" s="5"/>
      <c r="D28" s="23"/>
      <c r="E28" s="23"/>
      <c r="F28" s="138"/>
      <c r="G28" s="138"/>
      <c r="H28" s="138"/>
      <c r="I28" s="23"/>
    </row>
    <row r="29" spans="1:9" ht="12.75">
      <c r="A29" s="1" t="s">
        <v>10</v>
      </c>
      <c r="B29" s="44" t="s">
        <v>11</v>
      </c>
      <c r="C29" s="44" t="s">
        <v>11</v>
      </c>
      <c r="D29" s="44" t="s">
        <v>11</v>
      </c>
      <c r="E29" s="44" t="s">
        <v>11</v>
      </c>
      <c r="F29" s="58" t="s">
        <v>11</v>
      </c>
      <c r="G29" s="58" t="s">
        <v>11</v>
      </c>
      <c r="H29" s="58" t="s">
        <v>11</v>
      </c>
      <c r="I29" s="44" t="s">
        <v>11</v>
      </c>
    </row>
    <row r="30" spans="1:9" ht="12.75">
      <c r="A30" s="19" t="s">
        <v>343</v>
      </c>
      <c r="B30" s="290"/>
      <c r="C30" s="246"/>
      <c r="D30" s="246">
        <v>4487</v>
      </c>
      <c r="E30" s="246">
        <v>61347</v>
      </c>
      <c r="F30" s="256">
        <v>75657</v>
      </c>
      <c r="G30" s="256">
        <v>99959</v>
      </c>
      <c r="H30" s="256">
        <v>116778</v>
      </c>
      <c r="I30" s="246">
        <f>SUM(B30:H30)</f>
        <v>358228</v>
      </c>
    </row>
    <row r="31" spans="1:9" ht="12.75">
      <c r="A31" s="19" t="s">
        <v>344</v>
      </c>
      <c r="B31" s="290"/>
      <c r="C31" s="246"/>
      <c r="D31" s="246">
        <v>67968</v>
      </c>
      <c r="E31" s="246">
        <v>1016634</v>
      </c>
      <c r="F31" s="256">
        <v>1198392</v>
      </c>
      <c r="G31" s="256">
        <v>1647942</v>
      </c>
      <c r="H31" s="256">
        <v>1879664</v>
      </c>
      <c r="I31" s="246">
        <f>SUM(B31:H31)</f>
        <v>5810600</v>
      </c>
    </row>
    <row r="32" spans="1:9" ht="12.75">
      <c r="A32" s="43"/>
      <c r="B32" s="43"/>
      <c r="C32" s="24"/>
      <c r="D32" s="62"/>
      <c r="E32" s="62"/>
      <c r="F32" s="97"/>
      <c r="G32" s="97"/>
      <c r="H32" s="97"/>
      <c r="I32" s="62"/>
    </row>
    <row r="33" spans="1:9" ht="12.75">
      <c r="A33" s="43"/>
      <c r="B33" s="43"/>
      <c r="C33" s="24"/>
      <c r="D33" s="62"/>
      <c r="E33" s="62"/>
      <c r="F33" s="97"/>
      <c r="G33" s="97"/>
      <c r="H33" s="97"/>
      <c r="I33" s="62"/>
    </row>
    <row r="34" spans="1:9" ht="12.75">
      <c r="A34" s="428" t="s">
        <v>19</v>
      </c>
      <c r="B34" s="43"/>
      <c r="C34" s="24"/>
      <c r="D34" s="62"/>
      <c r="E34" s="62"/>
      <c r="F34" s="97"/>
      <c r="G34" s="97"/>
      <c r="H34" s="97"/>
      <c r="I34" s="62"/>
    </row>
    <row r="35" ht="12.75">
      <c r="A35" s="428"/>
    </row>
    <row r="36" spans="1:9" ht="12.75">
      <c r="A36" s="43" t="s">
        <v>6</v>
      </c>
      <c r="B36" s="28"/>
      <c r="C36" s="25"/>
      <c r="D36" s="25"/>
      <c r="E36" s="25"/>
      <c r="F36" s="346"/>
      <c r="G36" s="346"/>
      <c r="H36" s="346"/>
      <c r="I36" s="347"/>
    </row>
    <row r="37" spans="1:9" ht="12.75">
      <c r="A37" s="43" t="s">
        <v>7</v>
      </c>
      <c r="B37" s="40" t="s">
        <v>8</v>
      </c>
      <c r="C37" s="40" t="s">
        <v>8</v>
      </c>
      <c r="D37" s="44" t="s">
        <v>8</v>
      </c>
      <c r="E37" s="44" t="s">
        <v>8</v>
      </c>
      <c r="F37" s="58" t="s">
        <v>8</v>
      </c>
      <c r="G37" s="58" t="s">
        <v>8</v>
      </c>
      <c r="H37" s="58" t="s">
        <v>8</v>
      </c>
      <c r="I37" s="58" t="s">
        <v>8</v>
      </c>
    </row>
    <row r="38" spans="1:9" ht="12.75">
      <c r="A38" s="19" t="s">
        <v>343</v>
      </c>
      <c r="B38" s="76"/>
      <c r="C38" s="17"/>
      <c r="D38" s="17">
        <v>15949</v>
      </c>
      <c r="E38" s="17">
        <v>27009</v>
      </c>
      <c r="F38" s="66">
        <v>21602</v>
      </c>
      <c r="G38" s="66">
        <v>17893</v>
      </c>
      <c r="H38" s="66">
        <v>18062</v>
      </c>
      <c r="I38" s="246">
        <f>SUM(B38:H38)</f>
        <v>100515</v>
      </c>
    </row>
    <row r="39" spans="1:9" ht="12.75">
      <c r="A39" s="19" t="s">
        <v>344</v>
      </c>
      <c r="B39" s="290"/>
      <c r="C39" s="246"/>
      <c r="D39" s="246">
        <v>241683</v>
      </c>
      <c r="E39" s="246">
        <v>398064</v>
      </c>
      <c r="F39" s="256">
        <v>313871</v>
      </c>
      <c r="G39" s="256">
        <v>261178</v>
      </c>
      <c r="H39" s="256">
        <v>265737</v>
      </c>
      <c r="I39" s="246">
        <f>SUM(B39:H39)</f>
        <v>1480533</v>
      </c>
    </row>
    <row r="40" spans="1:9" ht="12.75">
      <c r="A40" s="21"/>
      <c r="B40" s="21"/>
      <c r="D40" s="23"/>
      <c r="E40" s="23"/>
      <c r="F40" s="138"/>
      <c r="G40" s="138"/>
      <c r="H40" s="138"/>
      <c r="I40" s="23"/>
    </row>
    <row r="41" spans="1:9" ht="12.75">
      <c r="A41" s="43" t="s">
        <v>111</v>
      </c>
      <c r="B41" s="44" t="s">
        <v>397</v>
      </c>
      <c r="C41" s="44" t="s">
        <v>397</v>
      </c>
      <c r="D41" s="44" t="s">
        <v>397</v>
      </c>
      <c r="E41" s="44" t="s">
        <v>397</v>
      </c>
      <c r="F41" s="58" t="s">
        <v>397</v>
      </c>
      <c r="G41" s="58" t="s">
        <v>397</v>
      </c>
      <c r="H41" s="58" t="s">
        <v>397</v>
      </c>
      <c r="I41" s="44" t="s">
        <v>397</v>
      </c>
    </row>
    <row r="42" spans="1:9" ht="12.75">
      <c r="A42" s="19" t="s">
        <v>424</v>
      </c>
      <c r="B42" s="290"/>
      <c r="C42" s="246"/>
      <c r="D42" s="246">
        <v>3753</v>
      </c>
      <c r="E42" s="246">
        <v>6497</v>
      </c>
      <c r="F42" s="256">
        <v>5416</v>
      </c>
      <c r="G42" s="256">
        <v>4825</v>
      </c>
      <c r="H42" s="256">
        <v>4226</v>
      </c>
      <c r="I42" s="246">
        <f>SUM(B42:H42)</f>
        <v>24717</v>
      </c>
    </row>
    <row r="43" spans="1:9" ht="12.75">
      <c r="A43" s="5"/>
      <c r="B43" s="5"/>
      <c r="D43" s="23"/>
      <c r="E43" s="23"/>
      <c r="F43" s="138"/>
      <c r="G43" s="138"/>
      <c r="H43" s="138"/>
      <c r="I43" s="23"/>
    </row>
    <row r="44" spans="1:9" ht="12.75">
      <c r="A44" s="43" t="s">
        <v>10</v>
      </c>
      <c r="B44" s="44" t="s">
        <v>11</v>
      </c>
      <c r="C44" s="44" t="s">
        <v>11</v>
      </c>
      <c r="D44" s="44" t="s">
        <v>11</v>
      </c>
      <c r="E44" s="44" t="s">
        <v>11</v>
      </c>
      <c r="F44" s="58" t="s">
        <v>11</v>
      </c>
      <c r="G44" s="58" t="s">
        <v>11</v>
      </c>
      <c r="H44" s="58" t="s">
        <v>11</v>
      </c>
      <c r="I44" s="44" t="s">
        <v>11</v>
      </c>
    </row>
    <row r="45" spans="1:9" ht="12.75">
      <c r="A45" s="19" t="s">
        <v>343</v>
      </c>
      <c r="B45" s="290"/>
      <c r="C45" s="246"/>
      <c r="D45" s="246">
        <v>5011</v>
      </c>
      <c r="E45" s="246">
        <v>59801</v>
      </c>
      <c r="F45" s="256">
        <v>63986</v>
      </c>
      <c r="G45" s="256">
        <v>50783</v>
      </c>
      <c r="H45" s="256">
        <v>41643</v>
      </c>
      <c r="I45" s="246">
        <f>SUM(B45:H45)</f>
        <v>221224</v>
      </c>
    </row>
    <row r="46" spans="1:9" ht="12.75">
      <c r="A46" s="19" t="s">
        <v>344</v>
      </c>
      <c r="B46" s="290"/>
      <c r="C46" s="246"/>
      <c r="D46" s="246">
        <v>76641</v>
      </c>
      <c r="E46" s="246">
        <v>970820</v>
      </c>
      <c r="F46" s="256">
        <v>1068728</v>
      </c>
      <c r="G46" s="256">
        <v>811628</v>
      </c>
      <c r="H46" s="256">
        <v>672928</v>
      </c>
      <c r="I46" s="246">
        <f>SUM(B46:H46)</f>
        <v>3600745</v>
      </c>
    </row>
  </sheetData>
  <sheetProtection/>
  <mergeCells count="2">
    <mergeCell ref="A2:I2"/>
    <mergeCell ref="A1:I1"/>
  </mergeCells>
  <printOptions/>
  <pageMargins left="0.17" right="0.17" top="0.4" bottom="0.6" header="0.24" footer="0.24"/>
  <pageSetup fitToHeight="1" fitToWidth="1" horizontalDpi="600" verticalDpi="600" orientation="landscape" scale="92" r:id="rId1"/>
  <headerFooter scaleWithDoc="0" alignWithMargins="0">
    <oddFooter>&amp;L&amp;6&amp;A - Results by Program Year&amp;R&amp;6printed &amp;D at &amp;T</oddFooter>
  </headerFooter>
</worksheet>
</file>

<file path=xl/worksheets/sheet17.xml><?xml version="1.0" encoding="utf-8"?>
<worksheet xmlns="http://schemas.openxmlformats.org/spreadsheetml/2006/main" xmlns:r="http://schemas.openxmlformats.org/officeDocument/2006/relationships">
  <sheetPr>
    <tabColor theme="6"/>
    <pageSetUpPr fitToPage="1"/>
  </sheetPr>
  <dimension ref="A1:H46"/>
  <sheetViews>
    <sheetView showGridLines="0" zoomScalePageLayoutView="0" workbookViewId="0" topLeftCell="A1">
      <selection activeCell="A1" sqref="A1:R1"/>
    </sheetView>
  </sheetViews>
  <sheetFormatPr defaultColWidth="9.140625" defaultRowHeight="12.75"/>
  <cols>
    <col min="1" max="1" width="24.421875" style="0" bestFit="1" customWidth="1"/>
    <col min="2" max="6" width="17.00390625" style="0" customWidth="1"/>
  </cols>
  <sheetData>
    <row r="1" spans="1:6" ht="12.75">
      <c r="A1" s="483" t="s">
        <v>393</v>
      </c>
      <c r="B1" s="483"/>
      <c r="C1" s="483"/>
      <c r="D1" s="483"/>
      <c r="E1" s="483"/>
      <c r="F1" s="483"/>
    </row>
    <row r="2" spans="1:6" ht="15.75" customHeight="1">
      <c r="A2" s="483" t="s">
        <v>288</v>
      </c>
      <c r="B2" s="483"/>
      <c r="C2" s="483"/>
      <c r="D2" s="483"/>
      <c r="E2" s="483"/>
      <c r="F2" s="483"/>
    </row>
    <row r="4" spans="1:6" ht="25.5">
      <c r="A4" s="30" t="s">
        <v>206</v>
      </c>
      <c r="B4" s="25">
        <v>2011</v>
      </c>
      <c r="C4" s="81" t="s">
        <v>346</v>
      </c>
      <c r="D4" s="81" t="s">
        <v>351</v>
      </c>
      <c r="E4" s="81" t="s">
        <v>440</v>
      </c>
      <c r="F4" s="222" t="str">
        <f>"Total "&amp;CHAR(10)&amp;B4&amp;" ~ "&amp;E4</f>
        <v>Total 
2011 ~ FY2015</v>
      </c>
    </row>
    <row r="5" spans="1:6" ht="12.75">
      <c r="A5" s="19" t="s">
        <v>415</v>
      </c>
      <c r="B5" s="278">
        <v>20000000</v>
      </c>
      <c r="C5" s="279">
        <v>20835056.68</v>
      </c>
      <c r="D5" s="279">
        <v>25000641.83</v>
      </c>
      <c r="E5" s="279">
        <v>14574758.89</v>
      </c>
      <c r="F5" s="278">
        <f>SUM(B5:E5)</f>
        <v>80410457.4</v>
      </c>
    </row>
    <row r="6" spans="1:6" ht="12.75">
      <c r="A6" s="21"/>
      <c r="B6" s="101"/>
      <c r="C6" s="137"/>
      <c r="D6" s="137"/>
      <c r="E6" s="137"/>
      <c r="F6" s="101"/>
    </row>
    <row r="7" spans="1:6" ht="12.75">
      <c r="A7" s="30" t="s">
        <v>207</v>
      </c>
      <c r="B7" s="101"/>
      <c r="C7" s="137"/>
      <c r="D7" s="137"/>
      <c r="E7" s="137"/>
      <c r="F7" s="101"/>
    </row>
    <row r="8" spans="1:6" ht="12.75">
      <c r="A8" s="181" t="s">
        <v>20</v>
      </c>
      <c r="B8" s="278">
        <v>71596</v>
      </c>
      <c r="C8" s="279">
        <v>1981274.85</v>
      </c>
      <c r="D8" s="279">
        <v>5635882.94</v>
      </c>
      <c r="E8" s="279">
        <v>4118240.91</v>
      </c>
      <c r="F8" s="278">
        <f>SUM(B8:E8)</f>
        <v>11806994.700000001</v>
      </c>
    </row>
    <row r="9" spans="1:7" ht="12.75">
      <c r="A9" s="181" t="s">
        <v>19</v>
      </c>
      <c r="B9" s="278"/>
      <c r="C9" s="279">
        <v>9128027.3</v>
      </c>
      <c r="D9" s="279">
        <v>7891740.53</v>
      </c>
      <c r="E9" s="279">
        <v>9782888.5</v>
      </c>
      <c r="F9" s="278">
        <f>SUM(B9:E9)</f>
        <v>26802656.330000002</v>
      </c>
      <c r="G9" s="146"/>
    </row>
    <row r="10" spans="1:7" ht="12.75">
      <c r="A10" s="16" t="s">
        <v>1</v>
      </c>
      <c r="B10" s="281">
        <f>SUM(B8:B9)</f>
        <v>71596</v>
      </c>
      <c r="C10" s="281">
        <f>SUM(C8:C9)</f>
        <v>11109302.15</v>
      </c>
      <c r="D10" s="281">
        <f>SUM(D8:D9)</f>
        <v>13527623.47</v>
      </c>
      <c r="E10" s="281">
        <f>SUM(E8:E9)</f>
        <v>13901129.41</v>
      </c>
      <c r="F10" s="281">
        <f>SUM(B10:E10)</f>
        <v>38609651.03</v>
      </c>
      <c r="G10" s="136"/>
    </row>
    <row r="11" ht="12.75">
      <c r="A11" s="21"/>
    </row>
    <row r="12" spans="1:8" ht="12.75">
      <c r="A12" s="43" t="s">
        <v>5</v>
      </c>
      <c r="B12" s="136"/>
      <c r="C12" s="136"/>
      <c r="D12" s="136"/>
      <c r="E12" s="136"/>
      <c r="F12" s="136"/>
      <c r="G12" s="136"/>
      <c r="H12" s="136"/>
    </row>
    <row r="13" spans="1:8" ht="12.75">
      <c r="A13" s="181" t="s">
        <v>388</v>
      </c>
      <c r="B13" s="256"/>
      <c r="C13" s="256"/>
      <c r="D13" s="256"/>
      <c r="E13" s="256"/>
      <c r="F13" s="256">
        <f>SUM(B13:E13)</f>
        <v>0</v>
      </c>
      <c r="G13" s="138"/>
      <c r="H13" s="136"/>
    </row>
    <row r="14" spans="1:8" ht="12.75">
      <c r="A14" s="181" t="s">
        <v>19</v>
      </c>
      <c r="B14" s="256"/>
      <c r="C14" s="256">
        <v>20</v>
      </c>
      <c r="D14" s="256">
        <v>11</v>
      </c>
      <c r="E14" s="256">
        <v>10</v>
      </c>
      <c r="F14" s="256">
        <f>SUM(B14:E14)</f>
        <v>41</v>
      </c>
      <c r="G14" s="135"/>
      <c r="H14" s="146" t="s">
        <v>453</v>
      </c>
    </row>
    <row r="15" spans="1:8" ht="12.75">
      <c r="A15" s="16" t="s">
        <v>1</v>
      </c>
      <c r="B15" s="267">
        <f>SUM(B13:B14)</f>
        <v>0</v>
      </c>
      <c r="C15" s="267">
        <f>SUM(C13:C14)</f>
        <v>20</v>
      </c>
      <c r="D15" s="267">
        <f>SUM(D13:D14)</f>
        <v>11</v>
      </c>
      <c r="E15" s="267">
        <f>SUM(E13:E14)</f>
        <v>10</v>
      </c>
      <c r="F15" s="267">
        <f>SUM(B15:E15)</f>
        <v>41</v>
      </c>
      <c r="G15" s="155"/>
      <c r="H15" s="136"/>
    </row>
    <row r="16" spans="1:8" ht="12.75">
      <c r="A16" s="43"/>
      <c r="B16" s="356"/>
      <c r="C16" s="356"/>
      <c r="D16" s="356"/>
      <c r="E16" s="356"/>
      <c r="F16" s="356"/>
      <c r="G16" s="155"/>
      <c r="H16" s="136"/>
    </row>
    <row r="17" spans="1:8" ht="12.75">
      <c r="A17" s="43"/>
      <c r="B17" s="74"/>
      <c r="C17" s="74"/>
      <c r="D17" s="74"/>
      <c r="E17" s="74"/>
      <c r="F17" s="74"/>
      <c r="G17" s="136"/>
      <c r="H17" s="136"/>
    </row>
    <row r="18" spans="1:8" ht="12.75">
      <c r="A18" s="428" t="s">
        <v>388</v>
      </c>
      <c r="B18" s="74"/>
      <c r="C18" s="74"/>
      <c r="D18" s="74"/>
      <c r="E18" s="74"/>
      <c r="F18" s="74"/>
      <c r="G18" s="136"/>
      <c r="H18" s="136"/>
    </row>
    <row r="19" spans="1:8" ht="12.75">
      <c r="A19" s="428"/>
      <c r="B19" s="136"/>
      <c r="C19" s="136"/>
      <c r="D19" s="136"/>
      <c r="E19" s="136"/>
      <c r="F19" s="136"/>
      <c r="G19" s="136"/>
      <c r="H19" s="136"/>
    </row>
    <row r="20" spans="1:5" ht="12.75">
      <c r="A20" s="43" t="s">
        <v>6</v>
      </c>
      <c r="C20" s="136"/>
      <c r="D20" s="136"/>
      <c r="E20" s="136"/>
    </row>
    <row r="21" spans="1:6" ht="12.75">
      <c r="A21" s="43" t="s">
        <v>7</v>
      </c>
      <c r="B21" s="40" t="s">
        <v>8</v>
      </c>
      <c r="C21" s="63" t="s">
        <v>8</v>
      </c>
      <c r="D21" s="63" t="s">
        <v>8</v>
      </c>
      <c r="E21" s="63" t="s">
        <v>8</v>
      </c>
      <c r="F21" s="40" t="s">
        <v>8</v>
      </c>
    </row>
    <row r="22" spans="1:6" ht="12.75">
      <c r="A22" s="19" t="s">
        <v>343</v>
      </c>
      <c r="B22" s="246"/>
      <c r="C22" s="256">
        <v>69</v>
      </c>
      <c r="D22" s="256">
        <v>28710</v>
      </c>
      <c r="E22" s="256">
        <v>12823</v>
      </c>
      <c r="F22" s="246">
        <f>SUM(B22:E22)</f>
        <v>41602</v>
      </c>
    </row>
    <row r="23" spans="1:6" ht="12.75">
      <c r="A23" s="19" t="s">
        <v>344</v>
      </c>
      <c r="B23" s="246"/>
      <c r="C23" s="256">
        <v>1247</v>
      </c>
      <c r="D23" s="256">
        <v>505024</v>
      </c>
      <c r="E23" s="256">
        <v>230819</v>
      </c>
      <c r="F23" s="246">
        <f>SUM(B23:E23)</f>
        <v>737090</v>
      </c>
    </row>
    <row r="24" spans="1:6" ht="12.75">
      <c r="A24" s="39"/>
      <c r="B24" s="23"/>
      <c r="C24" s="138"/>
      <c r="D24" s="138"/>
      <c r="E24" s="138"/>
      <c r="F24" s="23"/>
    </row>
    <row r="25" spans="1:6" ht="12.75">
      <c r="A25" s="43" t="s">
        <v>111</v>
      </c>
      <c r="B25" s="44" t="s">
        <v>397</v>
      </c>
      <c r="C25" s="58" t="s">
        <v>397</v>
      </c>
      <c r="D25" s="58" t="s">
        <v>397</v>
      </c>
      <c r="E25" s="58" t="s">
        <v>397</v>
      </c>
      <c r="F25" s="44" t="s">
        <v>397</v>
      </c>
    </row>
    <row r="26" spans="1:6" ht="12.75">
      <c r="A26" s="19" t="s">
        <v>425</v>
      </c>
      <c r="B26" s="246"/>
      <c r="C26" s="256">
        <v>440</v>
      </c>
      <c r="D26" s="256">
        <v>5904</v>
      </c>
      <c r="E26" s="256">
        <v>872</v>
      </c>
      <c r="F26" s="246">
        <f>SUM(B26:E26)</f>
        <v>7216</v>
      </c>
    </row>
    <row r="27" spans="1:6" ht="12.75">
      <c r="A27" s="5"/>
      <c r="B27" s="23"/>
      <c r="C27" s="138"/>
      <c r="D27" s="138"/>
      <c r="E27" s="138"/>
      <c r="F27" s="23"/>
    </row>
    <row r="28" spans="2:6" ht="12.75">
      <c r="B28" s="23"/>
      <c r="C28" s="138"/>
      <c r="D28" s="138"/>
      <c r="E28" s="138"/>
      <c r="F28" s="23"/>
    </row>
    <row r="29" spans="1:6" ht="12.75">
      <c r="A29" s="43" t="s">
        <v>10</v>
      </c>
      <c r="B29" s="44" t="s">
        <v>11</v>
      </c>
      <c r="C29" s="58" t="s">
        <v>11</v>
      </c>
      <c r="D29" s="58" t="s">
        <v>11</v>
      </c>
      <c r="E29" s="58" t="s">
        <v>11</v>
      </c>
      <c r="F29" s="44" t="s">
        <v>11</v>
      </c>
    </row>
    <row r="30" spans="1:6" ht="12.75">
      <c r="A30" s="19" t="s">
        <v>343</v>
      </c>
      <c r="B30" s="246"/>
      <c r="C30" s="256">
        <v>145315</v>
      </c>
      <c r="D30" s="256">
        <v>168712</v>
      </c>
      <c r="E30" s="256">
        <v>0</v>
      </c>
      <c r="F30" s="246">
        <f>SUM(B30:E30)</f>
        <v>314027</v>
      </c>
    </row>
    <row r="31" spans="1:6" ht="12.75">
      <c r="A31" s="19" t="s">
        <v>344</v>
      </c>
      <c r="B31" s="246"/>
      <c r="C31" s="256">
        <v>2615671</v>
      </c>
      <c r="D31" s="256">
        <v>3036821</v>
      </c>
      <c r="E31" s="256">
        <v>0</v>
      </c>
      <c r="F31" s="246">
        <f>SUM(B31:E31)</f>
        <v>5652492</v>
      </c>
    </row>
    <row r="32" spans="1:6" ht="12.75">
      <c r="A32" s="39"/>
      <c r="B32" s="255"/>
      <c r="C32" s="257"/>
      <c r="D32" s="257"/>
      <c r="E32" s="257"/>
      <c r="F32" s="255"/>
    </row>
    <row r="33" spans="1:6" ht="12.75">
      <c r="A33" s="43"/>
      <c r="B33" s="62"/>
      <c r="C33" s="97"/>
      <c r="D33" s="97"/>
      <c r="E33" s="97"/>
      <c r="F33" s="62"/>
    </row>
    <row r="34" spans="1:6" ht="12.75">
      <c r="A34" s="428" t="s">
        <v>19</v>
      </c>
      <c r="B34" s="62"/>
      <c r="C34" s="97"/>
      <c r="D34" s="97"/>
      <c r="E34" s="97"/>
      <c r="F34" s="62"/>
    </row>
    <row r="35" spans="1:6" ht="12.75">
      <c r="A35" s="428"/>
      <c r="B35" s="62"/>
      <c r="C35" s="97"/>
      <c r="D35" s="97"/>
      <c r="E35" s="97"/>
      <c r="F35" s="62"/>
    </row>
    <row r="36" spans="1:6" ht="12.75">
      <c r="A36" s="43" t="s">
        <v>6</v>
      </c>
      <c r="B36" s="25"/>
      <c r="C36" s="346"/>
      <c r="D36" s="346"/>
      <c r="E36" s="346"/>
      <c r="F36" s="23"/>
    </row>
    <row r="37" spans="1:6" ht="12.75">
      <c r="A37" s="43" t="s">
        <v>7</v>
      </c>
      <c r="B37" s="44" t="s">
        <v>8</v>
      </c>
      <c r="C37" s="58" t="s">
        <v>8</v>
      </c>
      <c r="D37" s="58" t="s">
        <v>8</v>
      </c>
      <c r="E37" s="58" t="s">
        <v>8</v>
      </c>
      <c r="F37" s="44"/>
    </row>
    <row r="38" spans="1:6" ht="12.75">
      <c r="A38" s="19" t="s">
        <v>343</v>
      </c>
      <c r="B38" s="246"/>
      <c r="C38" s="256">
        <v>17110</v>
      </c>
      <c r="D38" s="256">
        <v>10500</v>
      </c>
      <c r="E38" s="256">
        <v>42801</v>
      </c>
      <c r="F38" s="62"/>
    </row>
    <row r="39" spans="1:6" ht="12.75">
      <c r="A39" s="19" t="s">
        <v>344</v>
      </c>
      <c r="B39" s="246"/>
      <c r="C39" s="256">
        <v>296162</v>
      </c>
      <c r="D39" s="256">
        <v>147246</v>
      </c>
      <c r="E39" s="256">
        <v>753878</v>
      </c>
      <c r="F39" s="62"/>
    </row>
    <row r="40" spans="1:6" ht="12.75">
      <c r="A40" s="39"/>
      <c r="B40" s="23"/>
      <c r="C40" s="138"/>
      <c r="D40" s="138"/>
      <c r="E40" s="138"/>
      <c r="F40" s="62"/>
    </row>
    <row r="41" spans="1:6" ht="12.75">
      <c r="A41" s="39" t="s">
        <v>111</v>
      </c>
      <c r="B41" s="44" t="s">
        <v>397</v>
      </c>
      <c r="C41" s="58" t="s">
        <v>397</v>
      </c>
      <c r="D41" s="58" t="s">
        <v>397</v>
      </c>
      <c r="E41" s="58" t="s">
        <v>397</v>
      </c>
      <c r="F41" s="44"/>
    </row>
    <row r="42" spans="1:6" ht="12.75">
      <c r="A42" s="19" t="s">
        <v>424</v>
      </c>
      <c r="B42" s="246"/>
      <c r="C42" s="256">
        <v>4418</v>
      </c>
      <c r="D42" s="256">
        <v>862</v>
      </c>
      <c r="E42" s="256">
        <v>6059</v>
      </c>
      <c r="F42" s="62"/>
    </row>
    <row r="43" spans="2:6" ht="12.75">
      <c r="B43" s="23"/>
      <c r="C43" s="138"/>
      <c r="D43" s="138"/>
      <c r="E43" s="138"/>
      <c r="F43" s="23"/>
    </row>
    <row r="44" spans="1:6" ht="12.75">
      <c r="A44" s="43" t="s">
        <v>10</v>
      </c>
      <c r="B44" s="44" t="s">
        <v>11</v>
      </c>
      <c r="C44" s="58" t="s">
        <v>11</v>
      </c>
      <c r="D44" s="58" t="s">
        <v>11</v>
      </c>
      <c r="E44" s="58" t="s">
        <v>11</v>
      </c>
      <c r="F44" s="44"/>
    </row>
    <row r="45" spans="1:6" ht="12.75">
      <c r="A45" s="19" t="s">
        <v>343</v>
      </c>
      <c r="B45" s="246"/>
      <c r="C45" s="256">
        <v>125717</v>
      </c>
      <c r="D45" s="256">
        <v>29455</v>
      </c>
      <c r="E45" s="256">
        <v>31554</v>
      </c>
      <c r="F45" s="62"/>
    </row>
    <row r="46" spans="1:6" ht="12.75">
      <c r="A46" s="19" t="s">
        <v>344</v>
      </c>
      <c r="B46" s="246"/>
      <c r="C46" s="256">
        <v>1920420</v>
      </c>
      <c r="D46" s="256">
        <v>490811</v>
      </c>
      <c r="E46" s="256">
        <v>567963</v>
      </c>
      <c r="F46" s="62"/>
    </row>
  </sheetData>
  <sheetProtection/>
  <mergeCells count="2">
    <mergeCell ref="A2:F2"/>
    <mergeCell ref="A1:F1"/>
  </mergeCells>
  <printOptions/>
  <pageMargins left="0.17" right="0.17" top="0.4" bottom="0.6" header="0.24" footer="0.24"/>
  <pageSetup fitToHeight="1" fitToWidth="1" horizontalDpi="600" verticalDpi="600" orientation="landscape" scale="94" r:id="rId1"/>
  <headerFooter scaleWithDoc="0" alignWithMargins="0">
    <oddFooter>&amp;L&amp;6&amp;A - Results by Program Year&amp;R&amp;6printed &amp;D at &amp;T</oddFooter>
  </headerFooter>
</worksheet>
</file>

<file path=xl/worksheets/sheet18.xml><?xml version="1.0" encoding="utf-8"?>
<worksheet xmlns="http://schemas.openxmlformats.org/spreadsheetml/2006/main" xmlns:r="http://schemas.openxmlformats.org/officeDocument/2006/relationships">
  <sheetPr>
    <tabColor theme="6"/>
  </sheetPr>
  <dimension ref="A1:I14"/>
  <sheetViews>
    <sheetView showGridLines="0" zoomScalePageLayoutView="0" workbookViewId="0" topLeftCell="A1">
      <selection activeCell="A1" sqref="A1:R1"/>
    </sheetView>
  </sheetViews>
  <sheetFormatPr defaultColWidth="9.140625" defaultRowHeight="12.75"/>
  <cols>
    <col min="1" max="1" width="28.140625" style="160" bestFit="1" customWidth="1"/>
    <col min="2" max="8" width="12.140625" style="160" customWidth="1"/>
    <col min="9" max="9" width="13.7109375" style="160" bestFit="1" customWidth="1"/>
    <col min="10" max="16384" width="9.140625" style="160" customWidth="1"/>
  </cols>
  <sheetData>
    <row r="1" spans="1:9" ht="12.75">
      <c r="A1" s="483" t="s">
        <v>393</v>
      </c>
      <c r="B1" s="483"/>
      <c r="C1" s="483"/>
      <c r="D1" s="483"/>
      <c r="E1" s="483"/>
      <c r="F1" s="483"/>
      <c r="G1" s="483"/>
      <c r="H1" s="483"/>
      <c r="I1" s="483"/>
    </row>
    <row r="2" spans="1:9" ht="12.75">
      <c r="A2" s="483" t="s">
        <v>278</v>
      </c>
      <c r="B2" s="483"/>
      <c r="C2" s="483"/>
      <c r="D2" s="483"/>
      <c r="E2" s="483"/>
      <c r="F2" s="483"/>
      <c r="G2" s="483"/>
      <c r="H2" s="483"/>
      <c r="I2" s="483"/>
    </row>
    <row r="3" spans="1:9" ht="12.75">
      <c r="A3" s="164"/>
      <c r="B3" s="164"/>
      <c r="C3" s="169"/>
      <c r="D3" s="169"/>
      <c r="E3" s="169"/>
      <c r="F3" s="169"/>
      <c r="G3" s="169"/>
      <c r="H3" s="169"/>
      <c r="I3" s="169"/>
    </row>
    <row r="4" spans="1:9" ht="25.5">
      <c r="A4" s="167" t="s">
        <v>254</v>
      </c>
      <c r="B4" s="168">
        <v>2008</v>
      </c>
      <c r="C4" s="168">
        <v>2009</v>
      </c>
      <c r="D4" s="168">
        <v>2010</v>
      </c>
      <c r="E4" s="168">
        <v>2011</v>
      </c>
      <c r="F4" s="348" t="s">
        <v>346</v>
      </c>
      <c r="G4" s="348" t="s">
        <v>351</v>
      </c>
      <c r="H4" s="348" t="s">
        <v>440</v>
      </c>
      <c r="I4" s="348" t="str">
        <f>"Total "&amp;CHAR(10)&amp;B4&amp;" ~ "&amp;H4</f>
        <v>Total 
2008 ~ FY2015</v>
      </c>
    </row>
    <row r="5" spans="1:9" ht="12.75">
      <c r="A5" s="193" t="s">
        <v>214</v>
      </c>
      <c r="B5" s="291">
        <v>2324000</v>
      </c>
      <c r="C5" s="291">
        <v>13276120</v>
      </c>
      <c r="D5" s="291">
        <v>13232385.46</v>
      </c>
      <c r="E5" s="291">
        <v>9115170.97</v>
      </c>
      <c r="F5" s="292">
        <v>5500000</v>
      </c>
      <c r="G5" s="292">
        <v>3370759.5</v>
      </c>
      <c r="H5" s="292">
        <v>2766980.5</v>
      </c>
      <c r="I5" s="291">
        <f>SUM(B5:H5)</f>
        <v>49585416.43</v>
      </c>
    </row>
    <row r="6" spans="1:9" ht="12.75">
      <c r="A6" s="164"/>
      <c r="B6" s="165"/>
      <c r="C6" s="165"/>
      <c r="D6" s="165"/>
      <c r="E6" s="165"/>
      <c r="F6" s="219"/>
      <c r="G6" s="219"/>
      <c r="H6" s="219"/>
      <c r="I6" s="165"/>
    </row>
    <row r="7" spans="1:9" ht="12.75">
      <c r="A7" s="167" t="s">
        <v>207</v>
      </c>
      <c r="B7" s="166"/>
      <c r="C7" s="166"/>
      <c r="D7" s="166"/>
      <c r="E7" s="166"/>
      <c r="F7" s="220"/>
      <c r="G7" s="220"/>
      <c r="H7" s="220"/>
      <c r="I7" s="165"/>
    </row>
    <row r="8" spans="1:9" ht="12.75">
      <c r="A8" s="440" t="s">
        <v>20</v>
      </c>
      <c r="B8" s="291">
        <v>45880</v>
      </c>
      <c r="C8" s="291">
        <v>1499513.92</v>
      </c>
      <c r="D8" s="291">
        <v>7187364.49</v>
      </c>
      <c r="E8" s="291">
        <v>3493179</v>
      </c>
      <c r="F8" s="292">
        <v>3654240.5</v>
      </c>
      <c r="G8" s="292">
        <v>2585480</v>
      </c>
      <c r="H8" s="292">
        <v>1681413</v>
      </c>
      <c r="I8" s="291">
        <f>SUM(B8:H8)</f>
        <v>20147070.91</v>
      </c>
    </row>
    <row r="9" spans="1:9" ht="12.75">
      <c r="A9" s="440" t="s">
        <v>19</v>
      </c>
      <c r="B9" s="291">
        <v>0</v>
      </c>
      <c r="C9" s="291">
        <v>5000022.45</v>
      </c>
      <c r="D9" s="291">
        <v>3390200</v>
      </c>
      <c r="E9" s="291">
        <v>2404280</v>
      </c>
      <c r="F9" s="292">
        <v>1964246.43</v>
      </c>
      <c r="G9" s="292">
        <v>561092.5</v>
      </c>
      <c r="H9" s="292">
        <v>562721</v>
      </c>
      <c r="I9" s="293"/>
    </row>
    <row r="10" spans="1:9" ht="12.75">
      <c r="A10" s="441" t="s">
        <v>1</v>
      </c>
      <c r="B10" s="442">
        <f aca="true" t="shared" si="0" ref="B10:G10">SUM(B8:B9)</f>
        <v>45880</v>
      </c>
      <c r="C10" s="442">
        <f t="shared" si="0"/>
        <v>6499536.37</v>
      </c>
      <c r="D10" s="442">
        <f t="shared" si="0"/>
        <v>10577564.49</v>
      </c>
      <c r="E10" s="442">
        <f t="shared" si="0"/>
        <v>5897459</v>
      </c>
      <c r="F10" s="443">
        <f t="shared" si="0"/>
        <v>5618486.93</v>
      </c>
      <c r="G10" s="443">
        <f t="shared" si="0"/>
        <v>3146572.5</v>
      </c>
      <c r="H10" s="443">
        <f>SUM(H8:H9)</f>
        <v>2244134</v>
      </c>
      <c r="I10" s="293"/>
    </row>
    <row r="11" spans="1:9" ht="12.75">
      <c r="A11" s="164"/>
      <c r="B11" s="162"/>
      <c r="C11" s="162"/>
      <c r="D11" s="162"/>
      <c r="E11" s="162"/>
      <c r="F11" s="221"/>
      <c r="G11" s="221"/>
      <c r="H11" s="221"/>
      <c r="I11" s="162"/>
    </row>
    <row r="12" spans="1:9" ht="12.75">
      <c r="A12" s="163" t="s">
        <v>5</v>
      </c>
      <c r="B12" s="162"/>
      <c r="C12" s="162"/>
      <c r="D12" s="162"/>
      <c r="E12" s="162"/>
      <c r="F12" s="221"/>
      <c r="G12" s="221"/>
      <c r="H12" s="221"/>
      <c r="I12" s="162"/>
    </row>
    <row r="13" spans="1:9" ht="12.75">
      <c r="A13" s="161" t="s">
        <v>277</v>
      </c>
      <c r="B13" s="294">
        <v>30</v>
      </c>
      <c r="C13" s="294">
        <v>352</v>
      </c>
      <c r="D13" s="294">
        <v>965</v>
      </c>
      <c r="E13" s="294">
        <v>358</v>
      </c>
      <c r="F13" s="294">
        <v>516</v>
      </c>
      <c r="G13" s="294">
        <v>310</v>
      </c>
      <c r="H13" s="294">
        <v>234</v>
      </c>
      <c r="I13" s="294">
        <f>SUM(B13:H13)</f>
        <v>2765</v>
      </c>
    </row>
    <row r="14" spans="1:9" ht="12.75">
      <c r="A14" s="161" t="s">
        <v>345</v>
      </c>
      <c r="B14" s="294"/>
      <c r="C14" s="294"/>
      <c r="D14" s="294"/>
      <c r="E14" s="294">
        <v>501</v>
      </c>
      <c r="F14" s="294">
        <v>534</v>
      </c>
      <c r="G14" s="294">
        <v>428</v>
      </c>
      <c r="H14" s="294">
        <v>246</v>
      </c>
      <c r="I14" s="294">
        <f>SUM(B14:H14)</f>
        <v>1709</v>
      </c>
    </row>
  </sheetData>
  <sheetProtection/>
  <mergeCells count="2">
    <mergeCell ref="A2:I2"/>
    <mergeCell ref="A1:I1"/>
  </mergeCells>
  <printOptions/>
  <pageMargins left="0.17" right="0.17" top="0.4" bottom="0.6" header="0.24" footer="0.24"/>
  <pageSetup horizontalDpi="600" verticalDpi="600" orientation="landscape" r:id="rId1"/>
  <headerFooter scaleWithDoc="0" alignWithMargins="0">
    <oddFooter>&amp;L&amp;6&amp;A - Results by Program Year&amp;R&amp;6printed &amp;D at &amp;T</oddFooter>
  </headerFooter>
  <ignoredErrors>
    <ignoredError sqref="I6:I7 I11:I12" formulaRange="1"/>
  </ignoredErrors>
</worksheet>
</file>

<file path=xl/worksheets/sheet19.xml><?xml version="1.0" encoding="utf-8"?>
<worksheet xmlns="http://schemas.openxmlformats.org/spreadsheetml/2006/main" xmlns:r="http://schemas.openxmlformats.org/officeDocument/2006/relationships">
  <sheetPr>
    <tabColor theme="6"/>
    <outlinePr summaryRight="0"/>
  </sheetPr>
  <dimension ref="A1:Q95"/>
  <sheetViews>
    <sheetView showGridLines="0" zoomScalePageLayoutView="0" workbookViewId="0" topLeftCell="A1">
      <selection activeCell="A1" sqref="A1:R1"/>
    </sheetView>
  </sheetViews>
  <sheetFormatPr defaultColWidth="9.140625" defaultRowHeight="12.75" outlineLevelCol="1"/>
  <cols>
    <col min="1" max="1" width="23.140625" style="136" customWidth="1"/>
    <col min="2" max="2" width="13.421875" style="136" customWidth="1"/>
    <col min="3" max="3" width="14.421875" style="136" bestFit="1" customWidth="1" collapsed="1"/>
    <col min="4" max="5" width="13.421875" style="136" hidden="1" customWidth="1" outlineLevel="1"/>
    <col min="6" max="7" width="10.421875" style="136" hidden="1" customWidth="1" outlineLevel="1"/>
    <col min="8" max="8" width="14.00390625" style="136" hidden="1" customWidth="1" outlineLevel="1"/>
    <col min="9" max="9" width="14.421875" style="136" hidden="1" customWidth="1" outlineLevel="1"/>
    <col min="10" max="10" width="15.00390625" style="136" hidden="1" customWidth="1" outlineLevel="1"/>
    <col min="11" max="14" width="15.00390625" style="136" customWidth="1"/>
    <col min="15" max="15" width="15.421875" style="136" customWidth="1"/>
    <col min="16" max="16384" width="9.140625" style="136" customWidth="1"/>
  </cols>
  <sheetData>
    <row r="1" spans="1:15" ht="12.75">
      <c r="A1" s="483" t="s">
        <v>393</v>
      </c>
      <c r="B1" s="483"/>
      <c r="C1" s="483"/>
      <c r="D1" s="483"/>
      <c r="E1" s="483"/>
      <c r="F1" s="483"/>
      <c r="G1" s="483"/>
      <c r="H1" s="483"/>
      <c r="I1" s="483"/>
      <c r="J1" s="483"/>
      <c r="K1" s="483"/>
      <c r="L1" s="483"/>
      <c r="M1" s="483"/>
      <c r="N1" s="483"/>
      <c r="O1" s="483"/>
    </row>
    <row r="2" spans="1:15" ht="12.75">
      <c r="A2" s="483" t="s">
        <v>335</v>
      </c>
      <c r="B2" s="483"/>
      <c r="C2" s="483"/>
      <c r="D2" s="483"/>
      <c r="E2" s="483"/>
      <c r="F2" s="483"/>
      <c r="G2" s="483"/>
      <c r="H2" s="483"/>
      <c r="I2" s="483"/>
      <c r="J2" s="483"/>
      <c r="K2" s="483"/>
      <c r="L2" s="483"/>
      <c r="M2" s="483"/>
      <c r="N2" s="483"/>
      <c r="O2" s="483"/>
    </row>
    <row r="4" spans="1:15" ht="25.5">
      <c r="A4" s="75" t="s">
        <v>206</v>
      </c>
      <c r="B4" s="213" t="s">
        <v>290</v>
      </c>
      <c r="C4" s="213" t="s">
        <v>463</v>
      </c>
      <c r="D4" s="105">
        <v>2004</v>
      </c>
      <c r="E4" s="147">
        <v>2005</v>
      </c>
      <c r="F4" s="105">
        <v>2006</v>
      </c>
      <c r="G4" s="147">
        <v>2007</v>
      </c>
      <c r="H4" s="105">
        <v>2008</v>
      </c>
      <c r="I4" s="147">
        <v>2009</v>
      </c>
      <c r="J4" s="147">
        <v>2010</v>
      </c>
      <c r="K4" s="147">
        <v>2011</v>
      </c>
      <c r="L4" s="208" t="s">
        <v>346</v>
      </c>
      <c r="M4" s="208" t="s">
        <v>351</v>
      </c>
      <c r="N4" s="208" t="s">
        <v>440</v>
      </c>
      <c r="O4" s="208" t="str">
        <f>"Total "&amp;CHAR(10)&amp;D4&amp;" ~ "&amp;N4</f>
        <v>Total 
2004 ~ FY2015</v>
      </c>
    </row>
    <row r="5" spans="1:17" ht="12.75">
      <c r="A5" s="333" t="s">
        <v>363</v>
      </c>
      <c r="B5" s="335">
        <f>SUM(D5:E5)</f>
        <v>3500000</v>
      </c>
      <c r="C5" s="335">
        <f>SUM(F5:J5)</f>
        <v>60550230.7</v>
      </c>
      <c r="D5" s="289">
        <v>2500000</v>
      </c>
      <c r="E5" s="289">
        <v>1000000</v>
      </c>
      <c r="F5" s="289"/>
      <c r="G5" s="289"/>
      <c r="H5" s="289">
        <v>5000000</v>
      </c>
      <c r="I5" s="289">
        <v>23245128.080000002</v>
      </c>
      <c r="J5" s="289">
        <v>32305102.62</v>
      </c>
      <c r="K5" s="289">
        <v>43355701.5</v>
      </c>
      <c r="L5" s="289">
        <v>50055958</v>
      </c>
      <c r="M5" s="289">
        <v>40879563.75</v>
      </c>
      <c r="N5" s="289">
        <v>30191851.98</v>
      </c>
      <c r="O5" s="289">
        <f>SUM(D5:N5)</f>
        <v>228533305.92999998</v>
      </c>
      <c r="P5" s="74"/>
      <c r="Q5" s="74"/>
    </row>
    <row r="6" spans="1:17" ht="12.75">
      <c r="A6" s="199"/>
      <c r="B6" s="199"/>
      <c r="C6" s="199"/>
      <c r="D6" s="199"/>
      <c r="E6" s="199"/>
      <c r="F6" s="199"/>
      <c r="G6" s="199"/>
      <c r="H6" s="199"/>
      <c r="I6" s="199"/>
      <c r="J6" s="199"/>
      <c r="K6" s="199"/>
      <c r="L6" s="199"/>
      <c r="M6" s="199"/>
      <c r="N6" s="199"/>
      <c r="O6" s="199"/>
      <c r="P6" s="198"/>
      <c r="Q6" s="198"/>
    </row>
    <row r="7" spans="1:15" ht="12.75">
      <c r="A7" s="75" t="s">
        <v>207</v>
      </c>
      <c r="B7" s="75"/>
      <c r="C7" s="75"/>
      <c r="D7" s="75"/>
      <c r="E7" s="75"/>
      <c r="F7" s="75"/>
      <c r="G7" s="75"/>
      <c r="H7" s="75"/>
      <c r="I7" s="137"/>
      <c r="J7" s="137"/>
      <c r="K7" s="137"/>
      <c r="L7" s="137"/>
      <c r="M7" s="137"/>
      <c r="N7" s="137"/>
      <c r="O7" s="137"/>
    </row>
    <row r="8" spans="1:15" ht="12.75">
      <c r="A8" s="180" t="s">
        <v>20</v>
      </c>
      <c r="B8" s="239">
        <f>SUM(D8:E8)*1000</f>
        <v>32000000</v>
      </c>
      <c r="C8" s="239">
        <f>SUM(F8:I8)*1000</f>
        <v>697667170</v>
      </c>
      <c r="D8" s="239">
        <v>32000</v>
      </c>
      <c r="E8" s="239">
        <v>0</v>
      </c>
      <c r="F8" s="239">
        <v>0</v>
      </c>
      <c r="G8" s="239">
        <v>0</v>
      </c>
      <c r="H8" s="239">
        <v>52000</v>
      </c>
      <c r="I8" s="239">
        <v>645667.17</v>
      </c>
      <c r="J8" s="279">
        <v>1242734.12</v>
      </c>
      <c r="K8" s="279">
        <v>5023091.48</v>
      </c>
      <c r="L8" s="279">
        <v>12518684.25</v>
      </c>
      <c r="M8" s="279">
        <v>12244089</v>
      </c>
      <c r="N8" s="279">
        <v>8113057.03</v>
      </c>
      <c r="O8" s="279">
        <f>SUM(SUM(D8:I8)*1000+SUM(J8:N8))</f>
        <v>768808825.88</v>
      </c>
    </row>
    <row r="9" spans="1:15" ht="12.75">
      <c r="A9" s="180" t="s">
        <v>19</v>
      </c>
      <c r="B9" s="239">
        <f>SUM(D9:E9)*1000</f>
        <v>0</v>
      </c>
      <c r="C9" s="239">
        <f>SUM(F9:I9)*1000</f>
        <v>0</v>
      </c>
      <c r="D9" s="239"/>
      <c r="E9" s="239"/>
      <c r="F9" s="239"/>
      <c r="G9" s="239"/>
      <c r="H9" s="239"/>
      <c r="I9" s="239"/>
      <c r="J9" s="279"/>
      <c r="K9" s="279">
        <v>26724700</v>
      </c>
      <c r="L9" s="279">
        <v>28460787.45</v>
      </c>
      <c r="M9" s="279">
        <v>20344379.75</v>
      </c>
      <c r="N9" s="279">
        <v>21219462.51</v>
      </c>
      <c r="O9" s="309"/>
    </row>
    <row r="10" spans="1:15" ht="12.75">
      <c r="A10" s="189" t="s">
        <v>1</v>
      </c>
      <c r="B10" s="249">
        <f>SUM(D10:E10)*1000</f>
        <v>32000000</v>
      </c>
      <c r="C10" s="249">
        <f>SUM(F10:I10)*1000</f>
        <v>697667170</v>
      </c>
      <c r="D10" s="249">
        <f aca="true" t="shared" si="0" ref="D10:J10">SUM(D8:D9)</f>
        <v>32000</v>
      </c>
      <c r="E10" s="249">
        <f t="shared" si="0"/>
        <v>0</v>
      </c>
      <c r="F10" s="249">
        <f t="shared" si="0"/>
        <v>0</v>
      </c>
      <c r="G10" s="249">
        <f t="shared" si="0"/>
        <v>0</v>
      </c>
      <c r="H10" s="249">
        <f t="shared" si="0"/>
        <v>52000</v>
      </c>
      <c r="I10" s="249">
        <f t="shared" si="0"/>
        <v>645667.17</v>
      </c>
      <c r="J10" s="289">
        <f t="shared" si="0"/>
        <v>1242734.12</v>
      </c>
      <c r="K10" s="289">
        <f>SUM(K8:K9)</f>
        <v>31747791.48</v>
      </c>
      <c r="L10" s="289">
        <f>SUM(L8:L9)</f>
        <v>40979471.7</v>
      </c>
      <c r="M10" s="289">
        <f>SUM(M8:M9)</f>
        <v>32588468.75</v>
      </c>
      <c r="N10" s="289">
        <f>SUM(N8:N9)</f>
        <v>29332519.540000003</v>
      </c>
      <c r="O10" s="309"/>
    </row>
    <row r="11" spans="1:8" ht="12.75">
      <c r="A11" s="157"/>
      <c r="B11" s="157"/>
      <c r="C11" s="157"/>
      <c r="D11" s="157"/>
      <c r="E11" s="157"/>
      <c r="F11" s="157"/>
      <c r="G11" s="157"/>
      <c r="H11" s="157"/>
    </row>
    <row r="12" spans="1:8" ht="12.75">
      <c r="A12" s="150" t="s">
        <v>5</v>
      </c>
      <c r="B12" s="150"/>
      <c r="C12" s="150"/>
      <c r="D12" s="150"/>
      <c r="E12" s="150"/>
      <c r="F12" s="150"/>
      <c r="G12" s="150"/>
      <c r="H12" s="150"/>
    </row>
    <row r="13" spans="1:15" ht="12.75">
      <c r="A13" s="180" t="s">
        <v>232</v>
      </c>
      <c r="B13" s="253">
        <f>SUM(D13:E13)</f>
        <v>0</v>
      </c>
      <c r="C13" s="253">
        <f>SUM(F13:J13)</f>
        <v>28</v>
      </c>
      <c r="D13" s="253"/>
      <c r="E13" s="253"/>
      <c r="F13" s="253"/>
      <c r="G13" s="253"/>
      <c r="H13" s="253"/>
      <c r="I13" s="253">
        <v>4</v>
      </c>
      <c r="J13" s="253">
        <v>24</v>
      </c>
      <c r="K13" s="253">
        <v>51</v>
      </c>
      <c r="L13" s="253">
        <v>68</v>
      </c>
      <c r="M13" s="253">
        <v>43</v>
      </c>
      <c r="N13" s="253">
        <v>54</v>
      </c>
      <c r="O13" s="253">
        <f>SUM(D13:N13)</f>
        <v>244</v>
      </c>
    </row>
    <row r="14" spans="1:17" ht="12.75">
      <c r="A14" s="180" t="s">
        <v>233</v>
      </c>
      <c r="B14" s="253">
        <f>SUM(D14:E14)</f>
        <v>0</v>
      </c>
      <c r="C14" s="253">
        <f>SUM(F14:J14)</f>
        <v>0</v>
      </c>
      <c r="D14" s="253"/>
      <c r="E14" s="253"/>
      <c r="F14" s="253"/>
      <c r="G14" s="253"/>
      <c r="H14" s="253"/>
      <c r="I14" s="253">
        <v>0</v>
      </c>
      <c r="J14" s="253">
        <v>0</v>
      </c>
      <c r="K14" s="253">
        <v>16</v>
      </c>
      <c r="L14" s="253">
        <v>57</v>
      </c>
      <c r="M14" s="253">
        <v>48</v>
      </c>
      <c r="N14" s="253">
        <v>50</v>
      </c>
      <c r="O14" s="253">
        <f>SUM(D14:N14)</f>
        <v>171</v>
      </c>
      <c r="Q14" s="136" t="s">
        <v>377</v>
      </c>
    </row>
    <row r="15" spans="1:15" ht="12.75">
      <c r="A15" s="180" t="s">
        <v>378</v>
      </c>
      <c r="B15" s="253">
        <v>0</v>
      </c>
      <c r="C15" s="253">
        <f>SUM(F15:J15)</f>
        <v>0</v>
      </c>
      <c r="D15" s="253"/>
      <c r="E15" s="253"/>
      <c r="F15" s="253"/>
      <c r="G15" s="253"/>
      <c r="H15" s="253"/>
      <c r="I15" s="253"/>
      <c r="J15" s="253"/>
      <c r="K15" s="253">
        <v>0</v>
      </c>
      <c r="L15" s="253">
        <v>12</v>
      </c>
      <c r="M15" s="253">
        <v>26</v>
      </c>
      <c r="N15" s="253">
        <v>30</v>
      </c>
      <c r="O15" s="253">
        <f>SUM(D15:N15)</f>
        <v>68</v>
      </c>
    </row>
    <row r="16" spans="1:15" ht="12.75">
      <c r="A16" s="189" t="s">
        <v>1</v>
      </c>
      <c r="B16" s="254">
        <f>SUM(D16:E16)</f>
        <v>0</v>
      </c>
      <c r="C16" s="254">
        <f>SUM(F16:J16)</f>
        <v>28</v>
      </c>
      <c r="D16" s="254"/>
      <c r="E16" s="254"/>
      <c r="F16" s="254"/>
      <c r="G16" s="254"/>
      <c r="H16" s="254"/>
      <c r="I16" s="254">
        <f aca="true" t="shared" si="1" ref="I16:O16">SUM(I13:I15)</f>
        <v>4</v>
      </c>
      <c r="J16" s="254">
        <f t="shared" si="1"/>
        <v>24</v>
      </c>
      <c r="K16" s="254">
        <f t="shared" si="1"/>
        <v>67</v>
      </c>
      <c r="L16" s="254">
        <f t="shared" si="1"/>
        <v>137</v>
      </c>
      <c r="M16" s="254">
        <f t="shared" si="1"/>
        <v>117</v>
      </c>
      <c r="N16" s="254">
        <f>SUM(N13:N15)</f>
        <v>134</v>
      </c>
      <c r="O16" s="254">
        <f t="shared" si="1"/>
        <v>483</v>
      </c>
    </row>
    <row r="17" spans="1:15" ht="12.75">
      <c r="A17" s="150"/>
      <c r="B17" s="150"/>
      <c r="C17" s="150"/>
      <c r="D17" s="150"/>
      <c r="E17" s="150"/>
      <c r="F17" s="150"/>
      <c r="G17" s="150"/>
      <c r="H17" s="150"/>
      <c r="I17" s="74"/>
      <c r="J17" s="74"/>
      <c r="K17" s="74"/>
      <c r="L17" s="74"/>
      <c r="M17" s="74"/>
      <c r="N17" s="74"/>
      <c r="O17" s="74"/>
    </row>
    <row r="18" spans="1:8" ht="12.75">
      <c r="A18" s="150" t="s">
        <v>5</v>
      </c>
      <c r="B18" s="150"/>
      <c r="C18" s="150"/>
      <c r="D18" s="150"/>
      <c r="E18" s="150"/>
      <c r="F18" s="150"/>
      <c r="G18" s="150"/>
      <c r="H18" s="150"/>
    </row>
    <row r="19" spans="1:16" ht="12.75">
      <c r="A19" s="333" t="s">
        <v>19</v>
      </c>
      <c r="B19" s="253">
        <f>SUM(D19:E19)</f>
        <v>0</v>
      </c>
      <c r="C19" s="253">
        <f>SUM(F19:J19)</f>
        <v>121</v>
      </c>
      <c r="D19" s="254"/>
      <c r="E19" s="254"/>
      <c r="F19" s="254"/>
      <c r="G19" s="254"/>
      <c r="H19" s="254"/>
      <c r="I19" s="252"/>
      <c r="J19" s="252">
        <v>121</v>
      </c>
      <c r="K19" s="252"/>
      <c r="L19" s="252"/>
      <c r="M19" s="252"/>
      <c r="N19" s="252"/>
      <c r="O19" s="74"/>
      <c r="P19" s="130"/>
    </row>
    <row r="20" spans="1:16" ht="12.75">
      <c r="A20" s="236"/>
      <c r="B20" s="325"/>
      <c r="C20" s="325"/>
      <c r="D20" s="325"/>
      <c r="E20" s="325"/>
      <c r="F20" s="325"/>
      <c r="G20" s="325"/>
      <c r="H20" s="325"/>
      <c r="I20" s="311"/>
      <c r="J20" s="311"/>
      <c r="K20" s="311"/>
      <c r="L20" s="311"/>
      <c r="M20" s="311"/>
      <c r="N20" s="311"/>
      <c r="O20" s="74"/>
      <c r="P20" s="130"/>
    </row>
    <row r="21" spans="1:15" ht="12.75">
      <c r="A21" s="428" t="s">
        <v>388</v>
      </c>
      <c r="B21" s="150"/>
      <c r="C21" s="150"/>
      <c r="D21" s="150"/>
      <c r="E21" s="150"/>
      <c r="F21" s="150"/>
      <c r="G21" s="150"/>
      <c r="H21" s="150"/>
      <c r="I21" s="74"/>
      <c r="J21" s="74"/>
      <c r="K21" s="74"/>
      <c r="L21" s="74"/>
      <c r="M21" s="74"/>
      <c r="N21" s="74"/>
      <c r="O21" s="74"/>
    </row>
    <row r="22" spans="1:8" ht="12.75">
      <c r="A22" s="428"/>
      <c r="B22" s="150"/>
      <c r="C22" s="150"/>
      <c r="D22" s="157"/>
      <c r="E22" s="157"/>
      <c r="F22" s="157"/>
      <c r="G22" s="157"/>
      <c r="H22" s="157"/>
    </row>
    <row r="23" spans="1:15" ht="12.75">
      <c r="A23" s="43" t="s">
        <v>6</v>
      </c>
      <c r="B23" s="150"/>
      <c r="C23" s="150"/>
      <c r="D23" s="150"/>
      <c r="E23" s="150"/>
      <c r="F23" s="150"/>
      <c r="G23" s="150"/>
      <c r="H23" s="150"/>
      <c r="I23" s="74"/>
      <c r="J23" s="74"/>
      <c r="K23" s="74"/>
      <c r="L23" s="74"/>
      <c r="M23" s="74"/>
      <c r="N23" s="74"/>
      <c r="O23" s="74"/>
    </row>
    <row r="24" spans="1:15" ht="12.75">
      <c r="A24" s="43" t="s">
        <v>407</v>
      </c>
      <c r="B24" s="436" t="s">
        <v>8</v>
      </c>
      <c r="C24" s="436" t="s">
        <v>8</v>
      </c>
      <c r="D24" s="437" t="s">
        <v>8</v>
      </c>
      <c r="E24" s="437" t="s">
        <v>8</v>
      </c>
      <c r="F24" s="437" t="s">
        <v>8</v>
      </c>
      <c r="G24" s="437" t="s">
        <v>8</v>
      </c>
      <c r="H24" s="437" t="s">
        <v>8</v>
      </c>
      <c r="I24" s="437" t="s">
        <v>8</v>
      </c>
      <c r="J24" s="438" t="s">
        <v>8</v>
      </c>
      <c r="K24" s="438" t="s">
        <v>8</v>
      </c>
      <c r="L24" s="438" t="s">
        <v>8</v>
      </c>
      <c r="M24" s="438" t="s">
        <v>8</v>
      </c>
      <c r="N24" s="438" t="s">
        <v>8</v>
      </c>
      <c r="O24" s="438" t="s">
        <v>8</v>
      </c>
    </row>
    <row r="25" spans="1:15" ht="12.75">
      <c r="A25" s="180" t="s">
        <v>363</v>
      </c>
      <c r="B25" s="254"/>
      <c r="C25" s="254"/>
      <c r="D25" s="254"/>
      <c r="E25" s="254"/>
      <c r="F25" s="254"/>
      <c r="G25" s="254"/>
      <c r="H25" s="254"/>
      <c r="I25" s="252"/>
      <c r="J25" s="252"/>
      <c r="K25" s="285"/>
      <c r="L25" s="252">
        <v>29077</v>
      </c>
      <c r="M25" s="252">
        <v>32400</v>
      </c>
      <c r="N25" s="252">
        <v>21860</v>
      </c>
      <c r="O25" s="253">
        <f>SUM(D25:N25)</f>
        <v>83337</v>
      </c>
    </row>
    <row r="26" spans="1:15" ht="12.75">
      <c r="A26" s="180" t="s">
        <v>366</v>
      </c>
      <c r="B26" s="254"/>
      <c r="C26" s="254"/>
      <c r="D26" s="254"/>
      <c r="E26" s="254"/>
      <c r="F26" s="254"/>
      <c r="G26" s="254"/>
      <c r="H26" s="254"/>
      <c r="I26" s="252"/>
      <c r="J26" s="252"/>
      <c r="K26" s="285"/>
      <c r="L26" s="252">
        <v>0</v>
      </c>
      <c r="M26" s="252">
        <v>0</v>
      </c>
      <c r="N26" s="252">
        <v>0</v>
      </c>
      <c r="O26" s="253">
        <f>SUM(D26:N26)</f>
        <v>0</v>
      </c>
    </row>
    <row r="27" spans="1:15" ht="12.75">
      <c r="A27" s="189" t="s">
        <v>1</v>
      </c>
      <c r="B27" s="254">
        <f>SUM(D27:E27)</f>
        <v>0</v>
      </c>
      <c r="C27" s="254">
        <f>SUM(F27:J27)</f>
        <v>796</v>
      </c>
      <c r="D27" s="254"/>
      <c r="E27" s="254"/>
      <c r="F27" s="254"/>
      <c r="G27" s="254"/>
      <c r="H27" s="254"/>
      <c r="I27" s="254"/>
      <c r="J27" s="254">
        <v>796</v>
      </c>
      <c r="K27" s="254">
        <v>15422</v>
      </c>
      <c r="L27" s="254">
        <f>SUM(L25:L26)</f>
        <v>29077</v>
      </c>
      <c r="M27" s="254">
        <f>SUM(M25:M26)</f>
        <v>32400</v>
      </c>
      <c r="N27" s="254">
        <f>SUM(N25:N26)</f>
        <v>21860</v>
      </c>
      <c r="O27" s="254">
        <f>SUM(D27:N27)</f>
        <v>99555</v>
      </c>
    </row>
    <row r="28" spans="1:15" ht="12.75">
      <c r="A28" s="157"/>
      <c r="B28" s="157"/>
      <c r="C28" s="157"/>
      <c r="D28" s="157"/>
      <c r="E28" s="157"/>
      <c r="F28" s="157"/>
      <c r="G28" s="157"/>
      <c r="H28" s="157"/>
      <c r="J28" s="138"/>
      <c r="K28" s="138"/>
      <c r="L28" s="138"/>
      <c r="M28" s="138"/>
      <c r="N28" s="138"/>
      <c r="O28" s="138"/>
    </row>
    <row r="29" spans="1:15" ht="12.75">
      <c r="A29" s="150" t="s">
        <v>408</v>
      </c>
      <c r="B29" s="157"/>
      <c r="C29" s="157"/>
      <c r="D29" s="63"/>
      <c r="E29" s="63"/>
      <c r="F29" s="63"/>
      <c r="G29" s="63"/>
      <c r="H29" s="63"/>
      <c r="I29" s="63"/>
      <c r="J29" s="58"/>
      <c r="K29" s="58"/>
      <c r="L29" s="58"/>
      <c r="M29" s="58"/>
      <c r="N29" s="58"/>
      <c r="O29" s="58"/>
    </row>
    <row r="30" spans="1:15" ht="12.75">
      <c r="A30" s="180" t="s">
        <v>363</v>
      </c>
      <c r="B30" s="254"/>
      <c r="C30" s="254"/>
      <c r="D30" s="254"/>
      <c r="E30" s="254"/>
      <c r="F30" s="254"/>
      <c r="G30" s="254"/>
      <c r="H30" s="254"/>
      <c r="I30" s="252"/>
      <c r="J30" s="252"/>
      <c r="K30" s="285"/>
      <c r="L30" s="252">
        <v>485339</v>
      </c>
      <c r="M30" s="252">
        <v>555474</v>
      </c>
      <c r="N30" s="252">
        <v>352912</v>
      </c>
      <c r="O30" s="253">
        <f>SUM(D30:N30)</f>
        <v>1393725</v>
      </c>
    </row>
    <row r="31" spans="1:15" ht="12.75">
      <c r="A31" s="180" t="s">
        <v>366</v>
      </c>
      <c r="B31" s="254"/>
      <c r="C31" s="254"/>
      <c r="D31" s="254"/>
      <c r="E31" s="254"/>
      <c r="F31" s="254"/>
      <c r="G31" s="254"/>
      <c r="H31" s="254"/>
      <c r="I31" s="252"/>
      <c r="J31" s="252"/>
      <c r="K31" s="285"/>
      <c r="L31" s="252">
        <v>0</v>
      </c>
      <c r="M31" s="252">
        <v>0</v>
      </c>
      <c r="N31" s="252">
        <v>0</v>
      </c>
      <c r="O31" s="253">
        <f>SUM(D31:N31)</f>
        <v>0</v>
      </c>
    </row>
    <row r="32" spans="1:15" ht="12.75">
      <c r="A32" s="189" t="s">
        <v>1</v>
      </c>
      <c r="B32" s="254">
        <f>SUM(D32:E32)</f>
        <v>0</v>
      </c>
      <c r="C32" s="254">
        <f>SUM(F32:J32)</f>
        <v>8757</v>
      </c>
      <c r="D32" s="254"/>
      <c r="E32" s="254"/>
      <c r="F32" s="254"/>
      <c r="G32" s="254"/>
      <c r="H32" s="254"/>
      <c r="I32" s="254"/>
      <c r="J32" s="254">
        <v>8757</v>
      </c>
      <c r="K32" s="254">
        <v>216562</v>
      </c>
      <c r="L32" s="254">
        <f>SUM(L30:L31)</f>
        <v>485339</v>
      </c>
      <c r="M32" s="254">
        <f>SUM(M30:M31)</f>
        <v>555474</v>
      </c>
      <c r="N32" s="254">
        <f>SUM(N30:N31)</f>
        <v>352912</v>
      </c>
      <c r="O32" s="254">
        <f>SUM(D32:N32)</f>
        <v>1619044</v>
      </c>
    </row>
    <row r="33" spans="1:15" ht="12.75">
      <c r="A33" s="157"/>
      <c r="B33" s="157"/>
      <c r="C33" s="157"/>
      <c r="D33" s="157"/>
      <c r="E33" s="157"/>
      <c r="F33" s="157"/>
      <c r="G33" s="157"/>
      <c r="H33" s="157"/>
      <c r="J33" s="138"/>
      <c r="K33" s="138"/>
      <c r="L33" s="138"/>
      <c r="M33" s="138"/>
      <c r="N33" s="138"/>
      <c r="O33" s="138"/>
    </row>
    <row r="34" spans="1:15" ht="12.75">
      <c r="A34" s="150" t="s">
        <v>412</v>
      </c>
      <c r="B34" s="157" t="s">
        <v>397</v>
      </c>
      <c r="C34" s="157" t="s">
        <v>397</v>
      </c>
      <c r="D34" s="58" t="s">
        <v>397</v>
      </c>
      <c r="E34" s="58" t="s">
        <v>397</v>
      </c>
      <c r="F34" s="58" t="s">
        <v>397</v>
      </c>
      <c r="G34" s="58" t="s">
        <v>397</v>
      </c>
      <c r="H34" s="58" t="s">
        <v>397</v>
      </c>
      <c r="I34" s="58" t="s">
        <v>397</v>
      </c>
      <c r="J34" s="58" t="s">
        <v>397</v>
      </c>
      <c r="K34" s="58" t="s">
        <v>397</v>
      </c>
      <c r="L34" s="58" t="s">
        <v>397</v>
      </c>
      <c r="M34" s="58" t="s">
        <v>397</v>
      </c>
      <c r="N34" s="58" t="s">
        <v>397</v>
      </c>
      <c r="O34" s="58" t="s">
        <v>397</v>
      </c>
    </row>
    <row r="35" spans="1:15" ht="12.75">
      <c r="A35" s="180" t="s">
        <v>363</v>
      </c>
      <c r="B35" s="254"/>
      <c r="C35" s="254"/>
      <c r="D35" s="254"/>
      <c r="E35" s="254"/>
      <c r="F35" s="254"/>
      <c r="G35" s="254"/>
      <c r="H35" s="254"/>
      <c r="I35" s="252"/>
      <c r="J35" s="252"/>
      <c r="K35" s="285"/>
      <c r="L35" s="252">
        <v>7626</v>
      </c>
      <c r="M35" s="252">
        <v>5847</v>
      </c>
      <c r="N35" s="252">
        <v>5613</v>
      </c>
      <c r="O35" s="253">
        <f>SUM(D35:N35)</f>
        <v>19086</v>
      </c>
    </row>
    <row r="36" spans="1:15" ht="12.75">
      <c r="A36" s="180" t="s">
        <v>366</v>
      </c>
      <c r="B36" s="254"/>
      <c r="C36" s="254"/>
      <c r="D36" s="254"/>
      <c r="E36" s="254"/>
      <c r="F36" s="254"/>
      <c r="G36" s="254"/>
      <c r="H36" s="254"/>
      <c r="I36" s="252"/>
      <c r="J36" s="252"/>
      <c r="K36" s="285"/>
      <c r="L36" s="252">
        <v>0</v>
      </c>
      <c r="M36" s="252">
        <v>0</v>
      </c>
      <c r="N36" s="252">
        <v>0</v>
      </c>
      <c r="O36" s="253">
        <f>SUM(D36:N36)</f>
        <v>0</v>
      </c>
    </row>
    <row r="37" spans="1:15" ht="12.75">
      <c r="A37" s="189" t="s">
        <v>1</v>
      </c>
      <c r="B37" s="254">
        <f>SUM(D37:E37)</f>
        <v>0</v>
      </c>
      <c r="C37" s="254">
        <f>SUM(F37:J37)</f>
        <v>62</v>
      </c>
      <c r="D37" s="254"/>
      <c r="E37" s="254"/>
      <c r="F37" s="254"/>
      <c r="G37" s="254"/>
      <c r="H37" s="254"/>
      <c r="I37" s="254"/>
      <c r="J37" s="254">
        <v>62</v>
      </c>
      <c r="K37" s="254">
        <v>2514</v>
      </c>
      <c r="L37" s="254">
        <f>SUM(L35:L36)</f>
        <v>7626</v>
      </c>
      <c r="M37" s="254">
        <f>SUM(M35:M36)</f>
        <v>5847</v>
      </c>
      <c r="N37" s="254">
        <f>SUM(N35:N36)</f>
        <v>5613</v>
      </c>
      <c r="O37" s="254">
        <f>SUM(D37:N37)</f>
        <v>21662</v>
      </c>
    </row>
    <row r="38" spans="1:15" ht="12.75">
      <c r="A38" s="150"/>
      <c r="B38" s="325"/>
      <c r="C38" s="325"/>
      <c r="D38" s="325"/>
      <c r="E38" s="325"/>
      <c r="F38" s="325"/>
      <c r="G38" s="325"/>
      <c r="H38" s="325"/>
      <c r="I38" s="325"/>
      <c r="J38" s="325"/>
      <c r="K38" s="325"/>
      <c r="L38" s="325"/>
      <c r="M38" s="325"/>
      <c r="N38" s="325"/>
      <c r="O38" s="325"/>
    </row>
    <row r="39" spans="1:14" ht="12.75">
      <c r="A39" s="150" t="s">
        <v>342</v>
      </c>
      <c r="B39" s="74"/>
      <c r="C39" s="74"/>
      <c r="D39" s="74"/>
      <c r="E39" s="74"/>
      <c r="F39" s="150"/>
      <c r="G39" s="74"/>
      <c r="H39" s="74"/>
      <c r="I39" s="74"/>
      <c r="J39" s="74"/>
      <c r="K39" s="74"/>
      <c r="L39" s="74"/>
      <c r="M39" s="74"/>
      <c r="N39" s="74"/>
    </row>
    <row r="40" spans="1:14" ht="12.75">
      <c r="A40" s="439" t="s">
        <v>7</v>
      </c>
      <c r="B40" s="361" t="s">
        <v>8</v>
      </c>
      <c r="C40" s="361" t="s">
        <v>8</v>
      </c>
      <c r="D40" s="361" t="s">
        <v>8</v>
      </c>
      <c r="E40" s="361" t="s">
        <v>8</v>
      </c>
      <c r="F40" s="361" t="s">
        <v>8</v>
      </c>
      <c r="G40" s="361" t="s">
        <v>8</v>
      </c>
      <c r="H40" s="361" t="s">
        <v>8</v>
      </c>
      <c r="I40" s="361" t="s">
        <v>8</v>
      </c>
      <c r="J40" s="361" t="s">
        <v>8</v>
      </c>
      <c r="K40" s="361" t="s">
        <v>8</v>
      </c>
      <c r="L40" s="361" t="s">
        <v>8</v>
      </c>
      <c r="M40" s="361" t="s">
        <v>8</v>
      </c>
      <c r="N40" s="361" t="s">
        <v>8</v>
      </c>
    </row>
    <row r="41" spans="1:14" ht="12.75">
      <c r="A41" s="180" t="s">
        <v>364</v>
      </c>
      <c r="B41" s="254"/>
      <c r="C41" s="254">
        <f>SUM(F41:J41)</f>
        <v>0</v>
      </c>
      <c r="D41" s="254"/>
      <c r="E41" s="254"/>
      <c r="F41" s="254"/>
      <c r="G41" s="254"/>
      <c r="H41" s="254"/>
      <c r="I41" s="252"/>
      <c r="J41" s="252"/>
      <c r="K41" s="285"/>
      <c r="L41" s="252">
        <v>17520</v>
      </c>
      <c r="M41" s="252">
        <v>8255</v>
      </c>
      <c r="N41" s="253">
        <v>0</v>
      </c>
    </row>
    <row r="42" spans="1:14" ht="12.75">
      <c r="A42" s="180" t="s">
        <v>365</v>
      </c>
      <c r="B42" s="254"/>
      <c r="C42" s="254">
        <f>SUM(F42:J42)</f>
        <v>0</v>
      </c>
      <c r="D42" s="254"/>
      <c r="E42" s="254"/>
      <c r="F42" s="254"/>
      <c r="G42" s="254"/>
      <c r="H42" s="254"/>
      <c r="I42" s="252"/>
      <c r="J42" s="252"/>
      <c r="K42" s="285"/>
      <c r="L42" s="252">
        <v>210240</v>
      </c>
      <c r="M42" s="252">
        <v>99059</v>
      </c>
      <c r="N42" s="253">
        <v>0</v>
      </c>
    </row>
    <row r="43" ht="12.75">
      <c r="N43" s="146"/>
    </row>
    <row r="44" spans="1:14" ht="12.75">
      <c r="A44" s="156" t="s">
        <v>439</v>
      </c>
      <c r="B44" s="148" t="s">
        <v>397</v>
      </c>
      <c r="C44" s="148" t="s">
        <v>397</v>
      </c>
      <c r="D44" s="148" t="s">
        <v>397</v>
      </c>
      <c r="E44" s="148" t="s">
        <v>397</v>
      </c>
      <c r="F44" s="148" t="s">
        <v>397</v>
      </c>
      <c r="G44" s="148" t="s">
        <v>397</v>
      </c>
      <c r="H44" s="148" t="s">
        <v>397</v>
      </c>
      <c r="I44" s="148" t="s">
        <v>397</v>
      </c>
      <c r="J44" s="148" t="s">
        <v>397</v>
      </c>
      <c r="K44" s="148" t="s">
        <v>397</v>
      </c>
      <c r="L44" s="148" t="s">
        <v>397</v>
      </c>
      <c r="M44" s="148" t="s">
        <v>397</v>
      </c>
      <c r="N44" s="148" t="s">
        <v>397</v>
      </c>
    </row>
    <row r="45" spans="1:14" ht="12.75">
      <c r="A45" s="180" t="s">
        <v>364</v>
      </c>
      <c r="B45" s="254"/>
      <c r="C45" s="254">
        <f>SUM(F45:J45)</f>
        <v>0</v>
      </c>
      <c r="D45" s="254"/>
      <c r="E45" s="254"/>
      <c r="F45" s="254"/>
      <c r="G45" s="254"/>
      <c r="H45" s="254"/>
      <c r="I45" s="252"/>
      <c r="J45" s="252"/>
      <c r="K45" s="285"/>
      <c r="L45" s="252">
        <v>2000</v>
      </c>
      <c r="M45" s="252">
        <v>1795</v>
      </c>
      <c r="N45" s="253">
        <v>0</v>
      </c>
    </row>
    <row r="46" spans="1:15" ht="12.75">
      <c r="A46" s="334"/>
      <c r="B46" s="334"/>
      <c r="C46" s="334"/>
      <c r="D46" s="334"/>
      <c r="E46" s="334"/>
      <c r="F46" s="334"/>
      <c r="G46" s="334"/>
      <c r="H46" s="334"/>
      <c r="J46" s="138"/>
      <c r="K46" s="138"/>
      <c r="L46" s="138"/>
      <c r="M46" s="138"/>
      <c r="N46" s="138"/>
      <c r="O46" s="138"/>
    </row>
    <row r="47" spans="1:15" ht="12.75">
      <c r="A47" s="43" t="s">
        <v>6</v>
      </c>
      <c r="B47" s="150"/>
      <c r="C47" s="150"/>
      <c r="D47" s="150"/>
      <c r="E47" s="150"/>
      <c r="F47" s="150"/>
      <c r="G47" s="150"/>
      <c r="H47" s="150"/>
      <c r="I47" s="74"/>
      <c r="J47" s="97"/>
      <c r="K47" s="97"/>
      <c r="L47" s="97"/>
      <c r="M47" s="97"/>
      <c r="N47" s="97"/>
      <c r="O47" s="97"/>
    </row>
    <row r="48" spans="1:15" ht="12.75">
      <c r="A48" s="339" t="s">
        <v>409</v>
      </c>
      <c r="B48" s="438" t="s">
        <v>11</v>
      </c>
      <c r="C48" s="438" t="s">
        <v>11</v>
      </c>
      <c r="D48" s="438" t="s">
        <v>11</v>
      </c>
      <c r="E48" s="438" t="s">
        <v>11</v>
      </c>
      <c r="F48" s="438" t="s">
        <v>11</v>
      </c>
      <c r="G48" s="438" t="s">
        <v>11</v>
      </c>
      <c r="H48" s="438" t="s">
        <v>11</v>
      </c>
      <c r="I48" s="438" t="s">
        <v>11</v>
      </c>
      <c r="J48" s="438" t="s">
        <v>11</v>
      </c>
      <c r="K48" s="438" t="s">
        <v>11</v>
      </c>
      <c r="L48" s="438" t="s">
        <v>11</v>
      </c>
      <c r="M48" s="438" t="s">
        <v>11</v>
      </c>
      <c r="N48" s="438" t="s">
        <v>11</v>
      </c>
      <c r="O48" s="438" t="s">
        <v>11</v>
      </c>
    </row>
    <row r="49" spans="1:15" ht="12.75">
      <c r="A49" s="180" t="s">
        <v>363</v>
      </c>
      <c r="B49" s="254"/>
      <c r="C49" s="254"/>
      <c r="D49" s="254"/>
      <c r="E49" s="254"/>
      <c r="F49" s="254"/>
      <c r="G49" s="254"/>
      <c r="H49" s="254"/>
      <c r="I49" s="252"/>
      <c r="J49" s="252"/>
      <c r="K49" s="285"/>
      <c r="L49" s="252">
        <v>116964</v>
      </c>
      <c r="M49" s="252">
        <v>242120</v>
      </c>
      <c r="N49" s="252">
        <v>151279</v>
      </c>
      <c r="O49" s="252">
        <f>SUM(D49:N49)</f>
        <v>510363</v>
      </c>
    </row>
    <row r="50" spans="1:15" ht="12.75">
      <c r="A50" s="180" t="s">
        <v>366</v>
      </c>
      <c r="B50" s="254"/>
      <c r="C50" s="254"/>
      <c r="D50" s="254"/>
      <c r="E50" s="254"/>
      <c r="F50" s="254"/>
      <c r="G50" s="254"/>
      <c r="H50" s="254"/>
      <c r="I50" s="252"/>
      <c r="J50" s="252"/>
      <c r="K50" s="285"/>
      <c r="L50" s="252">
        <v>83277</v>
      </c>
      <c r="M50" s="252">
        <v>37431</v>
      </c>
      <c r="N50" s="252">
        <v>0</v>
      </c>
      <c r="O50" s="252">
        <f>SUM(D50:N50)</f>
        <v>120708</v>
      </c>
    </row>
    <row r="51" spans="1:15" ht="12.75">
      <c r="A51" s="189" t="s">
        <v>1</v>
      </c>
      <c r="B51" s="254">
        <f>SUM(D51:E51)</f>
        <v>0</v>
      </c>
      <c r="C51" s="254">
        <f>SUM(F51:J51)</f>
        <v>0</v>
      </c>
      <c r="D51" s="254"/>
      <c r="E51" s="254"/>
      <c r="F51" s="254"/>
      <c r="G51" s="254"/>
      <c r="H51" s="254"/>
      <c r="I51" s="254"/>
      <c r="J51" s="254"/>
      <c r="K51" s="254">
        <v>45344</v>
      </c>
      <c r="L51" s="254">
        <f>SUM(L49:L50)</f>
        <v>200241</v>
      </c>
      <c r="M51" s="254">
        <f>SUM(M49:M50)</f>
        <v>279551</v>
      </c>
      <c r="N51" s="254">
        <f>SUM(N49:N50)</f>
        <v>151279</v>
      </c>
      <c r="O51" s="254">
        <f>SUM(D51:N51)</f>
        <v>676415</v>
      </c>
    </row>
    <row r="52" spans="1:15" ht="12.75">
      <c r="A52" s="157"/>
      <c r="B52" s="157"/>
      <c r="C52" s="157"/>
      <c r="D52" s="157"/>
      <c r="E52" s="157"/>
      <c r="F52" s="157"/>
      <c r="G52" s="157"/>
      <c r="H52" s="157"/>
      <c r="J52" s="138"/>
      <c r="K52" s="138"/>
      <c r="L52" s="138"/>
      <c r="M52" s="138"/>
      <c r="N52" s="138"/>
      <c r="O52" s="138"/>
    </row>
    <row r="53" spans="1:15" ht="12.75">
      <c r="A53" s="150" t="s">
        <v>410</v>
      </c>
      <c r="B53" s="58" t="s">
        <v>11</v>
      </c>
      <c r="C53" s="58" t="s">
        <v>11</v>
      </c>
      <c r="D53" s="58" t="s">
        <v>11</v>
      </c>
      <c r="E53" s="58" t="s">
        <v>11</v>
      </c>
      <c r="F53" s="58" t="s">
        <v>11</v>
      </c>
      <c r="G53" s="58" t="s">
        <v>11</v>
      </c>
      <c r="H53" s="58" t="s">
        <v>11</v>
      </c>
      <c r="I53" s="58" t="s">
        <v>11</v>
      </c>
      <c r="J53" s="58" t="s">
        <v>11</v>
      </c>
      <c r="K53" s="58" t="s">
        <v>11</v>
      </c>
      <c r="L53" s="58" t="s">
        <v>11</v>
      </c>
      <c r="M53" s="58" t="s">
        <v>11</v>
      </c>
      <c r="N53" s="58" t="s">
        <v>11</v>
      </c>
      <c r="O53" s="58" t="s">
        <v>11</v>
      </c>
    </row>
    <row r="54" spans="1:15" ht="12.75">
      <c r="A54" s="180" t="s">
        <v>363</v>
      </c>
      <c r="B54" s="254"/>
      <c r="C54" s="254"/>
      <c r="D54" s="254"/>
      <c r="E54" s="254"/>
      <c r="F54" s="254"/>
      <c r="G54" s="254"/>
      <c r="H54" s="254"/>
      <c r="I54" s="252"/>
      <c r="J54" s="252"/>
      <c r="K54" s="285"/>
      <c r="L54" s="252">
        <v>2224850</v>
      </c>
      <c r="M54" s="252">
        <v>4504875</v>
      </c>
      <c r="N54" s="252">
        <v>2790653</v>
      </c>
      <c r="O54" s="252">
        <f>SUM(D54:N54)</f>
        <v>9520378</v>
      </c>
    </row>
    <row r="55" spans="1:15" ht="12.75">
      <c r="A55" s="180" t="s">
        <v>366</v>
      </c>
      <c r="B55" s="254"/>
      <c r="C55" s="254"/>
      <c r="D55" s="254"/>
      <c r="E55" s="254"/>
      <c r="F55" s="254"/>
      <c r="G55" s="254"/>
      <c r="H55" s="254"/>
      <c r="I55" s="252"/>
      <c r="J55" s="252"/>
      <c r="K55" s="285"/>
      <c r="L55" s="252">
        <v>999324</v>
      </c>
      <c r="M55" s="252">
        <v>449172</v>
      </c>
      <c r="N55" s="252">
        <v>0</v>
      </c>
      <c r="O55" s="252">
        <f>SUM(D55:N55)</f>
        <v>1448496</v>
      </c>
    </row>
    <row r="56" spans="1:15" ht="12.75">
      <c r="A56" s="189" t="s">
        <v>1</v>
      </c>
      <c r="B56" s="254">
        <f>SUM(D56:E56)</f>
        <v>0</v>
      </c>
      <c r="C56" s="254">
        <f>SUM(F56:J56)</f>
        <v>0</v>
      </c>
      <c r="D56" s="254"/>
      <c r="E56" s="254"/>
      <c r="F56" s="254"/>
      <c r="G56" s="254"/>
      <c r="H56" s="254"/>
      <c r="I56" s="254"/>
      <c r="J56" s="254"/>
      <c r="K56" s="254">
        <v>527074</v>
      </c>
      <c r="L56" s="254">
        <f>SUM(L54:L55)</f>
        <v>3224174</v>
      </c>
      <c r="M56" s="254">
        <f>SUM(M54:M55)</f>
        <v>4954047</v>
      </c>
      <c r="N56" s="254">
        <f>SUM(N54:N55)</f>
        <v>2790653</v>
      </c>
      <c r="O56" s="254">
        <f>SUM(D56:N56)</f>
        <v>11495948</v>
      </c>
    </row>
    <row r="57" spans="1:15" ht="12.75">
      <c r="A57" s="332" t="s">
        <v>291</v>
      </c>
      <c r="B57" s="150"/>
      <c r="C57" s="150"/>
      <c r="D57" s="150"/>
      <c r="E57" s="150"/>
      <c r="F57" s="150"/>
      <c r="G57" s="150"/>
      <c r="H57" s="150"/>
      <c r="I57" s="74"/>
      <c r="J57" s="97"/>
      <c r="K57" s="97"/>
      <c r="L57" s="97"/>
      <c r="M57" s="97"/>
      <c r="N57" s="97"/>
      <c r="O57" s="97"/>
    </row>
    <row r="58" spans="1:15" ht="12.75">
      <c r="A58" s="332"/>
      <c r="B58" s="150"/>
      <c r="C58" s="150"/>
      <c r="D58" s="150"/>
      <c r="E58" s="150"/>
      <c r="F58" s="150"/>
      <c r="G58" s="150"/>
      <c r="H58" s="150"/>
      <c r="I58" s="74"/>
      <c r="J58" s="97"/>
      <c r="K58" s="97"/>
      <c r="L58" s="97"/>
      <c r="M58" s="97"/>
      <c r="N58" s="97"/>
      <c r="O58" s="97"/>
    </row>
    <row r="59" spans="1:15" ht="12.75">
      <c r="A59" s="428" t="s">
        <v>19</v>
      </c>
      <c r="B59" s="150"/>
      <c r="C59" s="150"/>
      <c r="D59" s="150"/>
      <c r="E59" s="150"/>
      <c r="F59" s="150"/>
      <c r="G59" s="150"/>
      <c r="H59" s="150"/>
      <c r="I59" s="74"/>
      <c r="J59" s="97"/>
      <c r="K59" s="97"/>
      <c r="L59" s="97"/>
      <c r="M59" s="97"/>
      <c r="N59" s="97"/>
      <c r="O59" s="97"/>
    </row>
    <row r="60" spans="1:17" ht="12.75">
      <c r="A60" s="428"/>
      <c r="B60" s="105"/>
      <c r="C60" s="105"/>
      <c r="D60" s="105"/>
      <c r="E60" s="105"/>
      <c r="F60" s="105"/>
      <c r="G60" s="105"/>
      <c r="O60" s="336"/>
      <c r="Q60" s="146" t="s">
        <v>88</v>
      </c>
    </row>
    <row r="61" spans="1:17" ht="25.5">
      <c r="A61" s="43" t="s">
        <v>6</v>
      </c>
      <c r="B61" s="213" t="str">
        <f>B4</f>
        <v>Summary 
2004 to 2005*</v>
      </c>
      <c r="C61" s="213" t="str">
        <f>C4</f>
        <v>Summary 
2006 to 2010</v>
      </c>
      <c r="D61" s="74"/>
      <c r="E61" s="74"/>
      <c r="F61" s="74"/>
      <c r="G61" s="74"/>
      <c r="H61" s="105">
        <v>2008</v>
      </c>
      <c r="I61" s="147">
        <v>2009</v>
      </c>
      <c r="J61" s="349">
        <v>2010</v>
      </c>
      <c r="K61" s="349">
        <v>2011</v>
      </c>
      <c r="L61" s="350" t="str">
        <f>L4</f>
        <v>(18 month)
2012-2013</v>
      </c>
      <c r="M61" s="350" t="str">
        <f>M4</f>
        <v>FY2014</v>
      </c>
      <c r="N61" s="350" t="str">
        <f>N4</f>
        <v>FY2015</v>
      </c>
      <c r="O61" s="97"/>
      <c r="Q61" s="146"/>
    </row>
    <row r="62" spans="1:15" ht="12.75">
      <c r="A62" s="43" t="s">
        <v>407</v>
      </c>
      <c r="B62" s="437" t="s">
        <v>8</v>
      </c>
      <c r="C62" s="437" t="s">
        <v>8</v>
      </c>
      <c r="D62" s="437" t="s">
        <v>8</v>
      </c>
      <c r="E62" s="437" t="s">
        <v>8</v>
      </c>
      <c r="F62" s="437" t="s">
        <v>8</v>
      </c>
      <c r="G62" s="437" t="s">
        <v>8</v>
      </c>
      <c r="H62" s="437" t="s">
        <v>8</v>
      </c>
      <c r="I62" s="437" t="s">
        <v>8</v>
      </c>
      <c r="J62" s="438" t="s">
        <v>8</v>
      </c>
      <c r="K62" s="438" t="s">
        <v>8</v>
      </c>
      <c r="L62" s="438" t="s">
        <v>8</v>
      </c>
      <c r="M62" s="438" t="s">
        <v>8</v>
      </c>
      <c r="N62" s="438" t="s">
        <v>8</v>
      </c>
      <c r="O62" s="58"/>
    </row>
    <row r="63" spans="1:15" ht="12.75">
      <c r="A63" s="180" t="s">
        <v>363</v>
      </c>
      <c r="B63" s="254"/>
      <c r="C63" s="254"/>
      <c r="D63" s="254"/>
      <c r="E63" s="254"/>
      <c r="F63" s="254"/>
      <c r="G63" s="254"/>
      <c r="H63" s="254"/>
      <c r="I63" s="252"/>
      <c r="J63" s="252"/>
      <c r="K63" s="285"/>
      <c r="L63" s="252">
        <v>48001</v>
      </c>
      <c r="M63" s="252">
        <v>26141</v>
      </c>
      <c r="N63" s="252">
        <v>28038</v>
      </c>
      <c r="O63" s="58"/>
    </row>
    <row r="64" spans="1:15" ht="12.75">
      <c r="A64" s="180" t="s">
        <v>366</v>
      </c>
      <c r="B64" s="254"/>
      <c r="C64" s="254"/>
      <c r="D64" s="254"/>
      <c r="E64" s="254"/>
      <c r="F64" s="254"/>
      <c r="G64" s="254"/>
      <c r="H64" s="254"/>
      <c r="I64" s="252"/>
      <c r="J64" s="252"/>
      <c r="K64" s="285"/>
      <c r="L64" s="252"/>
      <c r="M64" s="252">
        <v>0</v>
      </c>
      <c r="N64" s="252">
        <v>0</v>
      </c>
      <c r="O64" s="58"/>
    </row>
    <row r="65" spans="1:15" ht="12.75">
      <c r="A65" s="189" t="s">
        <v>1</v>
      </c>
      <c r="B65" s="254">
        <f>SUM(D65:E65)</f>
        <v>0</v>
      </c>
      <c r="C65" s="254">
        <f>SUM(F65:J65)</f>
        <v>0</v>
      </c>
      <c r="D65" s="254"/>
      <c r="E65" s="254"/>
      <c r="F65" s="254"/>
      <c r="G65" s="254"/>
      <c r="H65" s="254"/>
      <c r="I65" s="254"/>
      <c r="J65" s="254"/>
      <c r="K65" s="319">
        <v>50830</v>
      </c>
      <c r="L65" s="254">
        <f>SUM(L63:L64)</f>
        <v>48001</v>
      </c>
      <c r="M65" s="254">
        <f>SUM(M63:M64)</f>
        <v>26141</v>
      </c>
      <c r="N65" s="254">
        <f>SUM(N63:N64)</f>
        <v>28038</v>
      </c>
      <c r="O65" s="97"/>
    </row>
    <row r="66" spans="1:15" ht="12.75">
      <c r="A66" s="157"/>
      <c r="B66" s="157"/>
      <c r="C66" s="157"/>
      <c r="D66" s="157"/>
      <c r="E66" s="157"/>
      <c r="F66" s="157"/>
      <c r="G66" s="157"/>
      <c r="H66" s="157"/>
      <c r="J66" s="138"/>
      <c r="K66" s="138"/>
      <c r="L66" s="138"/>
      <c r="M66" s="138"/>
      <c r="N66" s="138"/>
      <c r="O66" s="97"/>
    </row>
    <row r="67" spans="1:15" ht="12.75">
      <c r="A67" s="150" t="s">
        <v>408</v>
      </c>
      <c r="B67" s="63" t="s">
        <v>8</v>
      </c>
      <c r="C67" s="63" t="s">
        <v>8</v>
      </c>
      <c r="D67" s="63" t="s">
        <v>8</v>
      </c>
      <c r="E67" s="63" t="s">
        <v>8</v>
      </c>
      <c r="F67" s="63" t="s">
        <v>8</v>
      </c>
      <c r="G67" s="63" t="s">
        <v>8</v>
      </c>
      <c r="H67" s="63" t="s">
        <v>8</v>
      </c>
      <c r="I67" s="63" t="s">
        <v>8</v>
      </c>
      <c r="J67" s="58" t="s">
        <v>8</v>
      </c>
      <c r="K67" s="58" t="s">
        <v>8</v>
      </c>
      <c r="L67" s="58" t="s">
        <v>8</v>
      </c>
      <c r="M67" s="58" t="s">
        <v>8</v>
      </c>
      <c r="N67" s="58" t="s">
        <v>8</v>
      </c>
      <c r="O67" s="58"/>
    </row>
    <row r="68" spans="1:15" ht="12.75">
      <c r="A68" s="180" t="s">
        <v>363</v>
      </c>
      <c r="B68" s="254"/>
      <c r="C68" s="254"/>
      <c r="D68" s="254"/>
      <c r="E68" s="254"/>
      <c r="F68" s="254"/>
      <c r="G68" s="254"/>
      <c r="H68" s="254"/>
      <c r="I68" s="252"/>
      <c r="J68" s="252"/>
      <c r="K68" s="285"/>
      <c r="L68" s="252">
        <v>793618</v>
      </c>
      <c r="M68" s="252">
        <v>427118</v>
      </c>
      <c r="N68" s="252">
        <v>510871</v>
      </c>
      <c r="O68" s="58"/>
    </row>
    <row r="69" spans="1:15" ht="12.75">
      <c r="A69" s="180" t="s">
        <v>366</v>
      </c>
      <c r="B69" s="254"/>
      <c r="C69" s="254"/>
      <c r="D69" s="254"/>
      <c r="E69" s="254"/>
      <c r="F69" s="254"/>
      <c r="G69" s="254"/>
      <c r="H69" s="254"/>
      <c r="I69" s="252"/>
      <c r="J69" s="252"/>
      <c r="K69" s="285"/>
      <c r="L69" s="252"/>
      <c r="M69" s="252">
        <v>0</v>
      </c>
      <c r="N69" s="252">
        <v>0</v>
      </c>
      <c r="O69" s="58"/>
    </row>
    <row r="70" spans="1:15" ht="12.75">
      <c r="A70" s="189" t="s">
        <v>1</v>
      </c>
      <c r="B70" s="254">
        <f>SUM(D70:E70)</f>
        <v>0</v>
      </c>
      <c r="C70" s="254">
        <f>SUM(F70:J70)</f>
        <v>0</v>
      </c>
      <c r="D70" s="254"/>
      <c r="E70" s="254"/>
      <c r="F70" s="254"/>
      <c r="G70" s="254"/>
      <c r="H70" s="254"/>
      <c r="I70" s="254"/>
      <c r="J70" s="254"/>
      <c r="K70" s="319">
        <v>847665</v>
      </c>
      <c r="L70" s="254">
        <f>SUM(L68:L69)</f>
        <v>793618</v>
      </c>
      <c r="M70" s="254">
        <f>SUM(M68:M69)</f>
        <v>427118</v>
      </c>
      <c r="N70" s="254">
        <f>SUM(N68:N69)</f>
        <v>510871</v>
      </c>
      <c r="O70" s="97"/>
    </row>
    <row r="71" spans="1:15" ht="12.75">
      <c r="A71" s="157"/>
      <c r="B71" s="157"/>
      <c r="C71" s="157"/>
      <c r="D71" s="157"/>
      <c r="E71" s="157"/>
      <c r="F71" s="157"/>
      <c r="G71" s="157"/>
      <c r="H71" s="157"/>
      <c r="J71" s="138"/>
      <c r="K71" s="138"/>
      <c r="L71" s="138"/>
      <c r="M71" s="138"/>
      <c r="N71" s="138"/>
      <c r="O71" s="97"/>
    </row>
    <row r="72" spans="1:15" ht="12.75">
      <c r="A72" s="150" t="s">
        <v>109</v>
      </c>
      <c r="B72" s="58" t="s">
        <v>397</v>
      </c>
      <c r="C72" s="58" t="s">
        <v>397</v>
      </c>
      <c r="D72" s="58" t="s">
        <v>397</v>
      </c>
      <c r="E72" s="58" t="s">
        <v>397</v>
      </c>
      <c r="F72" s="58" t="s">
        <v>397</v>
      </c>
      <c r="G72" s="58" t="s">
        <v>397</v>
      </c>
      <c r="H72" s="58" t="s">
        <v>397</v>
      </c>
      <c r="I72" s="58" t="s">
        <v>397</v>
      </c>
      <c r="J72" s="58" t="s">
        <v>397</v>
      </c>
      <c r="K72" s="58" t="s">
        <v>397</v>
      </c>
      <c r="L72" s="58" t="s">
        <v>397</v>
      </c>
      <c r="M72" s="58" t="s">
        <v>397</v>
      </c>
      <c r="N72" s="58" t="s">
        <v>397</v>
      </c>
      <c r="O72" s="58"/>
    </row>
    <row r="73" spans="1:15" ht="12.75">
      <c r="A73" s="180" t="s">
        <v>363</v>
      </c>
      <c r="B73" s="254"/>
      <c r="C73" s="254"/>
      <c r="D73" s="254"/>
      <c r="E73" s="254"/>
      <c r="F73" s="254"/>
      <c r="G73" s="254"/>
      <c r="H73" s="254"/>
      <c r="I73" s="252"/>
      <c r="J73" s="252"/>
      <c r="K73" s="285"/>
      <c r="L73" s="252">
        <v>9585</v>
      </c>
      <c r="M73" s="252">
        <v>6525</v>
      </c>
      <c r="N73" s="252">
        <v>8752</v>
      </c>
      <c r="O73" s="58"/>
    </row>
    <row r="74" spans="1:15" ht="12.75">
      <c r="A74" s="180" t="s">
        <v>366</v>
      </c>
      <c r="B74" s="254"/>
      <c r="C74" s="254"/>
      <c r="D74" s="254"/>
      <c r="E74" s="254"/>
      <c r="F74" s="254"/>
      <c r="G74" s="254"/>
      <c r="H74" s="254"/>
      <c r="I74" s="252"/>
      <c r="J74" s="252"/>
      <c r="K74" s="285"/>
      <c r="L74" s="252">
        <v>1795</v>
      </c>
      <c r="M74" s="252">
        <v>0</v>
      </c>
      <c r="N74" s="252">
        <v>0</v>
      </c>
      <c r="O74" s="58"/>
    </row>
    <row r="75" spans="1:15" ht="12.75">
      <c r="A75" s="189" t="s">
        <v>1</v>
      </c>
      <c r="B75" s="254">
        <f>SUM(D75:E75)</f>
        <v>0</v>
      </c>
      <c r="C75" s="254">
        <f>SUM(F75:J75)</f>
        <v>0</v>
      </c>
      <c r="D75" s="254"/>
      <c r="E75" s="254"/>
      <c r="F75" s="254"/>
      <c r="G75" s="254"/>
      <c r="H75" s="254"/>
      <c r="I75" s="254"/>
      <c r="J75" s="254"/>
      <c r="K75" s="319">
        <v>10469</v>
      </c>
      <c r="L75" s="254">
        <f>SUM(L73:L74)</f>
        <v>11380</v>
      </c>
      <c r="M75" s="254">
        <f>SUM(M73:M74)</f>
        <v>6525</v>
      </c>
      <c r="N75" s="254">
        <f>SUM(N73:N74)</f>
        <v>8752</v>
      </c>
      <c r="O75" s="97"/>
    </row>
    <row r="77" ht="12.75">
      <c r="A77" s="150" t="s">
        <v>342</v>
      </c>
    </row>
    <row r="78" spans="1:14" ht="12.75">
      <c r="A78" s="156" t="s">
        <v>7</v>
      </c>
      <c r="B78" s="148" t="s">
        <v>8</v>
      </c>
      <c r="C78" s="148" t="s">
        <v>8</v>
      </c>
      <c r="D78" s="148" t="s">
        <v>8</v>
      </c>
      <c r="E78" s="148" t="s">
        <v>8</v>
      </c>
      <c r="F78" s="148" t="s">
        <v>8</v>
      </c>
      <c r="G78" s="148" t="s">
        <v>8</v>
      </c>
      <c r="H78" s="148" t="s">
        <v>8</v>
      </c>
      <c r="I78" s="148" t="s">
        <v>8</v>
      </c>
      <c r="J78" s="148" t="s">
        <v>8</v>
      </c>
      <c r="K78" s="148" t="s">
        <v>8</v>
      </c>
      <c r="L78" s="148" t="s">
        <v>8</v>
      </c>
      <c r="M78" s="148" t="s">
        <v>8</v>
      </c>
      <c r="N78" s="148" t="s">
        <v>8</v>
      </c>
    </row>
    <row r="79" spans="1:14" ht="12.75">
      <c r="A79" s="180" t="s">
        <v>364</v>
      </c>
      <c r="B79" s="254"/>
      <c r="C79" s="254">
        <f>SUM(F79:J79)</f>
        <v>0</v>
      </c>
      <c r="D79" s="254"/>
      <c r="E79" s="254"/>
      <c r="F79" s="254"/>
      <c r="G79" s="254"/>
      <c r="H79" s="254"/>
      <c r="I79" s="252"/>
      <c r="J79" s="252"/>
      <c r="K79" s="285"/>
      <c r="L79" s="252">
        <v>7952</v>
      </c>
      <c r="M79" s="252">
        <v>0</v>
      </c>
      <c r="N79" s="252">
        <v>0</v>
      </c>
    </row>
    <row r="80" spans="1:14" ht="12.75">
      <c r="A80" s="180" t="s">
        <v>365</v>
      </c>
      <c r="B80" s="254"/>
      <c r="C80" s="254">
        <f>SUM(F80:J80)</f>
        <v>0</v>
      </c>
      <c r="D80" s="254"/>
      <c r="E80" s="254"/>
      <c r="F80" s="254"/>
      <c r="G80" s="254"/>
      <c r="H80" s="254"/>
      <c r="I80" s="252"/>
      <c r="J80" s="252"/>
      <c r="K80" s="285"/>
      <c r="L80" s="252">
        <v>95419</v>
      </c>
      <c r="M80" s="252">
        <v>0</v>
      </c>
      <c r="N80" s="252">
        <v>0</v>
      </c>
    </row>
    <row r="82" spans="1:14" ht="12.75">
      <c r="A82" s="150" t="s">
        <v>111</v>
      </c>
      <c r="B82" s="148" t="s">
        <v>397</v>
      </c>
      <c r="C82" s="148" t="s">
        <v>397</v>
      </c>
      <c r="D82" s="148" t="s">
        <v>397</v>
      </c>
      <c r="E82" s="148" t="s">
        <v>397</v>
      </c>
      <c r="F82" s="148" t="s">
        <v>397</v>
      </c>
      <c r="G82" s="148" t="s">
        <v>397</v>
      </c>
      <c r="H82" s="148" t="s">
        <v>397</v>
      </c>
      <c r="I82" s="148" t="s">
        <v>397</v>
      </c>
      <c r="J82" s="148" t="s">
        <v>397</v>
      </c>
      <c r="K82" s="148" t="s">
        <v>397</v>
      </c>
      <c r="L82" s="148" t="s">
        <v>397</v>
      </c>
      <c r="M82" s="148" t="s">
        <v>397</v>
      </c>
      <c r="N82" s="148" t="s">
        <v>397</v>
      </c>
    </row>
    <row r="83" spans="1:14" ht="12.75">
      <c r="A83" s="180" t="s">
        <v>364</v>
      </c>
      <c r="B83" s="254"/>
      <c r="C83" s="254">
        <f>SUM(F83:J83)</f>
        <v>0</v>
      </c>
      <c r="D83" s="254"/>
      <c r="E83" s="254"/>
      <c r="F83" s="254"/>
      <c r="G83" s="254"/>
      <c r="H83" s="254"/>
      <c r="I83" s="252"/>
      <c r="J83" s="252"/>
      <c r="K83" s="285"/>
      <c r="L83" s="252">
        <v>1795</v>
      </c>
      <c r="M83" s="252">
        <v>0</v>
      </c>
      <c r="N83" s="252">
        <v>0</v>
      </c>
    </row>
    <row r="84" spans="1:15" ht="12.75">
      <c r="A84" s="334"/>
      <c r="B84" s="334"/>
      <c r="C84" s="334"/>
      <c r="D84" s="334"/>
      <c r="E84" s="334"/>
      <c r="F84" s="334"/>
      <c r="G84" s="334"/>
      <c r="H84" s="334"/>
      <c r="J84" s="138"/>
      <c r="K84" s="138"/>
      <c r="L84" s="138"/>
      <c r="M84" s="138"/>
      <c r="N84" s="138"/>
      <c r="O84" s="97"/>
    </row>
    <row r="85" spans="1:15" ht="12.75">
      <c r="A85" s="43" t="s">
        <v>6</v>
      </c>
      <c r="B85" s="150"/>
      <c r="C85" s="150"/>
      <c r="D85" s="150"/>
      <c r="E85" s="150"/>
      <c r="F85" s="150"/>
      <c r="G85" s="150"/>
      <c r="H85" s="150"/>
      <c r="I85" s="74"/>
      <c r="J85" s="97"/>
      <c r="K85" s="97"/>
      <c r="L85" s="97"/>
      <c r="M85" s="97"/>
      <c r="N85" s="97"/>
      <c r="O85" s="97"/>
    </row>
    <row r="86" spans="1:15" ht="12.75">
      <c r="A86" s="439" t="s">
        <v>409</v>
      </c>
      <c r="B86" s="438" t="s">
        <v>11</v>
      </c>
      <c r="C86" s="438" t="s">
        <v>11</v>
      </c>
      <c r="D86" s="438" t="s">
        <v>11</v>
      </c>
      <c r="E86" s="438" t="s">
        <v>11</v>
      </c>
      <c r="F86" s="438" t="s">
        <v>11</v>
      </c>
      <c r="G86" s="438" t="s">
        <v>11</v>
      </c>
      <c r="H86" s="438" t="s">
        <v>11</v>
      </c>
      <c r="I86" s="438" t="s">
        <v>11</v>
      </c>
      <c r="J86" s="438" t="s">
        <v>11</v>
      </c>
      <c r="K86" s="438" t="s">
        <v>11</v>
      </c>
      <c r="L86" s="438" t="s">
        <v>11</v>
      </c>
      <c r="M86" s="438" t="s">
        <v>11</v>
      </c>
      <c r="N86" s="438" t="s">
        <v>11</v>
      </c>
      <c r="O86" s="58"/>
    </row>
    <row r="87" spans="1:15" ht="12.75">
      <c r="A87" s="180" t="s">
        <v>363</v>
      </c>
      <c r="B87" s="254"/>
      <c r="C87" s="254"/>
      <c r="D87" s="254"/>
      <c r="E87" s="254"/>
      <c r="F87" s="254"/>
      <c r="G87" s="254"/>
      <c r="H87" s="254"/>
      <c r="I87" s="252"/>
      <c r="J87" s="252"/>
      <c r="K87" s="285"/>
      <c r="L87" s="252">
        <v>291973</v>
      </c>
      <c r="M87" s="252">
        <v>176810</v>
      </c>
      <c r="N87" s="252">
        <v>177422</v>
      </c>
      <c r="O87" s="58"/>
    </row>
    <row r="88" spans="1:15" ht="12.75">
      <c r="A88" s="180" t="s">
        <v>366</v>
      </c>
      <c r="B88" s="254"/>
      <c r="C88" s="254"/>
      <c r="D88" s="254"/>
      <c r="E88" s="254"/>
      <c r="F88" s="254"/>
      <c r="G88" s="254"/>
      <c r="H88" s="254"/>
      <c r="I88" s="252"/>
      <c r="J88" s="252"/>
      <c r="K88" s="285"/>
      <c r="L88" s="252">
        <v>35318</v>
      </c>
      <c r="M88" s="252">
        <v>0</v>
      </c>
      <c r="N88" s="252">
        <v>0</v>
      </c>
      <c r="O88" s="58"/>
    </row>
    <row r="89" spans="1:15" ht="12.75">
      <c r="A89" s="189" t="s">
        <v>1</v>
      </c>
      <c r="B89" s="254">
        <f>SUM(D89:E89)</f>
        <v>0</v>
      </c>
      <c r="C89" s="254">
        <f>SUM(F89:J89)</f>
        <v>105152</v>
      </c>
      <c r="D89" s="254"/>
      <c r="E89" s="254"/>
      <c r="F89" s="254"/>
      <c r="G89" s="254"/>
      <c r="H89" s="254"/>
      <c r="I89" s="254"/>
      <c r="J89" s="254">
        <v>105152</v>
      </c>
      <c r="K89" s="319">
        <v>270852</v>
      </c>
      <c r="L89" s="254">
        <f>SUM(L87:L88)</f>
        <v>327291</v>
      </c>
      <c r="M89" s="254">
        <f>SUM(M87:M88)</f>
        <v>176810</v>
      </c>
      <c r="N89" s="254">
        <f>SUM(N87:N88)</f>
        <v>177422</v>
      </c>
      <c r="O89" s="97"/>
    </row>
    <row r="90" spans="1:15" ht="12.75">
      <c r="A90" s="157"/>
      <c r="B90" s="157"/>
      <c r="C90" s="157"/>
      <c r="D90" s="157"/>
      <c r="E90" s="157"/>
      <c r="F90" s="157"/>
      <c r="G90" s="157"/>
      <c r="H90" s="157"/>
      <c r="J90" s="138"/>
      <c r="K90" s="138"/>
      <c r="L90" s="138"/>
      <c r="M90" s="138"/>
      <c r="N90" s="138"/>
      <c r="O90" s="97"/>
    </row>
    <row r="91" spans="1:15" ht="12.75">
      <c r="A91" s="150" t="s">
        <v>410</v>
      </c>
      <c r="B91" s="58" t="s">
        <v>11</v>
      </c>
      <c r="C91" s="58" t="s">
        <v>11</v>
      </c>
      <c r="D91" s="58" t="s">
        <v>11</v>
      </c>
      <c r="E91" s="58" t="s">
        <v>11</v>
      </c>
      <c r="F91" s="58" t="s">
        <v>11</v>
      </c>
      <c r="G91" s="58" t="s">
        <v>11</v>
      </c>
      <c r="H91" s="58" t="s">
        <v>11</v>
      </c>
      <c r="I91" s="58" t="s">
        <v>11</v>
      </c>
      <c r="J91" s="58" t="s">
        <v>11</v>
      </c>
      <c r="K91" s="58" t="s">
        <v>11</v>
      </c>
      <c r="L91" s="58" t="s">
        <v>11</v>
      </c>
      <c r="M91" s="58" t="s">
        <v>11</v>
      </c>
      <c r="N91" s="58" t="s">
        <v>11</v>
      </c>
      <c r="O91" s="58"/>
    </row>
    <row r="92" spans="1:15" ht="12.75">
      <c r="A92" s="180" t="s">
        <v>363</v>
      </c>
      <c r="B92" s="254"/>
      <c r="C92" s="254"/>
      <c r="D92" s="254"/>
      <c r="E92" s="254"/>
      <c r="F92" s="254"/>
      <c r="G92" s="254"/>
      <c r="H92" s="254"/>
      <c r="I92" s="252"/>
      <c r="J92" s="252"/>
      <c r="K92" s="285"/>
      <c r="L92" s="252">
        <v>5426910</v>
      </c>
      <c r="M92" s="252">
        <v>3336062</v>
      </c>
      <c r="N92" s="252">
        <v>3220261</v>
      </c>
      <c r="O92" s="58"/>
    </row>
    <row r="93" spans="1:15" ht="12.75">
      <c r="A93" s="180" t="s">
        <v>366</v>
      </c>
      <c r="B93" s="254"/>
      <c r="C93" s="254"/>
      <c r="D93" s="254"/>
      <c r="E93" s="254"/>
      <c r="F93" s="254"/>
      <c r="G93" s="254"/>
      <c r="H93" s="254"/>
      <c r="I93" s="252"/>
      <c r="J93" s="252"/>
      <c r="K93" s="285"/>
      <c r="L93" s="252">
        <v>423816</v>
      </c>
      <c r="M93" s="252">
        <v>0</v>
      </c>
      <c r="N93" s="252">
        <v>0</v>
      </c>
      <c r="O93" s="58"/>
    </row>
    <row r="94" spans="1:15" ht="12.75">
      <c r="A94" s="189" t="s">
        <v>1</v>
      </c>
      <c r="B94" s="254">
        <f>SUM(D94:E94)</f>
        <v>0</v>
      </c>
      <c r="C94" s="254">
        <f>SUM(F94:J94)</f>
        <v>1738786</v>
      </c>
      <c r="D94" s="254"/>
      <c r="E94" s="254"/>
      <c r="F94" s="254"/>
      <c r="G94" s="254"/>
      <c r="H94" s="254"/>
      <c r="I94" s="254"/>
      <c r="J94" s="254">
        <v>1738786</v>
      </c>
      <c r="K94" s="319">
        <v>4620736</v>
      </c>
      <c r="L94" s="254">
        <f>SUM(L92:L93)</f>
        <v>5850726</v>
      </c>
      <c r="M94" s="254">
        <f>SUM(M92:M93)</f>
        <v>3336062</v>
      </c>
      <c r="N94" s="254">
        <f>SUM(N92:N93)</f>
        <v>3220261</v>
      </c>
      <c r="O94" s="97"/>
    </row>
    <row r="95" ht="12.75">
      <c r="A95" s="332" t="str">
        <f>A57</f>
        <v>* These columns/years have been hidden in this worksheet for viewing &amp; printing purposes</v>
      </c>
    </row>
  </sheetData>
  <sheetProtection/>
  <mergeCells count="2">
    <mergeCell ref="A2:O2"/>
    <mergeCell ref="A1:O1"/>
  </mergeCells>
  <printOptions/>
  <pageMargins left="0.17" right="0.17" top="0.4" bottom="0.6" header="0.24" footer="0.24"/>
  <pageSetup fitToHeight="0" fitToWidth="0" horizontalDpi="600" verticalDpi="600" orientation="landscape" scale="75" r:id="rId1"/>
  <headerFooter scaleWithDoc="0" alignWithMargins="0">
    <oddFooter>&amp;L&amp;6&amp;A - Results by Program Year&amp;R&amp;6printed &amp;D at &amp;T</oddFooter>
  </headerFooter>
  <rowBreaks count="1" manualBreakCount="1">
    <brk id="57" max="12" man="1"/>
  </rowBreaks>
</worksheet>
</file>

<file path=xl/worksheets/sheet2.xml><?xml version="1.0" encoding="utf-8"?>
<worksheet xmlns="http://schemas.openxmlformats.org/spreadsheetml/2006/main" xmlns:r="http://schemas.openxmlformats.org/officeDocument/2006/relationships">
  <sheetPr>
    <tabColor theme="6"/>
    <outlinePr summaryRight="0"/>
  </sheetPr>
  <dimension ref="A1:S77"/>
  <sheetViews>
    <sheetView showGridLines="0" zoomScalePageLayoutView="0" workbookViewId="0" topLeftCell="A1">
      <selection activeCell="A1" sqref="A1:R1"/>
    </sheetView>
  </sheetViews>
  <sheetFormatPr defaultColWidth="9.140625" defaultRowHeight="12.75" outlineLevelCol="1"/>
  <cols>
    <col min="1" max="1" width="27.8515625" style="0" customWidth="1"/>
    <col min="2" max="2" width="15.421875" style="0" bestFit="1" customWidth="1"/>
    <col min="3" max="3" width="17.00390625" style="0" bestFit="1" customWidth="1" collapsed="1"/>
    <col min="4" max="13" width="15.421875" style="0" hidden="1" customWidth="1" outlineLevel="1"/>
    <col min="14" max="15" width="15.421875" style="0" bestFit="1" customWidth="1"/>
    <col min="16" max="17" width="15.421875" style="0" customWidth="1"/>
    <col min="18" max="18" width="17.421875" style="0" bestFit="1" customWidth="1"/>
    <col min="19" max="19" width="10.140625" style="0" bestFit="1" customWidth="1"/>
  </cols>
  <sheetData>
    <row r="1" spans="1:18" ht="12.75">
      <c r="A1" s="482" t="s">
        <v>63</v>
      </c>
      <c r="B1" s="482"/>
      <c r="C1" s="482"/>
      <c r="D1" s="482"/>
      <c r="E1" s="482"/>
      <c r="F1" s="482"/>
      <c r="G1" s="482"/>
      <c r="H1" s="482"/>
      <c r="I1" s="482"/>
      <c r="J1" s="482"/>
      <c r="K1" s="482"/>
      <c r="L1" s="482"/>
      <c r="M1" s="482"/>
      <c r="N1" s="482"/>
      <c r="O1" s="482"/>
      <c r="P1" s="482"/>
      <c r="Q1" s="482"/>
      <c r="R1" s="482"/>
    </row>
    <row r="2" spans="1:18" ht="12.75">
      <c r="A2" s="482" t="s">
        <v>387</v>
      </c>
      <c r="B2" s="482"/>
      <c r="C2" s="482"/>
      <c r="D2" s="482"/>
      <c r="E2" s="482"/>
      <c r="F2" s="482"/>
      <c r="G2" s="482"/>
      <c r="H2" s="482"/>
      <c r="I2" s="482"/>
      <c r="J2" s="482"/>
      <c r="K2" s="482"/>
      <c r="L2" s="482"/>
      <c r="M2" s="482"/>
      <c r="N2" s="482"/>
      <c r="O2" s="482"/>
      <c r="P2" s="482"/>
      <c r="Q2" s="482"/>
      <c r="R2" s="482"/>
    </row>
    <row r="3" spans="1:18" ht="15">
      <c r="A3" s="416" t="s">
        <v>387</v>
      </c>
      <c r="B3" s="171"/>
      <c r="C3" s="171"/>
      <c r="D3" s="171"/>
      <c r="E3" s="171"/>
      <c r="F3" s="171"/>
      <c r="G3" s="171"/>
      <c r="H3" s="171"/>
      <c r="I3" s="171"/>
      <c r="J3" s="171"/>
      <c r="K3" s="171"/>
      <c r="L3" s="171"/>
      <c r="M3" s="171"/>
      <c r="N3" s="171"/>
      <c r="O3" s="171"/>
      <c r="P3" s="171"/>
      <c r="Q3" s="171"/>
      <c r="R3" s="171"/>
    </row>
    <row r="4" spans="1:18" ht="27">
      <c r="A4" s="24"/>
      <c r="B4" s="196" t="s">
        <v>289</v>
      </c>
      <c r="C4" s="196" t="s">
        <v>461</v>
      </c>
      <c r="D4" s="28">
        <v>2001</v>
      </c>
      <c r="E4" s="28">
        <v>2002</v>
      </c>
      <c r="F4" s="28">
        <v>2003</v>
      </c>
      <c r="G4" s="28">
        <v>2004</v>
      </c>
      <c r="H4" s="28">
        <v>2005</v>
      </c>
      <c r="I4" s="28">
        <v>2006</v>
      </c>
      <c r="J4" s="28">
        <v>2007</v>
      </c>
      <c r="K4" s="28">
        <v>2008</v>
      </c>
      <c r="L4" s="28">
        <v>2009</v>
      </c>
      <c r="M4" s="28">
        <v>2010</v>
      </c>
      <c r="N4" s="28">
        <v>2011</v>
      </c>
      <c r="O4" s="196" t="s">
        <v>348</v>
      </c>
      <c r="P4" s="196" t="s">
        <v>351</v>
      </c>
      <c r="Q4" s="196" t="s">
        <v>440</v>
      </c>
      <c r="R4" s="28"/>
    </row>
    <row r="5" spans="1:18" ht="12.75">
      <c r="A5" s="14" t="s">
        <v>279</v>
      </c>
      <c r="B5" s="237">
        <f>SUM(D5:H5)</f>
        <v>825901000</v>
      </c>
      <c r="C5" s="237">
        <f>SUM(I5:M5)</f>
        <v>2064269163.56</v>
      </c>
      <c r="D5" s="237">
        <f>D19</f>
        <v>114882000</v>
      </c>
      <c r="E5" s="237">
        <f aca="true" t="shared" si="0" ref="E5:N5">E19</f>
        <v>132686000</v>
      </c>
      <c r="F5" s="237">
        <f t="shared" si="0"/>
        <v>137138000</v>
      </c>
      <c r="G5" s="237">
        <f t="shared" si="0"/>
        <v>197340000</v>
      </c>
      <c r="H5" s="237">
        <f t="shared" si="0"/>
        <v>243855000</v>
      </c>
      <c r="I5" s="237">
        <f t="shared" si="0"/>
        <v>309114000</v>
      </c>
      <c r="J5" s="237">
        <f t="shared" si="0"/>
        <v>349555000</v>
      </c>
      <c r="K5" s="237">
        <f t="shared" si="0"/>
        <v>419491000</v>
      </c>
      <c r="L5" s="237">
        <f t="shared" si="0"/>
        <v>525380811.39</v>
      </c>
      <c r="M5" s="237">
        <f t="shared" si="0"/>
        <v>460728352.16999996</v>
      </c>
      <c r="N5" s="237">
        <f t="shared" si="0"/>
        <v>506323547.37</v>
      </c>
      <c r="O5" s="237">
        <f>O19</f>
        <v>511366306.14</v>
      </c>
      <c r="P5" s="237">
        <f>P19</f>
        <v>418086273.54</v>
      </c>
      <c r="Q5" s="237">
        <f>Q19</f>
        <v>379630247.11</v>
      </c>
      <c r="R5" s="33"/>
    </row>
    <row r="6" spans="1:18" ht="12.75">
      <c r="A6" s="183" t="s">
        <v>253</v>
      </c>
      <c r="B6" s="238">
        <f>SUM(D6:H6)</f>
        <v>487339542</v>
      </c>
      <c r="C6" s="238">
        <f>SUM(I6:M6)</f>
        <v>893307404.09</v>
      </c>
      <c r="D6" s="238">
        <f>D28</f>
        <v>57555000</v>
      </c>
      <c r="E6" s="238">
        <f aca="true" t="shared" si="1" ref="E6:N6">E28</f>
        <v>99904000</v>
      </c>
      <c r="F6" s="238">
        <f t="shared" si="1"/>
        <v>97786000</v>
      </c>
      <c r="G6" s="238">
        <f t="shared" si="1"/>
        <v>107502000</v>
      </c>
      <c r="H6" s="238">
        <f t="shared" si="1"/>
        <v>124592542</v>
      </c>
      <c r="I6" s="238">
        <f t="shared" si="1"/>
        <v>171197000</v>
      </c>
      <c r="J6" s="238">
        <f t="shared" si="1"/>
        <v>176811000</v>
      </c>
      <c r="K6" s="238">
        <f t="shared" si="1"/>
        <v>147550000</v>
      </c>
      <c r="L6" s="238">
        <f t="shared" si="1"/>
        <v>178164199.73</v>
      </c>
      <c r="M6" s="238">
        <f t="shared" si="1"/>
        <v>219585204.35999998</v>
      </c>
      <c r="N6" s="238">
        <f t="shared" si="1"/>
        <v>191875940.36</v>
      </c>
      <c r="O6" s="238">
        <f>O28</f>
        <v>277843944.14</v>
      </c>
      <c r="P6" s="238">
        <f>P28</f>
        <v>202221164.29000005</v>
      </c>
      <c r="Q6" s="238">
        <f>Q28</f>
        <v>203338018.32</v>
      </c>
      <c r="R6" s="172"/>
    </row>
    <row r="7" spans="1:18" ht="12.75">
      <c r="A7" s="16" t="s">
        <v>280</v>
      </c>
      <c r="B7" s="238">
        <f>SUM(D7:H7)</f>
        <v>528364000</v>
      </c>
      <c r="C7" s="238">
        <f>SUM(I7:M7)</f>
        <v>744363292.27</v>
      </c>
      <c r="D7" s="238">
        <f aca="true" t="shared" si="2" ref="D7:O7">D37</f>
        <v>22207000</v>
      </c>
      <c r="E7" s="238">
        <f t="shared" si="2"/>
        <v>51454000</v>
      </c>
      <c r="F7" s="238">
        <f t="shared" si="2"/>
        <v>79453000</v>
      </c>
      <c r="G7" s="238">
        <f t="shared" si="2"/>
        <v>165230000</v>
      </c>
      <c r="H7" s="238">
        <f t="shared" si="2"/>
        <v>210020000</v>
      </c>
      <c r="I7" s="238">
        <f t="shared" si="2"/>
        <v>164134000</v>
      </c>
      <c r="J7" s="238">
        <f t="shared" si="2"/>
        <v>115348000</v>
      </c>
      <c r="K7" s="238">
        <f t="shared" si="2"/>
        <v>155425000</v>
      </c>
      <c r="L7" s="238">
        <f t="shared" si="2"/>
        <v>167687937.8</v>
      </c>
      <c r="M7" s="238">
        <f t="shared" si="2"/>
        <v>141768354.47</v>
      </c>
      <c r="N7" s="238">
        <f t="shared" si="2"/>
        <v>124590088.59</v>
      </c>
      <c r="O7" s="238">
        <f t="shared" si="2"/>
        <v>135449403.45</v>
      </c>
      <c r="P7" s="238">
        <f>P37</f>
        <v>118973831.49999999</v>
      </c>
      <c r="Q7" s="238">
        <f>Q37</f>
        <v>132051650.97</v>
      </c>
      <c r="R7" s="172"/>
    </row>
    <row r="8" spans="1:18" ht="8.25" customHeight="1">
      <c r="A8" s="405"/>
      <c r="B8" s="406"/>
      <c r="C8" s="406"/>
      <c r="D8" s="406"/>
      <c r="E8" s="406"/>
      <c r="F8" s="406"/>
      <c r="G8" s="406"/>
      <c r="H8" s="406"/>
      <c r="I8" s="406"/>
      <c r="J8" s="406"/>
      <c r="K8" s="406"/>
      <c r="L8" s="406"/>
      <c r="M8" s="406"/>
      <c r="N8" s="406"/>
      <c r="O8" s="406"/>
      <c r="P8" s="406"/>
      <c r="Q8" s="406"/>
      <c r="R8" s="172"/>
    </row>
    <row r="9" spans="1:18" ht="12.75" customHeight="1">
      <c r="A9" s="170" t="s">
        <v>372</v>
      </c>
      <c r="B9" s="238">
        <f>SUM(D9:H9)</f>
        <v>1015703542</v>
      </c>
      <c r="C9" s="238">
        <f>SUM(I9:M9)</f>
        <v>1637670696.36</v>
      </c>
      <c r="D9" s="238">
        <f>D6+D7</f>
        <v>79762000</v>
      </c>
      <c r="E9" s="238">
        <f aca="true" t="shared" si="3" ref="E9:N9">E6+E7</f>
        <v>151358000</v>
      </c>
      <c r="F9" s="238">
        <f t="shared" si="3"/>
        <v>177239000</v>
      </c>
      <c r="G9" s="238">
        <f t="shared" si="3"/>
        <v>272732000</v>
      </c>
      <c r="H9" s="238">
        <f t="shared" si="3"/>
        <v>334612542</v>
      </c>
      <c r="I9" s="238">
        <f t="shared" si="3"/>
        <v>335331000</v>
      </c>
      <c r="J9" s="238">
        <f t="shared" si="3"/>
        <v>292159000</v>
      </c>
      <c r="K9" s="238">
        <f t="shared" si="3"/>
        <v>302975000</v>
      </c>
      <c r="L9" s="238">
        <f t="shared" si="3"/>
        <v>345852137.53</v>
      </c>
      <c r="M9" s="238">
        <f t="shared" si="3"/>
        <v>361353558.83</v>
      </c>
      <c r="N9" s="238">
        <f t="shared" si="3"/>
        <v>316466028.95000005</v>
      </c>
      <c r="O9" s="238">
        <f>O6+O7</f>
        <v>413293347.59</v>
      </c>
      <c r="P9" s="238">
        <f>P6+P7</f>
        <v>321194995.79</v>
      </c>
      <c r="Q9" s="238">
        <f>Q6+Q7</f>
        <v>335389669.28999996</v>
      </c>
      <c r="R9" s="172"/>
    </row>
    <row r="10" spans="1:18" ht="12.75">
      <c r="A10" s="127" t="s">
        <v>426</v>
      </c>
      <c r="B10" s="414">
        <f>B9/B5</f>
        <v>1.2298127039439353</v>
      </c>
      <c r="C10" s="414">
        <f>C9/C5</f>
        <v>0.7933416461716183</v>
      </c>
      <c r="D10" s="414">
        <f>D9/D5</f>
        <v>0.6942950157552967</v>
      </c>
      <c r="E10" s="414">
        <f aca="true" t="shared" si="4" ref="E10:N10">E9/E5</f>
        <v>1.1407232111903292</v>
      </c>
      <c r="F10" s="414">
        <f t="shared" si="4"/>
        <v>1.2924134813107964</v>
      </c>
      <c r="G10" s="414">
        <f t="shared" si="4"/>
        <v>1.3820411472585385</v>
      </c>
      <c r="H10" s="414">
        <f t="shared" si="4"/>
        <v>1.3721783108814665</v>
      </c>
      <c r="I10" s="414">
        <f t="shared" si="4"/>
        <v>1.0848133698247249</v>
      </c>
      <c r="J10" s="414">
        <f t="shared" si="4"/>
        <v>0.8358026633863055</v>
      </c>
      <c r="K10" s="414">
        <f t="shared" si="4"/>
        <v>0.7222443389727073</v>
      </c>
      <c r="L10" s="414">
        <f t="shared" si="4"/>
        <v>0.6582884833859444</v>
      </c>
      <c r="M10" s="414">
        <f t="shared" si="4"/>
        <v>0.7843093595782606</v>
      </c>
      <c r="N10" s="414">
        <f t="shared" si="4"/>
        <v>0.6250272786913067</v>
      </c>
      <c r="O10" s="414">
        <f>O9/O5</f>
        <v>0.8082138823531523</v>
      </c>
      <c r="P10" s="414">
        <f>P9/P5</f>
        <v>0.7682505169815627</v>
      </c>
      <c r="Q10" s="414">
        <f>Q9/Q5</f>
        <v>0.8834640333408916</v>
      </c>
      <c r="R10" s="173"/>
    </row>
    <row r="11" spans="1:18" ht="12.75">
      <c r="A11" s="171"/>
      <c r="B11" s="171"/>
      <c r="C11" s="171"/>
      <c r="D11" s="171"/>
      <c r="E11" s="171"/>
      <c r="F11" s="171"/>
      <c r="G11" s="171"/>
      <c r="H11" s="171"/>
      <c r="I11" s="171"/>
      <c r="J11" s="171"/>
      <c r="K11" s="171"/>
      <c r="L11" s="171"/>
      <c r="M11" s="171"/>
      <c r="N11" s="171"/>
      <c r="O11" s="171"/>
      <c r="P11" s="171"/>
      <c r="Q11" s="171"/>
      <c r="R11" s="171"/>
    </row>
    <row r="12" spans="1:18" ht="26.25">
      <c r="A12" s="411" t="s">
        <v>279</v>
      </c>
      <c r="B12" s="196" t="str">
        <f>B4</f>
        <v>Summary 
2001 to 2005*</v>
      </c>
      <c r="C12" s="196" t="str">
        <f>C4</f>
        <v>Summary 
2006 to 2010*</v>
      </c>
      <c r="D12" s="28">
        <v>2001</v>
      </c>
      <c r="E12" s="28">
        <v>2002</v>
      </c>
      <c r="F12" s="28">
        <v>2003</v>
      </c>
      <c r="G12" s="28">
        <v>2004</v>
      </c>
      <c r="H12" s="28">
        <v>2005</v>
      </c>
      <c r="I12" s="28">
        <v>2006</v>
      </c>
      <c r="J12" s="28">
        <v>2007</v>
      </c>
      <c r="K12" s="28">
        <v>2008</v>
      </c>
      <c r="L12" s="28">
        <v>2009</v>
      </c>
      <c r="M12" s="28">
        <v>2010</v>
      </c>
      <c r="N12" s="28">
        <v>2011</v>
      </c>
      <c r="O12" s="196" t="str">
        <f>O4</f>
        <v>(18 month)1
2012-2013</v>
      </c>
      <c r="P12" s="196" t="str">
        <f>P4</f>
        <v>FY2014</v>
      </c>
      <c r="Q12" s="196" t="str">
        <f>Q4</f>
        <v>FY2015</v>
      </c>
      <c r="R12" s="24"/>
    </row>
    <row r="13" spans="1:19" ht="12.75">
      <c r="A13" s="225" t="s">
        <v>83</v>
      </c>
      <c r="B13" s="240">
        <f>SUM(D13:H13)</f>
        <v>519626000</v>
      </c>
      <c r="C13" s="240">
        <f>SUM(I13:M13)</f>
        <v>1019159298.49</v>
      </c>
      <c r="D13" s="240">
        <v>86132000</v>
      </c>
      <c r="E13" s="240">
        <v>101316000</v>
      </c>
      <c r="F13" s="240">
        <v>101138000</v>
      </c>
      <c r="G13" s="240">
        <v>117290000</v>
      </c>
      <c r="H13" s="240">
        <v>113750000</v>
      </c>
      <c r="I13" s="240">
        <v>128645000</v>
      </c>
      <c r="J13" s="240">
        <v>159705000</v>
      </c>
      <c r="K13" s="240">
        <v>189928000</v>
      </c>
      <c r="L13" s="240">
        <v>265312926.03</v>
      </c>
      <c r="M13" s="240">
        <v>275568372.46</v>
      </c>
      <c r="N13" s="240">
        <v>325875452.17</v>
      </c>
      <c r="O13" s="241">
        <v>395313328.45</v>
      </c>
      <c r="P13" s="241">
        <v>304264392.03</v>
      </c>
      <c r="Q13" s="241">
        <v>304317935.19</v>
      </c>
      <c r="R13" s="33"/>
      <c r="S13" t="s">
        <v>88</v>
      </c>
    </row>
    <row r="14" spans="1:18" ht="12.75">
      <c r="A14" s="225" t="s">
        <v>373</v>
      </c>
      <c r="B14" s="467"/>
      <c r="C14" s="467"/>
      <c r="D14" s="467"/>
      <c r="E14" s="467"/>
      <c r="F14" s="467"/>
      <c r="G14" s="467"/>
      <c r="H14" s="467"/>
      <c r="I14" s="467"/>
      <c r="J14" s="467"/>
      <c r="K14" s="467"/>
      <c r="L14" s="467"/>
      <c r="M14" s="467"/>
      <c r="N14" s="467"/>
      <c r="O14" s="467"/>
      <c r="P14" s="241">
        <v>37964525.92</v>
      </c>
      <c r="Q14" s="241">
        <v>19451062.18</v>
      </c>
      <c r="R14" s="33"/>
    </row>
    <row r="15" spans="1:18" ht="12.75">
      <c r="A15" s="225" t="s">
        <v>84</v>
      </c>
      <c r="B15" s="240">
        <f>SUM(D15:H15)</f>
        <v>296100000</v>
      </c>
      <c r="C15" s="240">
        <f>SUM(I15:M15)</f>
        <v>991843233.5</v>
      </c>
      <c r="D15" s="240">
        <v>28750000</v>
      </c>
      <c r="E15" s="240">
        <v>31370000</v>
      </c>
      <c r="F15" s="240">
        <v>36000000</v>
      </c>
      <c r="G15" s="240">
        <v>80050000</v>
      </c>
      <c r="H15" s="240">
        <v>119930000</v>
      </c>
      <c r="I15" s="240">
        <v>170562000</v>
      </c>
      <c r="J15" s="240">
        <v>175495000</v>
      </c>
      <c r="K15" s="240">
        <v>217763000</v>
      </c>
      <c r="L15" s="240">
        <v>250677103.54</v>
      </c>
      <c r="M15" s="240">
        <v>177346129.96</v>
      </c>
      <c r="N15" s="240">
        <v>90312891.01</v>
      </c>
      <c r="O15" s="241">
        <v>31031421.2</v>
      </c>
      <c r="P15" s="241">
        <v>20311137.42</v>
      </c>
      <c r="Q15" s="241">
        <v>18236146.52</v>
      </c>
      <c r="R15" s="33"/>
    </row>
    <row r="16" spans="1:18" ht="12.75">
      <c r="A16" s="225" t="s">
        <v>270</v>
      </c>
      <c r="B16" s="240">
        <f>SUM(D16:H16)</f>
        <v>0</v>
      </c>
      <c r="C16" s="240">
        <f>SUM(I16:M16)</f>
        <v>0</v>
      </c>
      <c r="D16" s="240"/>
      <c r="E16" s="240"/>
      <c r="F16" s="240"/>
      <c r="G16" s="240"/>
      <c r="H16" s="240"/>
      <c r="I16" s="467"/>
      <c r="J16" s="467"/>
      <c r="K16" s="467"/>
      <c r="L16" s="467"/>
      <c r="M16" s="467"/>
      <c r="N16" s="240">
        <v>57634153.38</v>
      </c>
      <c r="O16" s="241">
        <v>49045280.92</v>
      </c>
      <c r="P16" s="241">
        <v>31367385.35</v>
      </c>
      <c r="Q16" s="241">
        <v>24695310.11</v>
      </c>
      <c r="R16" s="33"/>
    </row>
    <row r="17" spans="1:18" ht="12.75">
      <c r="A17" s="225" t="s">
        <v>102</v>
      </c>
      <c r="B17" s="240">
        <f>SUM(D17:H17)</f>
        <v>10175000</v>
      </c>
      <c r="C17" s="240">
        <f>SUM(I17:M17)</f>
        <v>53266631.57</v>
      </c>
      <c r="D17" s="240"/>
      <c r="E17" s="240"/>
      <c r="F17" s="240"/>
      <c r="G17" s="240"/>
      <c r="H17" s="240">
        <v>10175000</v>
      </c>
      <c r="I17" s="240">
        <v>9907000</v>
      </c>
      <c r="J17" s="240">
        <v>14355000</v>
      </c>
      <c r="K17" s="240">
        <v>11800000</v>
      </c>
      <c r="L17" s="240">
        <v>9390781.82</v>
      </c>
      <c r="M17" s="240">
        <v>7813849.75</v>
      </c>
      <c r="N17" s="240">
        <v>7501050.81</v>
      </c>
      <c r="O17" s="241">
        <v>14186401.28</v>
      </c>
      <c r="P17" s="241">
        <v>11385232.61</v>
      </c>
      <c r="Q17" s="241">
        <v>11055293.11</v>
      </c>
      <c r="R17" s="33"/>
    </row>
    <row r="18" spans="1:18" ht="12.75">
      <c r="A18" s="225" t="s">
        <v>271</v>
      </c>
      <c r="B18" s="240">
        <f>SUM(D18:H18)</f>
        <v>0</v>
      </c>
      <c r="C18" s="240">
        <f>SUM(I18:M18)</f>
        <v>0</v>
      </c>
      <c r="D18" s="240"/>
      <c r="E18" s="240"/>
      <c r="F18" s="240"/>
      <c r="G18" s="240"/>
      <c r="H18" s="240"/>
      <c r="I18" s="467"/>
      <c r="J18" s="467"/>
      <c r="K18" s="467"/>
      <c r="L18" s="467"/>
      <c r="M18" s="467"/>
      <c r="N18" s="240">
        <v>25000000</v>
      </c>
      <c r="O18" s="241">
        <v>21789874.29</v>
      </c>
      <c r="P18" s="241">
        <v>12793600.21</v>
      </c>
      <c r="Q18" s="241">
        <v>1874500</v>
      </c>
      <c r="R18" s="33"/>
    </row>
    <row r="19" spans="1:18" ht="12.75">
      <c r="A19" s="14" t="s">
        <v>1</v>
      </c>
      <c r="B19" s="242">
        <f>SUM(D19:H19)</f>
        <v>825901000</v>
      </c>
      <c r="C19" s="242">
        <f>SUM(I19:M19)</f>
        <v>2064269163.56</v>
      </c>
      <c r="D19" s="242">
        <f>SUM(D13:D18)</f>
        <v>114882000</v>
      </c>
      <c r="E19" s="242">
        <f aca="true" t="shared" si="5" ref="E19:N19">SUM(E13:E18)</f>
        <v>132686000</v>
      </c>
      <c r="F19" s="242">
        <f t="shared" si="5"/>
        <v>137138000</v>
      </c>
      <c r="G19" s="242">
        <f t="shared" si="5"/>
        <v>197340000</v>
      </c>
      <c r="H19" s="242">
        <f t="shared" si="5"/>
        <v>243855000</v>
      </c>
      <c r="I19" s="242">
        <f t="shared" si="5"/>
        <v>309114000</v>
      </c>
      <c r="J19" s="242">
        <f t="shared" si="5"/>
        <v>349555000</v>
      </c>
      <c r="K19" s="242">
        <f t="shared" si="5"/>
        <v>419491000</v>
      </c>
      <c r="L19" s="242">
        <f t="shared" si="5"/>
        <v>525380811.39</v>
      </c>
      <c r="M19" s="242">
        <f t="shared" si="5"/>
        <v>460728352.16999996</v>
      </c>
      <c r="N19" s="242">
        <f t="shared" si="5"/>
        <v>506323547.37</v>
      </c>
      <c r="O19" s="242">
        <f>SUM(O13:O18)</f>
        <v>511366306.14</v>
      </c>
      <c r="P19" s="242">
        <f>SUM(P13:P18)</f>
        <v>418086273.54</v>
      </c>
      <c r="Q19" s="242">
        <f>SUM(Q13:Q18)</f>
        <v>379630247.11</v>
      </c>
      <c r="R19" s="33"/>
    </row>
    <row r="20" spans="1:18" ht="12.75">
      <c r="A20" s="24"/>
      <c r="B20" s="24"/>
      <c r="C20" s="24"/>
      <c r="D20" s="24"/>
      <c r="E20" s="24"/>
      <c r="F20" s="24"/>
      <c r="G20" s="24"/>
      <c r="H20" s="24"/>
      <c r="I20" s="24"/>
      <c r="J20" s="24"/>
      <c r="K20" s="24"/>
      <c r="L20" s="24"/>
      <c r="M20" s="24"/>
      <c r="N20" s="24"/>
      <c r="O20" s="24"/>
      <c r="P20" s="24"/>
      <c r="Q20" s="24"/>
      <c r="R20" s="24"/>
    </row>
    <row r="21" spans="1:18" ht="26.25">
      <c r="A21" s="411" t="s">
        <v>253</v>
      </c>
      <c r="B21" s="196" t="str">
        <f>B4</f>
        <v>Summary 
2001 to 2005*</v>
      </c>
      <c r="C21" s="196" t="str">
        <f>C4</f>
        <v>Summary 
2006 to 2010*</v>
      </c>
      <c r="D21" s="28">
        <v>2001</v>
      </c>
      <c r="E21" s="28">
        <v>2002</v>
      </c>
      <c r="F21" s="28">
        <v>2003</v>
      </c>
      <c r="G21" s="28">
        <v>2004</v>
      </c>
      <c r="H21" s="28">
        <v>2005</v>
      </c>
      <c r="I21" s="28">
        <v>2006</v>
      </c>
      <c r="J21" s="28">
        <v>2007</v>
      </c>
      <c r="K21" s="28">
        <v>2008</v>
      </c>
      <c r="L21" s="28">
        <v>2009</v>
      </c>
      <c r="M21" s="28">
        <v>2010</v>
      </c>
      <c r="N21" s="28">
        <v>2011</v>
      </c>
      <c r="O21" s="196" t="str">
        <f>O4</f>
        <v>(18 month)1
2012-2013</v>
      </c>
      <c r="P21" s="196" t="str">
        <f>P4</f>
        <v>FY2014</v>
      </c>
      <c r="Q21" s="196" t="str">
        <f>Q4</f>
        <v>FY2015</v>
      </c>
      <c r="R21" s="24"/>
    </row>
    <row r="22" spans="1:18" ht="12.75">
      <c r="A22" s="233" t="s">
        <v>83</v>
      </c>
      <c r="B22" s="237">
        <f>SUM(D22:H22)</f>
        <v>416309160</v>
      </c>
      <c r="C22" s="237">
        <f>SUM(I22:M22)</f>
        <v>526843578.18999994</v>
      </c>
      <c r="D22" s="237">
        <f>'Summary Breakdown'!D7</f>
        <v>56570000</v>
      </c>
      <c r="E22" s="237">
        <f>'Summary Breakdown'!E7</f>
        <v>93258000</v>
      </c>
      <c r="F22" s="237">
        <f>'Summary Breakdown'!F7</f>
        <v>88314000</v>
      </c>
      <c r="G22" s="237">
        <f>'Summary Breakdown'!G7</f>
        <v>92753000</v>
      </c>
      <c r="H22" s="237">
        <f>'Summary Breakdown'!H7</f>
        <v>85414160</v>
      </c>
      <c r="I22" s="237">
        <f>'Summary Breakdown'!I7</f>
        <v>79642000</v>
      </c>
      <c r="J22" s="237">
        <f>'Summary Breakdown'!J7</f>
        <v>90078000</v>
      </c>
      <c r="K22" s="237">
        <f>'Summary Breakdown'!K7</f>
        <v>82452000</v>
      </c>
      <c r="L22" s="237">
        <f>'Summary Breakdown'!L7</f>
        <v>120958657.9</v>
      </c>
      <c r="M22" s="237">
        <f>'Summary Breakdown'!M7</f>
        <v>153712920.29</v>
      </c>
      <c r="N22" s="237">
        <f>'Summary Breakdown'!N7</f>
        <v>139035801.19</v>
      </c>
      <c r="O22" s="239">
        <f>'Summary Breakdown'!O7</f>
        <v>236467134.94</v>
      </c>
      <c r="P22" s="239">
        <f>'Summary Breakdown'!P7</f>
        <v>178097681.61</v>
      </c>
      <c r="Q22" s="239">
        <f>'Summary Breakdown'!Q7</f>
        <v>187876975.01</v>
      </c>
      <c r="R22" s="23"/>
    </row>
    <row r="23" spans="1:18" ht="12.75">
      <c r="A23" s="225" t="s">
        <v>373</v>
      </c>
      <c r="B23" s="465"/>
      <c r="C23" s="465"/>
      <c r="D23" s="465"/>
      <c r="E23" s="465"/>
      <c r="F23" s="465"/>
      <c r="G23" s="465"/>
      <c r="H23" s="465"/>
      <c r="I23" s="465"/>
      <c r="J23" s="465"/>
      <c r="K23" s="465"/>
      <c r="L23" s="465"/>
      <c r="M23" s="465"/>
      <c r="N23" s="465"/>
      <c r="O23" s="465"/>
      <c r="P23" s="239">
        <f>'Summary Breakdown'!P8</f>
        <v>1474906.46</v>
      </c>
      <c r="Q23" s="239">
        <f>'Summary Breakdown'!Q8</f>
        <v>2448357.76</v>
      </c>
      <c r="R23" s="23"/>
    </row>
    <row r="24" spans="1:17" ht="12.75">
      <c r="A24" s="233" t="s">
        <v>84</v>
      </c>
      <c r="B24" s="237">
        <f>SUM(D24:H24)</f>
        <v>67376382</v>
      </c>
      <c r="C24" s="237">
        <f>SUM(I24:M24)</f>
        <v>334430989.67</v>
      </c>
      <c r="D24" s="237">
        <f>'Summary Breakdown'!D9</f>
        <v>985000</v>
      </c>
      <c r="E24" s="237">
        <f>'Summary Breakdown'!E9</f>
        <v>6646000</v>
      </c>
      <c r="F24" s="237">
        <f>'Summary Breakdown'!F9</f>
        <v>9472000</v>
      </c>
      <c r="G24" s="237">
        <f>'Summary Breakdown'!G9</f>
        <v>14749000</v>
      </c>
      <c r="H24" s="237">
        <f>'Summary Breakdown'!H9</f>
        <v>35524382</v>
      </c>
      <c r="I24" s="237">
        <f>'Summary Breakdown'!I9</f>
        <v>84279000</v>
      </c>
      <c r="J24" s="237">
        <f>'Summary Breakdown'!J9</f>
        <v>78210000</v>
      </c>
      <c r="K24" s="237">
        <f>'Summary Breakdown'!K9</f>
        <v>56930000</v>
      </c>
      <c r="L24" s="237">
        <f>'Summary Breakdown'!L9</f>
        <v>52677504.54</v>
      </c>
      <c r="M24" s="237">
        <f>'Summary Breakdown'!M9</f>
        <v>62334485.13</v>
      </c>
      <c r="N24" s="237">
        <f>'Summary Breakdown'!N9</f>
        <v>38963321.6</v>
      </c>
      <c r="O24" s="239">
        <f>'Summary Breakdown'!O9</f>
        <v>18003594.66</v>
      </c>
      <c r="P24" s="239">
        <f>'Summary Breakdown'!P9</f>
        <v>4193889.84</v>
      </c>
      <c r="Q24" s="239">
        <f>'Summary Breakdown'!Q9</f>
        <v>4699543.02</v>
      </c>
    </row>
    <row r="25" spans="1:17" ht="12.75">
      <c r="A25" s="233" t="s">
        <v>270</v>
      </c>
      <c r="B25" s="237">
        <f>SUM(D25:H25)</f>
        <v>0</v>
      </c>
      <c r="C25" s="237">
        <f>SUM(I25:M25)</f>
        <v>0</v>
      </c>
      <c r="D25" s="237">
        <f>'Summary Breakdown'!D10</f>
        <v>0</v>
      </c>
      <c r="E25" s="237">
        <f>'Summary Breakdown'!E10</f>
        <v>0</v>
      </c>
      <c r="F25" s="237">
        <f>'Summary Breakdown'!F10</f>
        <v>0</v>
      </c>
      <c r="G25" s="237">
        <f>'Summary Breakdown'!G10</f>
        <v>0</v>
      </c>
      <c r="H25" s="237">
        <f>'Summary Breakdown'!H10</f>
        <v>0</v>
      </c>
      <c r="I25" s="237">
        <f>'Summary Breakdown'!I10</f>
        <v>0</v>
      </c>
      <c r="J25" s="237">
        <f>'Summary Breakdown'!J10</f>
        <v>0</v>
      </c>
      <c r="K25" s="237">
        <f>'Summary Breakdown'!K10</f>
        <v>0</v>
      </c>
      <c r="L25" s="237">
        <f>'Summary Breakdown'!L10</f>
        <v>0</v>
      </c>
      <c r="M25" s="237">
        <f>'Summary Breakdown'!M10</f>
        <v>0</v>
      </c>
      <c r="N25" s="237">
        <f>'Summary Breakdown'!N10</f>
        <v>6335017</v>
      </c>
      <c r="O25" s="239">
        <f>'Summary Breakdown'!O10</f>
        <v>5268131.56</v>
      </c>
      <c r="P25" s="239">
        <f>'Summary Breakdown'!P10</f>
        <v>5524016.06</v>
      </c>
      <c r="Q25" s="239">
        <f>'Summary Breakdown'!Q10</f>
        <v>2877473.61</v>
      </c>
    </row>
    <row r="26" spans="1:17" ht="12.75">
      <c r="A26" s="225" t="s">
        <v>102</v>
      </c>
      <c r="B26" s="237">
        <f>SUM(D26:H26)</f>
        <v>3654000</v>
      </c>
      <c r="C26" s="237">
        <f>SUM(I26:M26)</f>
        <v>32032836.23</v>
      </c>
      <c r="D26" s="237">
        <f>'Summary Breakdown'!D11</f>
        <v>0</v>
      </c>
      <c r="E26" s="237">
        <f>'Summary Breakdown'!E11</f>
        <v>0</v>
      </c>
      <c r="F26" s="237">
        <f>'Summary Breakdown'!F11</f>
        <v>0</v>
      </c>
      <c r="G26" s="237">
        <f>'Summary Breakdown'!G11</f>
        <v>0</v>
      </c>
      <c r="H26" s="237">
        <f>'Summary Breakdown'!H11</f>
        <v>3654000</v>
      </c>
      <c r="I26" s="237">
        <f>'Summary Breakdown'!I11</f>
        <v>7276000</v>
      </c>
      <c r="J26" s="237">
        <f>'Summary Breakdown'!J11</f>
        <v>8523000</v>
      </c>
      <c r="K26" s="237">
        <f>'Summary Breakdown'!K11</f>
        <v>8168000</v>
      </c>
      <c r="L26" s="237">
        <f>'Summary Breakdown'!L11</f>
        <v>4528037.29</v>
      </c>
      <c r="M26" s="237">
        <f>'Summary Breakdown'!M11</f>
        <v>3537798.94</v>
      </c>
      <c r="N26" s="237">
        <f>'Summary Breakdown'!N11</f>
        <v>4331674.86</v>
      </c>
      <c r="O26" s="239">
        <f>'Summary Breakdown'!O11</f>
        <v>9108808.9</v>
      </c>
      <c r="P26" s="239">
        <f>'Summary Breakdown'!P11</f>
        <v>5511570.11</v>
      </c>
      <c r="Q26" s="239">
        <f>'Summary Breakdown'!Q11</f>
        <v>5435668.92</v>
      </c>
    </row>
    <row r="27" spans="1:17" ht="12.75">
      <c r="A27" s="225" t="s">
        <v>271</v>
      </c>
      <c r="B27" s="237">
        <f>SUM(D27:H27)</f>
        <v>0</v>
      </c>
      <c r="C27" s="237">
        <f>SUM(I27:M27)</f>
        <v>0</v>
      </c>
      <c r="D27" s="237">
        <f>'Summary Breakdown'!D12</f>
        <v>0</v>
      </c>
      <c r="E27" s="237">
        <f>'Summary Breakdown'!E12</f>
        <v>0</v>
      </c>
      <c r="F27" s="237">
        <f>'Summary Breakdown'!F12</f>
        <v>0</v>
      </c>
      <c r="G27" s="237">
        <f>'Summary Breakdown'!G12</f>
        <v>0</v>
      </c>
      <c r="H27" s="237">
        <f>'Summary Breakdown'!H12</f>
        <v>0</v>
      </c>
      <c r="I27" s="237">
        <f>'Summary Breakdown'!I12</f>
        <v>0</v>
      </c>
      <c r="J27" s="237">
        <f>'Summary Breakdown'!J12</f>
        <v>0</v>
      </c>
      <c r="K27" s="237">
        <f>'Summary Breakdown'!K12</f>
        <v>0</v>
      </c>
      <c r="L27" s="237">
        <f>'Summary Breakdown'!L12</f>
        <v>0</v>
      </c>
      <c r="M27" s="237">
        <f>'Summary Breakdown'!M12</f>
        <v>0</v>
      </c>
      <c r="N27" s="237">
        <f>'Summary Breakdown'!N12</f>
        <v>3210125.71</v>
      </c>
      <c r="O27" s="239">
        <f>'Summary Breakdown'!O12</f>
        <v>8996274.08</v>
      </c>
      <c r="P27" s="239">
        <f>'Summary Breakdown'!P12</f>
        <v>7419100.21</v>
      </c>
      <c r="Q27" s="239">
        <f>'Summary Breakdown'!Q12</f>
        <v>0</v>
      </c>
    </row>
    <row r="28" spans="1:17" ht="12.75">
      <c r="A28" s="14" t="s">
        <v>1</v>
      </c>
      <c r="B28" s="243">
        <f>SUM(D28:H28)</f>
        <v>487339542</v>
      </c>
      <c r="C28" s="243">
        <f>SUM(I28:M28)</f>
        <v>893307404.09</v>
      </c>
      <c r="D28" s="243">
        <f aca="true" t="shared" si="6" ref="D28:M28">SUM(D22:D27)</f>
        <v>57555000</v>
      </c>
      <c r="E28" s="243">
        <f t="shared" si="6"/>
        <v>99904000</v>
      </c>
      <c r="F28" s="243">
        <f t="shared" si="6"/>
        <v>97786000</v>
      </c>
      <c r="G28" s="243">
        <f t="shared" si="6"/>
        <v>107502000</v>
      </c>
      <c r="H28" s="243">
        <f t="shared" si="6"/>
        <v>124592542</v>
      </c>
      <c r="I28" s="243">
        <f t="shared" si="6"/>
        <v>171197000</v>
      </c>
      <c r="J28" s="243">
        <f t="shared" si="6"/>
        <v>176811000</v>
      </c>
      <c r="K28" s="243">
        <f t="shared" si="6"/>
        <v>147550000</v>
      </c>
      <c r="L28" s="243">
        <f t="shared" si="6"/>
        <v>178164199.73</v>
      </c>
      <c r="M28" s="243">
        <f t="shared" si="6"/>
        <v>219585204.35999998</v>
      </c>
      <c r="N28" s="243">
        <f>SUM(N22:N27)</f>
        <v>191875940.36</v>
      </c>
      <c r="O28" s="243">
        <f>SUM(O22:O27)</f>
        <v>277843944.14</v>
      </c>
      <c r="P28" s="243">
        <f>SUM(P22:P27)</f>
        <v>202221164.29000005</v>
      </c>
      <c r="Q28" s="243">
        <f>SUM(Q22:Q27)</f>
        <v>203338018.32</v>
      </c>
    </row>
    <row r="29" spans="1:17" ht="12.75">
      <c r="A29" s="24"/>
      <c r="B29" s="33"/>
      <c r="C29" s="33"/>
      <c r="D29" s="33"/>
      <c r="E29" s="33"/>
      <c r="F29" s="33"/>
      <c r="G29" s="33"/>
      <c r="H29" s="33"/>
      <c r="I29" s="33"/>
      <c r="J29" s="33"/>
      <c r="K29" s="33"/>
      <c r="L29" s="33"/>
      <c r="M29" s="33"/>
      <c r="N29" s="33"/>
      <c r="O29" s="33"/>
      <c r="P29" s="33"/>
      <c r="Q29" s="33"/>
    </row>
    <row r="30" spans="1:18" ht="26.25">
      <c r="A30" s="412" t="s">
        <v>281</v>
      </c>
      <c r="B30" s="196" t="str">
        <f>B4</f>
        <v>Summary 
2001 to 2005*</v>
      </c>
      <c r="C30" s="196" t="str">
        <f>C4</f>
        <v>Summary 
2006 to 2010*</v>
      </c>
      <c r="D30" s="28">
        <v>2001</v>
      </c>
      <c r="E30" s="28">
        <v>2002</v>
      </c>
      <c r="F30" s="28">
        <v>2003</v>
      </c>
      <c r="G30" s="28">
        <v>2004</v>
      </c>
      <c r="H30" s="28">
        <v>2005</v>
      </c>
      <c r="I30" s="28">
        <v>2006</v>
      </c>
      <c r="J30" s="28">
        <v>2007</v>
      </c>
      <c r="K30" s="28">
        <v>2008</v>
      </c>
      <c r="L30" s="28">
        <v>2009</v>
      </c>
      <c r="M30" s="28">
        <v>2010</v>
      </c>
      <c r="N30" s="28">
        <v>2011</v>
      </c>
      <c r="O30" s="196" t="str">
        <f>O4</f>
        <v>(18 month)1
2012-2013</v>
      </c>
      <c r="P30" s="196" t="str">
        <f>P4</f>
        <v>FY2014</v>
      </c>
      <c r="Q30" s="196" t="str">
        <f>Q4</f>
        <v>FY2015</v>
      </c>
      <c r="R30" s="28"/>
    </row>
    <row r="31" spans="1:18" ht="12.75">
      <c r="A31" s="233" t="s">
        <v>83</v>
      </c>
      <c r="B31" s="237">
        <f>SUM(D31:H31)</f>
        <v>217108000</v>
      </c>
      <c r="C31" s="237">
        <f>SUM(I31:M31)</f>
        <v>257317180.98000002</v>
      </c>
      <c r="D31" s="237">
        <v>13991000</v>
      </c>
      <c r="E31" s="237">
        <v>36767000</v>
      </c>
      <c r="F31" s="237">
        <v>44644000</v>
      </c>
      <c r="G31" s="237">
        <v>50727000</v>
      </c>
      <c r="H31" s="237">
        <v>70979000</v>
      </c>
      <c r="I31" s="237">
        <v>60233000</v>
      </c>
      <c r="J31" s="237">
        <v>35894000</v>
      </c>
      <c r="K31" s="237">
        <v>47204000</v>
      </c>
      <c r="L31" s="237">
        <v>51113035.8</v>
      </c>
      <c r="M31" s="237">
        <v>62873145.18</v>
      </c>
      <c r="N31" s="237">
        <v>71002166</v>
      </c>
      <c r="O31" s="239">
        <v>106178396.85</v>
      </c>
      <c r="P31" s="239">
        <v>95187313.75</v>
      </c>
      <c r="Q31" s="239">
        <v>102018033.4</v>
      </c>
      <c r="R31" s="24"/>
    </row>
    <row r="32" spans="1:18" ht="12.75">
      <c r="A32" s="225" t="s">
        <v>373</v>
      </c>
      <c r="B32" s="465"/>
      <c r="C32" s="465"/>
      <c r="D32" s="465"/>
      <c r="E32" s="465"/>
      <c r="F32" s="465"/>
      <c r="G32" s="465"/>
      <c r="H32" s="465"/>
      <c r="I32" s="465"/>
      <c r="J32" s="465"/>
      <c r="K32" s="465"/>
      <c r="L32" s="465"/>
      <c r="M32" s="465"/>
      <c r="N32" s="465"/>
      <c r="O32" s="465"/>
      <c r="P32" s="239">
        <v>6050795.1</v>
      </c>
      <c r="Q32" s="239">
        <v>9361806.8</v>
      </c>
      <c r="R32" s="24"/>
    </row>
    <row r="33" spans="1:18" ht="12.75">
      <c r="A33" s="233" t="s">
        <v>84</v>
      </c>
      <c r="B33" s="237">
        <f>SUM(D33:H33)</f>
        <v>311256000</v>
      </c>
      <c r="C33" s="237">
        <f>SUM(I33:M33)</f>
        <v>487046111.29</v>
      </c>
      <c r="D33" s="237">
        <v>8216000</v>
      </c>
      <c r="E33" s="237">
        <v>14687000</v>
      </c>
      <c r="F33" s="237">
        <v>34809000</v>
      </c>
      <c r="G33" s="237">
        <v>114503000</v>
      </c>
      <c r="H33" s="237">
        <v>139041000</v>
      </c>
      <c r="I33" s="237">
        <v>103901000</v>
      </c>
      <c r="J33" s="244">
        <v>79454000</v>
      </c>
      <c r="K33" s="237">
        <v>108221000</v>
      </c>
      <c r="L33" s="237">
        <v>116574902</v>
      </c>
      <c r="M33" s="237">
        <v>78895209.29</v>
      </c>
      <c r="N33" s="237">
        <v>25322065.3</v>
      </c>
      <c r="O33" s="239">
        <v>8373817.07</v>
      </c>
      <c r="P33" s="239">
        <v>7755043.27</v>
      </c>
      <c r="Q33" s="239">
        <v>7233804</v>
      </c>
      <c r="R33" s="33"/>
    </row>
    <row r="34" spans="1:19" ht="12.75">
      <c r="A34" s="225" t="s">
        <v>270</v>
      </c>
      <c r="B34" s="237">
        <f>SUM(D34:H34)</f>
        <v>0</v>
      </c>
      <c r="C34" s="237">
        <f>SUM(I34:M34)</f>
        <v>0</v>
      </c>
      <c r="D34" s="237"/>
      <c r="E34" s="237"/>
      <c r="F34" s="237"/>
      <c r="G34" s="237"/>
      <c r="H34" s="237"/>
      <c r="I34" s="465"/>
      <c r="J34" s="465"/>
      <c r="K34" s="465"/>
      <c r="L34" s="465"/>
      <c r="M34" s="465"/>
      <c r="N34" s="237">
        <v>6475983</v>
      </c>
      <c r="O34" s="239">
        <v>8103589.32</v>
      </c>
      <c r="P34" s="239">
        <v>8106179.38</v>
      </c>
      <c r="Q34" s="239">
        <v>13438006.77</v>
      </c>
      <c r="R34" s="33"/>
      <c r="S34" s="23"/>
    </row>
    <row r="35" spans="1:18" ht="12.75">
      <c r="A35" s="225" t="s">
        <v>102</v>
      </c>
      <c r="B35" s="237">
        <f>SUM(D35:H35)</f>
        <v>0</v>
      </c>
      <c r="C35" s="237">
        <f>SUM(I35:M35)</f>
        <v>0</v>
      </c>
      <c r="D35" s="237"/>
      <c r="E35" s="237"/>
      <c r="F35" s="237"/>
      <c r="G35" s="237"/>
      <c r="H35" s="237"/>
      <c r="I35" s="465"/>
      <c r="J35" s="465"/>
      <c r="K35" s="465"/>
      <c r="L35" s="465"/>
      <c r="M35" s="465"/>
      <c r="N35" s="465"/>
      <c r="O35" s="465"/>
      <c r="P35" s="465"/>
      <c r="Q35" s="465"/>
      <c r="R35" s="33"/>
    </row>
    <row r="36" spans="1:18" ht="12.75">
      <c r="A36" s="225" t="s">
        <v>271</v>
      </c>
      <c r="B36" s="237">
        <f>SUM(D36:H36)</f>
        <v>0</v>
      </c>
      <c r="C36" s="237">
        <f>SUM(I36:M36)</f>
        <v>0</v>
      </c>
      <c r="D36" s="237"/>
      <c r="E36" s="237"/>
      <c r="F36" s="237"/>
      <c r="G36" s="237"/>
      <c r="H36" s="237"/>
      <c r="I36" s="465"/>
      <c r="J36" s="465"/>
      <c r="K36" s="465"/>
      <c r="L36" s="465"/>
      <c r="M36" s="465"/>
      <c r="N36" s="237">
        <v>21789874.29</v>
      </c>
      <c r="O36" s="239">
        <v>12793600.21</v>
      </c>
      <c r="P36" s="239">
        <v>1874500</v>
      </c>
      <c r="Q36" s="239">
        <v>0</v>
      </c>
      <c r="R36" s="33"/>
    </row>
    <row r="37" spans="1:18" ht="12.75">
      <c r="A37" s="14" t="s">
        <v>1</v>
      </c>
      <c r="B37" s="243">
        <f>SUM(D37:H37)</f>
        <v>528364000</v>
      </c>
      <c r="C37" s="243">
        <f>SUM(I37:M37)</f>
        <v>744363292.27</v>
      </c>
      <c r="D37" s="243">
        <f>SUM(D31:D36)</f>
        <v>22207000</v>
      </c>
      <c r="E37" s="243">
        <f aca="true" t="shared" si="7" ref="E37:N37">SUM(E31:E36)</f>
        <v>51454000</v>
      </c>
      <c r="F37" s="243">
        <f t="shared" si="7"/>
        <v>79453000</v>
      </c>
      <c r="G37" s="243">
        <f t="shared" si="7"/>
        <v>165230000</v>
      </c>
      <c r="H37" s="243">
        <f t="shared" si="7"/>
        <v>210020000</v>
      </c>
      <c r="I37" s="243">
        <f t="shared" si="7"/>
        <v>164134000</v>
      </c>
      <c r="J37" s="243">
        <f t="shared" si="7"/>
        <v>115348000</v>
      </c>
      <c r="K37" s="243">
        <f t="shared" si="7"/>
        <v>155425000</v>
      </c>
      <c r="L37" s="243">
        <f t="shared" si="7"/>
        <v>167687937.8</v>
      </c>
      <c r="M37" s="243">
        <f t="shared" si="7"/>
        <v>141768354.47</v>
      </c>
      <c r="N37" s="243">
        <f t="shared" si="7"/>
        <v>124590088.59</v>
      </c>
      <c r="O37" s="243">
        <f>SUM(O31:O36)</f>
        <v>135449403.45</v>
      </c>
      <c r="P37" s="243">
        <f>SUM(P31:P36)</f>
        <v>118973831.49999999</v>
      </c>
      <c r="Q37" s="243">
        <f>SUM(Q31:Q36)</f>
        <v>132051650.97</v>
      </c>
      <c r="R37" s="33"/>
    </row>
    <row r="38" spans="1:18" ht="12.75">
      <c r="A38" s="2" t="s">
        <v>291</v>
      </c>
      <c r="R38" s="33"/>
    </row>
    <row r="39" spans="1:18" ht="12.75">
      <c r="A39" s="24"/>
      <c r="B39" s="24"/>
      <c r="C39" s="24"/>
      <c r="D39" s="33"/>
      <c r="E39" s="33"/>
      <c r="F39" s="33"/>
      <c r="G39" s="33"/>
      <c r="H39" s="33"/>
      <c r="I39" s="33"/>
      <c r="J39" s="33"/>
      <c r="K39" s="33"/>
      <c r="L39" s="33"/>
      <c r="M39" s="33"/>
      <c r="N39" s="33"/>
      <c r="O39" s="33"/>
      <c r="P39" s="33"/>
      <c r="Q39" s="33"/>
      <c r="R39" s="33"/>
    </row>
    <row r="40" spans="1:18" ht="12.75">
      <c r="A40" s="482" t="str">
        <f>A1</f>
        <v>New Jersey's Clean Energy Program</v>
      </c>
      <c r="B40" s="482"/>
      <c r="C40" s="482"/>
      <c r="D40" s="482"/>
      <c r="E40" s="482"/>
      <c r="F40" s="482"/>
      <c r="G40" s="482"/>
      <c r="H40" s="482"/>
      <c r="I40" s="482"/>
      <c r="J40" s="482"/>
      <c r="K40" s="482"/>
      <c r="L40" s="482"/>
      <c r="M40" s="482"/>
      <c r="N40" s="482"/>
      <c r="O40" s="482"/>
      <c r="P40" s="482"/>
      <c r="Q40" s="482"/>
      <c r="R40" s="482"/>
    </row>
    <row r="41" spans="1:18" ht="12.75">
      <c r="A41" s="482" t="str">
        <f>A2</f>
        <v>Program Summary</v>
      </c>
      <c r="B41" s="482"/>
      <c r="C41" s="482"/>
      <c r="D41" s="482"/>
      <c r="E41" s="482"/>
      <c r="F41" s="482"/>
      <c r="G41" s="482"/>
      <c r="H41" s="482"/>
      <c r="I41" s="482"/>
      <c r="J41" s="482"/>
      <c r="K41" s="482"/>
      <c r="L41" s="482"/>
      <c r="M41" s="482"/>
      <c r="N41" s="482"/>
      <c r="O41" s="482"/>
      <c r="P41" s="482"/>
      <c r="Q41" s="482"/>
      <c r="R41" s="482"/>
    </row>
    <row r="42" spans="1:17" ht="26.25">
      <c r="A42" s="410" t="s">
        <v>343</v>
      </c>
      <c r="B42" s="196" t="str">
        <f>B4</f>
        <v>Summary 
2001 to 2005*</v>
      </c>
      <c r="C42" s="196" t="str">
        <f>C4</f>
        <v>Summary 
2006 to 2010*</v>
      </c>
      <c r="D42" s="28">
        <v>2001</v>
      </c>
      <c r="E42" s="28">
        <v>2002</v>
      </c>
      <c r="F42" s="28">
        <v>2003</v>
      </c>
      <c r="G42" s="28">
        <v>2004</v>
      </c>
      <c r="H42" s="28">
        <v>2005</v>
      </c>
      <c r="I42" s="28">
        <v>2006</v>
      </c>
      <c r="J42" s="28">
        <v>2007</v>
      </c>
      <c r="K42" s="28">
        <v>2008</v>
      </c>
      <c r="L42" s="28">
        <v>2009</v>
      </c>
      <c r="M42" s="28">
        <v>2010</v>
      </c>
      <c r="N42" s="28">
        <v>2011</v>
      </c>
      <c r="O42" s="196" t="str">
        <f>O4</f>
        <v>(18 month)1
2012-2013</v>
      </c>
      <c r="P42" s="196" t="str">
        <f>P4</f>
        <v>FY2014</v>
      </c>
      <c r="Q42" s="196" t="str">
        <f>Q4</f>
        <v>FY2015</v>
      </c>
    </row>
    <row r="43" spans="1:17" ht="12.75">
      <c r="A43" s="43" t="s">
        <v>6</v>
      </c>
      <c r="B43" s="40" t="s">
        <v>8</v>
      </c>
      <c r="C43" s="40" t="s">
        <v>8</v>
      </c>
      <c r="D43" s="40" t="s">
        <v>8</v>
      </c>
      <c r="E43" s="40" t="s">
        <v>8</v>
      </c>
      <c r="F43" s="40" t="s">
        <v>8</v>
      </c>
      <c r="G43" s="40" t="s">
        <v>8</v>
      </c>
      <c r="H43" s="40" t="s">
        <v>8</v>
      </c>
      <c r="I43" s="40" t="s">
        <v>8</v>
      </c>
      <c r="J43" s="40" t="s">
        <v>8</v>
      </c>
      <c r="K43" s="40" t="s">
        <v>8</v>
      </c>
      <c r="L43" s="40" t="s">
        <v>8</v>
      </c>
      <c r="M43" s="40" t="s">
        <v>8</v>
      </c>
      <c r="N43" s="40" t="s">
        <v>8</v>
      </c>
      <c r="O43" s="40" t="s">
        <v>8</v>
      </c>
      <c r="P43" s="40" t="s">
        <v>8</v>
      </c>
      <c r="Q43" s="40" t="s">
        <v>8</v>
      </c>
    </row>
    <row r="44" spans="1:17" ht="12.75">
      <c r="A44" s="19" t="s">
        <v>83</v>
      </c>
      <c r="B44" s="245">
        <f>SUM(D44:H44)</f>
        <v>1076217</v>
      </c>
      <c r="C44" s="245">
        <f>SUM(I44:M44)</f>
        <v>1502042.8</v>
      </c>
      <c r="D44" s="245">
        <f>'Annual Savings'!D35</f>
        <v>50672</v>
      </c>
      <c r="E44" s="245">
        <f>'Annual Savings'!E35</f>
        <v>168796</v>
      </c>
      <c r="F44" s="245">
        <f>'Annual Savings'!F35</f>
        <v>285577</v>
      </c>
      <c r="G44" s="245">
        <f>'Annual Savings'!G35</f>
        <v>328513</v>
      </c>
      <c r="H44" s="245">
        <f>'Annual Savings'!H35</f>
        <v>242659</v>
      </c>
      <c r="I44" s="245">
        <f>'Annual Savings'!I35</f>
        <v>128252</v>
      </c>
      <c r="J44" s="245">
        <f>'Annual Savings'!J35</f>
        <v>228721</v>
      </c>
      <c r="K44" s="245">
        <f>'Annual Savings'!K35</f>
        <v>335001</v>
      </c>
      <c r="L44" s="245">
        <f>'Annual Savings'!L35</f>
        <v>462162</v>
      </c>
      <c r="M44" s="245">
        <f>'Annual Savings'!M35</f>
        <v>347906.80000000005</v>
      </c>
      <c r="N44" s="245">
        <f>'Annual Savings'!N35</f>
        <v>453682.1</v>
      </c>
      <c r="O44" s="245">
        <f>'Annual Savings'!O35</f>
        <v>638802</v>
      </c>
      <c r="P44" s="245">
        <f>'Annual Savings'!P35</f>
        <v>518814</v>
      </c>
      <c r="Q44" s="245">
        <f>'Annual Savings'!Q35</f>
        <v>473959.4542867021</v>
      </c>
    </row>
    <row r="45" spans="1:17" ht="12.75">
      <c r="A45" s="30"/>
      <c r="B45" s="355"/>
      <c r="C45" s="355"/>
      <c r="D45" s="355"/>
      <c r="E45" s="355"/>
      <c r="F45" s="355"/>
      <c r="G45" s="355"/>
      <c r="H45" s="355"/>
      <c r="I45" s="355"/>
      <c r="J45" s="355"/>
      <c r="K45" s="355"/>
      <c r="L45" s="355"/>
      <c r="M45" s="355"/>
      <c r="N45" s="355"/>
      <c r="O45" s="355"/>
      <c r="P45" s="355"/>
      <c r="Q45" s="355"/>
    </row>
    <row r="46" spans="1:17" ht="12.75">
      <c r="A46" s="43" t="s">
        <v>194</v>
      </c>
      <c r="B46" s="355"/>
      <c r="C46" s="355"/>
      <c r="D46" s="255"/>
      <c r="E46" s="255"/>
      <c r="F46" s="255"/>
      <c r="G46" s="255"/>
      <c r="H46" s="255"/>
      <c r="I46" s="255"/>
      <c r="J46" s="255"/>
      <c r="K46" s="255"/>
      <c r="L46" s="255"/>
      <c r="M46" s="255"/>
      <c r="N46" s="255"/>
      <c r="O46" s="255"/>
      <c r="P46" s="255"/>
      <c r="Q46" s="255"/>
    </row>
    <row r="47" spans="1:17" ht="12.75">
      <c r="A47" s="181" t="s">
        <v>50</v>
      </c>
      <c r="B47" s="266">
        <f>SUM(D47:H47)</f>
        <v>767</v>
      </c>
      <c r="C47" s="266">
        <f>SUM(I47:M47)</f>
        <v>206874</v>
      </c>
      <c r="D47" s="266">
        <f>'CHP-FuelCell_Lrg-Small'!D44</f>
        <v>0</v>
      </c>
      <c r="E47" s="266">
        <f>'CHP-FuelCell_Lrg-Small'!E44</f>
        <v>0</v>
      </c>
      <c r="F47" s="266">
        <f>'CHP-FuelCell_Lrg-Small'!F44</f>
        <v>0</v>
      </c>
      <c r="G47" s="266">
        <f>'CHP-FuelCell_Lrg-Small'!G44</f>
        <v>0</v>
      </c>
      <c r="H47" s="266">
        <f>'Annual Savings'!H40</f>
        <v>767</v>
      </c>
      <c r="I47" s="266">
        <f>'Annual Savings'!I40</f>
        <v>12575</v>
      </c>
      <c r="J47" s="266">
        <f>'Annual Savings'!J40</f>
        <v>102125</v>
      </c>
      <c r="K47" s="266">
        <f>'Annual Savings'!K40</f>
        <v>9114</v>
      </c>
      <c r="L47" s="266">
        <f>'Annual Savings'!L40</f>
        <v>35317</v>
      </c>
      <c r="M47" s="266">
        <f>'Annual Savings'!M40</f>
        <v>47743</v>
      </c>
      <c r="N47" s="266">
        <f>'Annual Savings'!N40</f>
        <v>0</v>
      </c>
      <c r="O47" s="266">
        <f>'Annual Savings'!O40</f>
        <v>17520</v>
      </c>
      <c r="P47" s="266">
        <f>'Annual Savings'!P40</f>
        <v>9409</v>
      </c>
      <c r="Q47" s="266">
        <f>'Annual Savings'!Q40</f>
        <v>46135</v>
      </c>
    </row>
    <row r="48" spans="1:17" ht="12.75">
      <c r="A48" s="181" t="s">
        <v>84</v>
      </c>
      <c r="B48" s="266">
        <f>SUM(D48:H48)</f>
        <v>45797</v>
      </c>
      <c r="C48" s="266">
        <f>SUM(I48:M48)</f>
        <v>870536.72</v>
      </c>
      <c r="D48" s="266">
        <f>'Annual Savings'!D49</f>
        <v>11</v>
      </c>
      <c r="E48" s="266">
        <f>'Annual Savings'!E49</f>
        <v>2896</v>
      </c>
      <c r="F48" s="266">
        <f>'Annual Savings'!F49</f>
        <v>7239</v>
      </c>
      <c r="G48" s="266">
        <f>'Annual Savings'!G49</f>
        <v>6515</v>
      </c>
      <c r="H48" s="266">
        <f>'Annual Savings'!H49</f>
        <v>29136</v>
      </c>
      <c r="I48" s="266">
        <f>'Annual Savings'!I49</f>
        <v>44659</v>
      </c>
      <c r="J48" s="266">
        <f>'Annual Savings'!J49</f>
        <v>140229</v>
      </c>
      <c r="K48" s="266">
        <f>'Annual Savings'!K49</f>
        <v>188968.72</v>
      </c>
      <c r="L48" s="266">
        <f>'Annual Savings'!L49</f>
        <v>169101</v>
      </c>
      <c r="M48" s="266">
        <f>'Annual Savings'!M49</f>
        <v>327579</v>
      </c>
      <c r="N48" s="266">
        <f>'Annual Savings'!N49</f>
        <v>382066</v>
      </c>
      <c r="O48" s="266">
        <f>'Annual Savings'!O49</f>
        <v>640636</v>
      </c>
      <c r="P48" s="266">
        <f>'Annual Savings'!P49</f>
        <v>261660</v>
      </c>
      <c r="Q48" s="266">
        <f>'Annual Savings'!Q49</f>
        <v>217860</v>
      </c>
    </row>
    <row r="49" spans="1:17" ht="12.75">
      <c r="A49" s="14" t="s">
        <v>1</v>
      </c>
      <c r="B49" s="245">
        <f>SUM(D49:H49)</f>
        <v>46564</v>
      </c>
      <c r="C49" s="245">
        <f>SUM(I49:M49)</f>
        <v>1077410.72</v>
      </c>
      <c r="D49" s="245">
        <f aca="true" t="shared" si="8" ref="D49:O49">SUM(D47:D48)</f>
        <v>11</v>
      </c>
      <c r="E49" s="245">
        <f t="shared" si="8"/>
        <v>2896</v>
      </c>
      <c r="F49" s="245">
        <f t="shared" si="8"/>
        <v>7239</v>
      </c>
      <c r="G49" s="245">
        <f t="shared" si="8"/>
        <v>6515</v>
      </c>
      <c r="H49" s="245">
        <f t="shared" si="8"/>
        <v>29903</v>
      </c>
      <c r="I49" s="245">
        <f t="shared" si="8"/>
        <v>57234</v>
      </c>
      <c r="J49" s="245">
        <f t="shared" si="8"/>
        <v>242354</v>
      </c>
      <c r="K49" s="245">
        <f t="shared" si="8"/>
        <v>198082.72</v>
      </c>
      <c r="L49" s="245">
        <f t="shared" si="8"/>
        <v>204418</v>
      </c>
      <c r="M49" s="245">
        <f t="shared" si="8"/>
        <v>375322</v>
      </c>
      <c r="N49" s="245">
        <f t="shared" si="8"/>
        <v>382066</v>
      </c>
      <c r="O49" s="245">
        <f t="shared" si="8"/>
        <v>658156</v>
      </c>
      <c r="P49" s="245">
        <f>SUM(P47:P48)</f>
        <v>271069</v>
      </c>
      <c r="Q49" s="245">
        <f>SUM(Q47:Q48)</f>
        <v>263995</v>
      </c>
    </row>
    <row r="50" spans="1:17" ht="12.75">
      <c r="A50" s="24"/>
      <c r="B50" s="24"/>
      <c r="C50" s="24"/>
      <c r="D50" s="62"/>
      <c r="E50" s="62"/>
      <c r="F50" s="62"/>
      <c r="G50" s="62"/>
      <c r="H50" s="62"/>
      <c r="I50" s="62"/>
      <c r="J50" s="62"/>
      <c r="K50" s="62"/>
      <c r="L50" s="62"/>
      <c r="M50" s="62"/>
      <c r="N50" s="62"/>
      <c r="O50" s="62"/>
      <c r="P50" s="62"/>
      <c r="Q50" s="62"/>
    </row>
    <row r="51" spans="1:17" ht="12.75">
      <c r="A51" s="43" t="s">
        <v>434</v>
      </c>
      <c r="B51" s="40" t="s">
        <v>397</v>
      </c>
      <c r="C51" s="40" t="s">
        <v>397</v>
      </c>
      <c r="D51" s="40" t="s">
        <v>397</v>
      </c>
      <c r="E51" s="40" t="s">
        <v>397</v>
      </c>
      <c r="F51" s="40" t="s">
        <v>397</v>
      </c>
      <c r="G51" s="40" t="s">
        <v>397</v>
      </c>
      <c r="H51" s="40" t="s">
        <v>397</v>
      </c>
      <c r="I51" s="40" t="s">
        <v>397</v>
      </c>
      <c r="J51" s="40" t="s">
        <v>397</v>
      </c>
      <c r="K51" s="40" t="s">
        <v>397</v>
      </c>
      <c r="L51" s="40" t="s">
        <v>397</v>
      </c>
      <c r="M51" s="40" t="s">
        <v>397</v>
      </c>
      <c r="N51" s="40" t="s">
        <v>397</v>
      </c>
      <c r="O51" s="40" t="s">
        <v>397</v>
      </c>
      <c r="P51" s="40" t="s">
        <v>397</v>
      </c>
      <c r="Q51" s="40" t="s">
        <v>397</v>
      </c>
    </row>
    <row r="52" spans="1:17" ht="12.75">
      <c r="A52" s="433" t="s">
        <v>83</v>
      </c>
      <c r="B52" s="245">
        <f>SUM(D52:H52)</f>
        <v>282564</v>
      </c>
      <c r="C52" s="245">
        <f>SUM(I52:M52)</f>
        <v>249844.6</v>
      </c>
      <c r="D52" s="245">
        <f>'Annual Savings'!D82</f>
        <v>18168</v>
      </c>
      <c r="E52" s="245">
        <f>'Annual Savings'!E82</f>
        <v>44617</v>
      </c>
      <c r="F52" s="245">
        <f>'Annual Savings'!F82</f>
        <v>67564</v>
      </c>
      <c r="G52" s="245">
        <f>'Annual Savings'!G82</f>
        <v>78754</v>
      </c>
      <c r="H52" s="245">
        <f>'Annual Savings'!H82</f>
        <v>73461</v>
      </c>
      <c r="I52" s="245">
        <f>'Annual Savings'!I82</f>
        <v>51449</v>
      </c>
      <c r="J52" s="245">
        <f>'Annual Savings'!J82</f>
        <v>48860</v>
      </c>
      <c r="K52" s="245">
        <f>'Annual Savings'!K82</f>
        <v>40666</v>
      </c>
      <c r="L52" s="245">
        <f>'Annual Savings'!L82</f>
        <v>46349</v>
      </c>
      <c r="M52" s="245">
        <f>'Annual Savings'!M82</f>
        <v>62520.600000000006</v>
      </c>
      <c r="N52" s="245">
        <f>'Annual Savings'!N82</f>
        <v>129665.8</v>
      </c>
      <c r="O52" s="245">
        <f>'Annual Savings'!O82</f>
        <v>118792.90000000001</v>
      </c>
      <c r="P52" s="245">
        <f>'Annual Savings'!P82</f>
        <v>80245</v>
      </c>
      <c r="Q52" s="245">
        <f>'Annual Savings'!Q82</f>
        <v>113986.7856999996</v>
      </c>
    </row>
    <row r="53" spans="1:17" ht="12.75">
      <c r="A53" s="30"/>
      <c r="B53" s="355"/>
      <c r="C53" s="355"/>
      <c r="D53" s="355"/>
      <c r="E53" s="355"/>
      <c r="F53" s="355"/>
      <c r="G53" s="355"/>
      <c r="H53" s="355"/>
      <c r="I53" s="355"/>
      <c r="J53" s="355"/>
      <c r="K53" s="355"/>
      <c r="L53" s="355"/>
      <c r="M53" s="355"/>
      <c r="N53" s="355"/>
      <c r="O53" s="355"/>
      <c r="P53" s="355"/>
      <c r="Q53" s="355"/>
    </row>
    <row r="54" spans="1:17" ht="12.75">
      <c r="A54" s="43" t="s">
        <v>435</v>
      </c>
      <c r="B54" s="355"/>
      <c r="C54" s="355"/>
      <c r="D54" s="255"/>
      <c r="E54" s="255"/>
      <c r="F54" s="255"/>
      <c r="G54" s="255"/>
      <c r="H54" s="255"/>
      <c r="I54" s="255"/>
      <c r="J54" s="255"/>
      <c r="K54" s="255"/>
      <c r="L54" s="255"/>
      <c r="M54" s="255"/>
      <c r="N54" s="255"/>
      <c r="O54" s="255"/>
      <c r="P54" s="255"/>
      <c r="Q54" s="255"/>
    </row>
    <row r="55" spans="1:17" ht="12.75">
      <c r="A55" s="181" t="s">
        <v>50</v>
      </c>
      <c r="B55" s="266">
        <f>SUM(D55:H55)</f>
        <v>140</v>
      </c>
      <c r="C55" s="266">
        <f>SUM(I55:M55)</f>
        <v>19611</v>
      </c>
      <c r="D55" s="266">
        <f>'Annual Savings'!D87</f>
        <v>0</v>
      </c>
      <c r="E55" s="266">
        <f>'Annual Savings'!E87</f>
        <v>0</v>
      </c>
      <c r="F55" s="266">
        <f>'Annual Savings'!F87</f>
        <v>0</v>
      </c>
      <c r="G55" s="266">
        <f>'Annual Savings'!G87</f>
        <v>0</v>
      </c>
      <c r="H55" s="266">
        <f>'Annual Savings'!H87</f>
        <v>140</v>
      </c>
      <c r="I55" s="266">
        <f>'Annual Savings'!I87</f>
        <v>3175</v>
      </c>
      <c r="J55" s="266">
        <f>'Annual Savings'!J87</f>
        <v>4925</v>
      </c>
      <c r="K55" s="266">
        <f>'Annual Savings'!K87</f>
        <v>1276</v>
      </c>
      <c r="L55" s="266">
        <f>'Annual Savings'!L87</f>
        <v>4700</v>
      </c>
      <c r="M55" s="266">
        <f>'Annual Savings'!M87</f>
        <v>5535</v>
      </c>
      <c r="N55" s="266">
        <f>'Annual Savings'!N87</f>
        <v>0</v>
      </c>
      <c r="O55" s="266">
        <f>'Annual Savings'!O87</f>
        <v>2000</v>
      </c>
      <c r="P55" s="266">
        <f>'Annual Savings'!P87</f>
        <v>2205</v>
      </c>
      <c r="Q55" s="266">
        <f>'Annual Savings'!Q87</f>
        <v>5770</v>
      </c>
    </row>
    <row r="56" spans="1:17" ht="12.75">
      <c r="A56" s="182" t="s">
        <v>84</v>
      </c>
      <c r="B56" s="266">
        <f>SUM(D56:H56)</f>
        <v>14523</v>
      </c>
      <c r="C56" s="266">
        <f>SUM(I56:M56)</f>
        <v>314472</v>
      </c>
      <c r="D56" s="266">
        <f>'Annual Savings'!D90:H90</f>
        <v>8</v>
      </c>
      <c r="E56" s="266">
        <v>1142</v>
      </c>
      <c r="F56" s="266">
        <v>1743</v>
      </c>
      <c r="G56" s="266">
        <v>2644</v>
      </c>
      <c r="H56" s="266">
        <f>'Annual Savings'!H96</f>
        <v>8986</v>
      </c>
      <c r="I56" s="266">
        <f>'Annual Savings'!I96</f>
        <v>18725</v>
      </c>
      <c r="J56" s="266">
        <f>'Annual Savings'!J96</f>
        <v>28920</v>
      </c>
      <c r="K56" s="266">
        <f>'Annual Savings'!K96</f>
        <v>32805</v>
      </c>
      <c r="L56" s="266">
        <f>'Annual Savings'!L96</f>
        <v>50778</v>
      </c>
      <c r="M56" s="266">
        <f>'Annual Savings'!M96</f>
        <v>183244</v>
      </c>
      <c r="N56" s="266">
        <f>'Annual Savings'!N96</f>
        <v>318387</v>
      </c>
      <c r="O56" s="266">
        <f>'Annual Savings'!O96</f>
        <v>533150</v>
      </c>
      <c r="P56" s="266">
        <f>'Annual Savings'!P96</f>
        <v>207397</v>
      </c>
      <c r="Q56" s="266">
        <f>'Annual Savings'!Q96</f>
        <v>181550.28999999998</v>
      </c>
    </row>
    <row r="57" spans="1:17" ht="12.75">
      <c r="A57" s="14" t="s">
        <v>1</v>
      </c>
      <c r="B57" s="245">
        <f>SUM(D57:H57)</f>
        <v>14663</v>
      </c>
      <c r="C57" s="245">
        <f>SUM(I57:M57)</f>
        <v>334083</v>
      </c>
      <c r="D57" s="245">
        <f aca="true" t="shared" si="9" ref="D57:O57">SUM(D55:D56)</f>
        <v>8</v>
      </c>
      <c r="E57" s="245">
        <f t="shared" si="9"/>
        <v>1142</v>
      </c>
      <c r="F57" s="245">
        <f t="shared" si="9"/>
        <v>1743</v>
      </c>
      <c r="G57" s="245">
        <f t="shared" si="9"/>
        <v>2644</v>
      </c>
      <c r="H57" s="245">
        <f t="shared" si="9"/>
        <v>9126</v>
      </c>
      <c r="I57" s="245">
        <f t="shared" si="9"/>
        <v>21900</v>
      </c>
      <c r="J57" s="245">
        <f t="shared" si="9"/>
        <v>33845</v>
      </c>
      <c r="K57" s="245">
        <f t="shared" si="9"/>
        <v>34081</v>
      </c>
      <c r="L57" s="245">
        <f t="shared" si="9"/>
        <v>55478</v>
      </c>
      <c r="M57" s="245">
        <f t="shared" si="9"/>
        <v>188779</v>
      </c>
      <c r="N57" s="245">
        <f t="shared" si="9"/>
        <v>318387</v>
      </c>
      <c r="O57" s="245">
        <f t="shared" si="9"/>
        <v>535150</v>
      </c>
      <c r="P57" s="245">
        <f>SUM(P55:P56)</f>
        <v>209602</v>
      </c>
      <c r="Q57" s="245">
        <f>SUM(Q55:Q56)</f>
        <v>187320.28999999998</v>
      </c>
    </row>
    <row r="58" spans="1:17" ht="12.75">
      <c r="A58" s="24"/>
      <c r="B58" s="24"/>
      <c r="C58" s="24"/>
      <c r="D58" s="62"/>
      <c r="E58" s="62"/>
      <c r="F58" s="62"/>
      <c r="G58" s="62"/>
      <c r="H58" s="62"/>
      <c r="I58" s="62"/>
      <c r="J58" s="62"/>
      <c r="K58" s="62"/>
      <c r="L58" s="62"/>
      <c r="M58" s="62"/>
      <c r="N58" s="62"/>
      <c r="O58" s="62"/>
      <c r="P58" s="62"/>
      <c r="Q58" s="62"/>
    </row>
    <row r="59" spans="1:17" ht="12.75">
      <c r="A59" s="30" t="s">
        <v>62</v>
      </c>
      <c r="B59" s="215" t="s">
        <v>11</v>
      </c>
      <c r="C59" s="215" t="s">
        <v>11</v>
      </c>
      <c r="D59" s="215" t="s">
        <v>11</v>
      </c>
      <c r="E59" s="215" t="s">
        <v>11</v>
      </c>
      <c r="F59" s="215" t="s">
        <v>11</v>
      </c>
      <c r="G59" s="215" t="s">
        <v>11</v>
      </c>
      <c r="H59" s="215" t="s">
        <v>11</v>
      </c>
      <c r="I59" s="215" t="s">
        <v>11</v>
      </c>
      <c r="J59" s="215" t="s">
        <v>11</v>
      </c>
      <c r="K59" s="215" t="s">
        <v>11</v>
      </c>
      <c r="L59" s="215" t="s">
        <v>11</v>
      </c>
      <c r="M59" s="215" t="s">
        <v>11</v>
      </c>
      <c r="N59" s="215" t="s">
        <v>11</v>
      </c>
      <c r="O59" s="215" t="s">
        <v>11</v>
      </c>
      <c r="P59" s="215" t="s">
        <v>11</v>
      </c>
      <c r="Q59" s="215" t="s">
        <v>11</v>
      </c>
    </row>
    <row r="60" spans="1:18" ht="12.75">
      <c r="A60" s="18" t="s">
        <v>83</v>
      </c>
      <c r="B60" s="37">
        <f>SUM(D60:H60)</f>
        <v>2043156</v>
      </c>
      <c r="C60" s="37">
        <f>SUM(I60:M60)</f>
        <v>3680734</v>
      </c>
      <c r="D60" s="37">
        <f>'Annual Savings'!D124</f>
        <v>243146</v>
      </c>
      <c r="E60" s="37">
        <f>'Annual Savings'!E124</f>
        <v>339172</v>
      </c>
      <c r="F60" s="37">
        <f>'Annual Savings'!F124</f>
        <v>410818</v>
      </c>
      <c r="G60" s="37">
        <f>'Annual Savings'!G124</f>
        <v>432759</v>
      </c>
      <c r="H60" s="37">
        <f>'Annual Savings'!H124</f>
        <v>617261</v>
      </c>
      <c r="I60" s="37">
        <f>'Annual Savings'!I124</f>
        <v>640179</v>
      </c>
      <c r="J60" s="37">
        <f>'Annual Savings'!J124</f>
        <v>979662</v>
      </c>
      <c r="K60" s="37">
        <f>'Annual Savings'!K124</f>
        <v>489724</v>
      </c>
      <c r="L60" s="37">
        <f>'Annual Savings'!L124</f>
        <v>636343</v>
      </c>
      <c r="M60" s="37">
        <f>'Annual Savings'!M124</f>
        <v>934826</v>
      </c>
      <c r="N60" s="37">
        <f>'Annual Savings'!N124</f>
        <v>782556.95</v>
      </c>
      <c r="O60" s="37">
        <f>'Annual Savings'!O124</f>
        <v>1229205</v>
      </c>
      <c r="P60" s="37">
        <f>'Annual Savings'!P124</f>
        <v>921791</v>
      </c>
      <c r="Q60" s="37">
        <f>'Annual Savings'!Q124</f>
        <v>983169.4762700018</v>
      </c>
      <c r="R60" s="24"/>
    </row>
    <row r="61" spans="1:18" ht="12.75">
      <c r="A61" s="24"/>
      <c r="B61" s="24"/>
      <c r="C61" s="24"/>
      <c r="D61" s="24"/>
      <c r="E61" s="24"/>
      <c r="F61" s="24"/>
      <c r="G61" s="24"/>
      <c r="H61" s="24"/>
      <c r="I61" s="24"/>
      <c r="J61" s="24"/>
      <c r="K61" s="24"/>
      <c r="L61" s="24"/>
      <c r="M61" s="24"/>
      <c r="N61" s="24"/>
      <c r="O61" s="24"/>
      <c r="P61" s="24"/>
      <c r="Q61" s="24"/>
      <c r="R61" s="24"/>
    </row>
    <row r="62" spans="1:18" ht="26.25">
      <c r="A62" s="413" t="s">
        <v>344</v>
      </c>
      <c r="B62" s="196" t="str">
        <f>B4</f>
        <v>Summary 
2001 to 2005*</v>
      </c>
      <c r="C62" s="196" t="str">
        <f>C4</f>
        <v>Summary 
2006 to 2010*</v>
      </c>
      <c r="D62" s="28">
        <v>2001</v>
      </c>
      <c r="E62" s="28">
        <v>2002</v>
      </c>
      <c r="F62" s="28">
        <v>2003</v>
      </c>
      <c r="G62" s="28">
        <v>2004</v>
      </c>
      <c r="H62" s="28">
        <v>2005</v>
      </c>
      <c r="I62" s="28">
        <v>2006</v>
      </c>
      <c r="J62" s="28">
        <v>2007</v>
      </c>
      <c r="K62" s="28">
        <v>2008</v>
      </c>
      <c r="L62" s="28">
        <v>2009</v>
      </c>
      <c r="M62" s="28">
        <v>2010</v>
      </c>
      <c r="N62" s="28">
        <v>2011</v>
      </c>
      <c r="O62" s="196" t="str">
        <f>O4</f>
        <v>(18 month)1
2012-2013</v>
      </c>
      <c r="P62" s="196" t="str">
        <f>P4</f>
        <v>FY2014</v>
      </c>
      <c r="Q62" s="196" t="str">
        <f>Q4</f>
        <v>FY2015</v>
      </c>
      <c r="R62" s="196" t="str">
        <f>"Total "&amp;CHAR(10)&amp;D62&amp;" - "&amp;Q62</f>
        <v>Total 
2001 - FY2015</v>
      </c>
    </row>
    <row r="63" spans="1:18" ht="12.75">
      <c r="A63" s="43" t="s">
        <v>32</v>
      </c>
      <c r="B63" s="40" t="s">
        <v>8</v>
      </c>
      <c r="C63" s="40" t="s">
        <v>8</v>
      </c>
      <c r="D63" s="40" t="s">
        <v>8</v>
      </c>
      <c r="E63" s="40" t="s">
        <v>8</v>
      </c>
      <c r="F63" s="40" t="s">
        <v>8</v>
      </c>
      <c r="G63" s="40" t="s">
        <v>8</v>
      </c>
      <c r="H63" s="40" t="s">
        <v>8</v>
      </c>
      <c r="I63" s="40" t="s">
        <v>8</v>
      </c>
      <c r="J63" s="40" t="s">
        <v>8</v>
      </c>
      <c r="K63" s="40" t="s">
        <v>8</v>
      </c>
      <c r="L63" s="40" t="s">
        <v>8</v>
      </c>
      <c r="M63" s="40" t="s">
        <v>8</v>
      </c>
      <c r="N63" s="40" t="s">
        <v>8</v>
      </c>
      <c r="O63" s="40" t="s">
        <v>8</v>
      </c>
      <c r="P63" s="40" t="s">
        <v>8</v>
      </c>
      <c r="Q63" s="40" t="s">
        <v>8</v>
      </c>
      <c r="R63" s="40" t="s">
        <v>8</v>
      </c>
    </row>
    <row r="64" spans="1:18" ht="12.75">
      <c r="A64" s="434" t="s">
        <v>83</v>
      </c>
      <c r="B64" s="245">
        <f>SUM(D64:H64)</f>
        <v>14876711</v>
      </c>
      <c r="C64" s="245">
        <f>SUM(I64:M64)</f>
        <v>15142604.2</v>
      </c>
      <c r="D64" s="245">
        <f>'Lifetime Savings'!D35</f>
        <v>797595</v>
      </c>
      <c r="E64" s="245">
        <f>'Lifetime Savings'!E35</f>
        <v>2548628</v>
      </c>
      <c r="F64" s="245">
        <f>'Lifetime Savings'!F35</f>
        <v>3739163</v>
      </c>
      <c r="G64" s="245">
        <f>'Lifetime Savings'!G35</f>
        <v>4308771</v>
      </c>
      <c r="H64" s="245">
        <f>'Lifetime Savings'!H35</f>
        <v>3482554</v>
      </c>
      <c r="I64" s="245">
        <f>'Lifetime Savings'!I35</f>
        <v>1935790</v>
      </c>
      <c r="J64" s="245">
        <f>'Lifetime Savings'!J35</f>
        <v>2645703</v>
      </c>
      <c r="K64" s="245">
        <f>'Lifetime Savings'!K35</f>
        <v>3160279</v>
      </c>
      <c r="L64" s="245">
        <f>'Lifetime Savings'!L35</f>
        <v>3986481</v>
      </c>
      <c r="M64" s="245">
        <f>'Lifetime Savings'!M35</f>
        <v>3414351.2</v>
      </c>
      <c r="N64" s="245">
        <f>'Lifetime Savings'!N35</f>
        <v>4880985.3</v>
      </c>
      <c r="O64" s="245">
        <f>'Lifetime Savings'!O35</f>
        <v>6830470.2</v>
      </c>
      <c r="P64" s="245">
        <f>'Lifetime Savings'!P35</f>
        <v>6040321</v>
      </c>
      <c r="Q64" s="245">
        <f>'Lifetime Savings'!Q35</f>
        <v>6637672.114777017</v>
      </c>
      <c r="R64" s="245">
        <f>SUM(D64:Q64)</f>
        <v>54408763.81477702</v>
      </c>
    </row>
    <row r="65" spans="1:18" ht="12.75">
      <c r="A65" s="409"/>
      <c r="B65" s="402"/>
      <c r="C65" s="402"/>
      <c r="D65" s="407"/>
      <c r="E65" s="407"/>
      <c r="F65" s="407"/>
      <c r="G65" s="407"/>
      <c r="H65" s="407"/>
      <c r="I65" s="407"/>
      <c r="J65" s="407"/>
      <c r="K65" s="407"/>
      <c r="L65" s="407"/>
      <c r="M65" s="407"/>
      <c r="N65" s="407"/>
      <c r="O65" s="407"/>
      <c r="P65" s="407"/>
      <c r="Q65" s="407"/>
      <c r="R65" s="407"/>
    </row>
    <row r="66" spans="1:18" ht="12.75">
      <c r="A66" s="43" t="s">
        <v>194</v>
      </c>
      <c r="B66" s="403"/>
      <c r="C66" s="403"/>
      <c r="D66" s="408"/>
      <c r="E66" s="408"/>
      <c r="F66" s="408"/>
      <c r="G66" s="408"/>
      <c r="H66" s="408"/>
      <c r="I66" s="408"/>
      <c r="J66" s="408"/>
      <c r="K66" s="408"/>
      <c r="L66" s="408"/>
      <c r="M66" s="408"/>
      <c r="N66" s="408"/>
      <c r="O66" s="408"/>
      <c r="P66" s="408"/>
      <c r="Q66" s="408"/>
      <c r="R66" s="408"/>
    </row>
    <row r="67" spans="1:18" ht="12.75">
      <c r="A67" s="181" t="s">
        <v>50</v>
      </c>
      <c r="B67" s="266">
        <f>SUM(D67:H67)</f>
        <v>11498</v>
      </c>
      <c r="C67" s="266">
        <f>SUM(I67:M67)</f>
        <v>2395505</v>
      </c>
      <c r="D67" s="266">
        <f>'Lifetime Savings'!D40</f>
        <v>0</v>
      </c>
      <c r="E67" s="266">
        <f>'Lifetime Savings'!E40</f>
        <v>0</v>
      </c>
      <c r="F67" s="266">
        <f>'Lifetime Savings'!F40</f>
        <v>0</v>
      </c>
      <c r="G67" s="266">
        <f>'Lifetime Savings'!G40</f>
        <v>0</v>
      </c>
      <c r="H67" s="266">
        <f>'Lifetime Savings'!H40</f>
        <v>11498</v>
      </c>
      <c r="I67" s="266">
        <f>'Lifetime Savings'!I40</f>
        <v>112759</v>
      </c>
      <c r="J67" s="266">
        <f>'Lifetime Savings'!J40</f>
        <v>1225505</v>
      </c>
      <c r="K67" s="266">
        <f>'Lifetime Savings'!K40</f>
        <v>109364</v>
      </c>
      <c r="L67" s="266">
        <f>'Lifetime Savings'!L40</f>
        <v>423802</v>
      </c>
      <c r="M67" s="266">
        <f>'Lifetime Savings'!M40</f>
        <v>524075</v>
      </c>
      <c r="N67" s="266">
        <f>'Lifetime Savings'!N40</f>
        <v>0</v>
      </c>
      <c r="O67" s="266">
        <f>'Lifetime Savings'!O40</f>
        <v>210240</v>
      </c>
      <c r="P67" s="266">
        <f>'Lifetime Savings'!P40</f>
        <v>112909</v>
      </c>
      <c r="Q67" s="266">
        <f>'Lifetime Savings'!Q40</f>
        <v>496417</v>
      </c>
      <c r="R67" s="266">
        <f>SUM(D67:Q67)</f>
        <v>3226569</v>
      </c>
    </row>
    <row r="68" spans="1:18" ht="12.75">
      <c r="A68" s="233" t="s">
        <v>84</v>
      </c>
      <c r="B68" s="266">
        <f>SUM(D68:H68)</f>
        <v>788399</v>
      </c>
      <c r="C68" s="266">
        <f>SUM(I68:M68)</f>
        <v>9618568</v>
      </c>
      <c r="D68" s="266">
        <f>'Lifetime Savings'!D43</f>
        <v>173</v>
      </c>
      <c r="E68" s="266">
        <f>'Lifetime Savings'!E43</f>
        <v>56330</v>
      </c>
      <c r="F68" s="266">
        <f>'Lifetime Savings'!F43</f>
        <v>109981</v>
      </c>
      <c r="G68" s="266">
        <f>'Lifetime Savings'!G43</f>
        <v>82996</v>
      </c>
      <c r="H68" s="266">
        <f>'Lifetime Savings'!H48</f>
        <v>538919</v>
      </c>
      <c r="I68" s="266">
        <f>'Lifetime Savings'!I48</f>
        <v>449400</v>
      </c>
      <c r="J68" s="266">
        <f>'Lifetime Savings'!J48</f>
        <v>966155</v>
      </c>
      <c r="K68" s="266">
        <f>'Lifetime Savings'!K48</f>
        <v>1994960</v>
      </c>
      <c r="L68" s="266">
        <f>'Lifetime Savings'!L48</f>
        <v>1356920</v>
      </c>
      <c r="M68" s="266">
        <f>'Lifetime Savings'!M48</f>
        <v>4851133</v>
      </c>
      <c r="N68" s="266">
        <f>'Lifetime Savings'!N48</f>
        <v>7641312</v>
      </c>
      <c r="O68" s="266">
        <f>'Lifetime Savings'!O48</f>
        <v>12812718</v>
      </c>
      <c r="P68" s="266">
        <f>'Lifetime Savings'!P48</f>
        <v>5233196</v>
      </c>
      <c r="Q68" s="266">
        <f>'Lifetime Savings'!Q48</f>
        <v>4357200</v>
      </c>
      <c r="R68" s="266">
        <f>SUM(D68:Q68)</f>
        <v>40451393</v>
      </c>
    </row>
    <row r="69" spans="1:18" ht="12.75">
      <c r="A69" s="14" t="s">
        <v>1</v>
      </c>
      <c r="B69" s="245">
        <f>SUM(D69:H69)</f>
        <v>799897</v>
      </c>
      <c r="C69" s="245">
        <f>SUM(I69:M69)</f>
        <v>12014073</v>
      </c>
      <c r="D69" s="245">
        <f aca="true" t="shared" si="10" ref="D69:P69">SUM(D67:D68)</f>
        <v>173</v>
      </c>
      <c r="E69" s="245">
        <f t="shared" si="10"/>
        <v>56330</v>
      </c>
      <c r="F69" s="245">
        <f t="shared" si="10"/>
        <v>109981</v>
      </c>
      <c r="G69" s="245">
        <f t="shared" si="10"/>
        <v>82996</v>
      </c>
      <c r="H69" s="245">
        <f t="shared" si="10"/>
        <v>550417</v>
      </c>
      <c r="I69" s="245">
        <f t="shared" si="10"/>
        <v>562159</v>
      </c>
      <c r="J69" s="245">
        <f t="shared" si="10"/>
        <v>2191660</v>
      </c>
      <c r="K69" s="245">
        <f t="shared" si="10"/>
        <v>2104324</v>
      </c>
      <c r="L69" s="245">
        <f t="shared" si="10"/>
        <v>1780722</v>
      </c>
      <c r="M69" s="245">
        <f t="shared" si="10"/>
        <v>5375208</v>
      </c>
      <c r="N69" s="245">
        <f t="shared" si="10"/>
        <v>7641312</v>
      </c>
      <c r="O69" s="245">
        <f t="shared" si="10"/>
        <v>13022958</v>
      </c>
      <c r="P69" s="245">
        <f t="shared" si="10"/>
        <v>5346105</v>
      </c>
      <c r="Q69" s="245">
        <f>SUM(Q67:Q68)</f>
        <v>4853617</v>
      </c>
      <c r="R69" s="245">
        <f>SUM(R67:R68)</f>
        <v>43677962</v>
      </c>
    </row>
    <row r="70" spans="1:18" ht="12.75">
      <c r="A70" s="24"/>
      <c r="B70" s="24"/>
      <c r="C70" s="24"/>
      <c r="D70" s="62"/>
      <c r="E70" s="62"/>
      <c r="F70" s="62"/>
      <c r="G70" s="62"/>
      <c r="H70" s="62"/>
      <c r="I70" s="62"/>
      <c r="J70" s="62"/>
      <c r="K70" s="62"/>
      <c r="L70" s="62"/>
      <c r="M70" s="62"/>
      <c r="N70" s="62"/>
      <c r="O70" s="62"/>
      <c r="P70" s="62"/>
      <c r="Q70" s="62"/>
      <c r="R70" s="62"/>
    </row>
    <row r="71" spans="1:18" ht="12.75">
      <c r="A71" s="150" t="s">
        <v>62</v>
      </c>
      <c r="B71" s="215" t="s">
        <v>11</v>
      </c>
      <c r="C71" s="215" t="s">
        <v>11</v>
      </c>
      <c r="D71" s="215" t="s">
        <v>11</v>
      </c>
      <c r="E71" s="215" t="s">
        <v>11</v>
      </c>
      <c r="F71" s="215" t="s">
        <v>11</v>
      </c>
      <c r="G71" s="215" t="s">
        <v>11</v>
      </c>
      <c r="H71" s="215" t="s">
        <v>11</v>
      </c>
      <c r="I71" s="215" t="s">
        <v>11</v>
      </c>
      <c r="J71" s="215" t="s">
        <v>11</v>
      </c>
      <c r="K71" s="215" t="s">
        <v>11</v>
      </c>
      <c r="L71" s="215" t="s">
        <v>11</v>
      </c>
      <c r="M71" s="215" t="s">
        <v>11</v>
      </c>
      <c r="N71" s="215" t="s">
        <v>11</v>
      </c>
      <c r="O71" s="215" t="s">
        <v>11</v>
      </c>
      <c r="P71" s="215" t="s">
        <v>11</v>
      </c>
      <c r="Q71" s="215" t="s">
        <v>11</v>
      </c>
      <c r="R71" s="215" t="s">
        <v>11</v>
      </c>
    </row>
    <row r="72" spans="1:18" ht="12.75">
      <c r="A72" s="18" t="s">
        <v>83</v>
      </c>
      <c r="B72" s="245">
        <f>SUM(D72:H72)</f>
        <v>38827315</v>
      </c>
      <c r="C72" s="245">
        <f>SUM(I72:M72)</f>
        <v>58440726</v>
      </c>
      <c r="D72" s="245">
        <f>'Lifetime Savings'!D72</f>
        <v>4802982</v>
      </c>
      <c r="E72" s="245">
        <f>'Lifetime Savings'!E72</f>
        <v>6532702</v>
      </c>
      <c r="F72" s="245">
        <f>'Lifetime Savings'!F72</f>
        <v>7706430</v>
      </c>
      <c r="G72" s="245">
        <f>'Lifetime Savings'!G72</f>
        <v>8107801</v>
      </c>
      <c r="H72" s="245">
        <f>'Lifetime Savings'!H72</f>
        <v>11677400</v>
      </c>
      <c r="I72" s="245">
        <f>'Lifetime Savings'!I72</f>
        <v>9137230</v>
      </c>
      <c r="J72" s="245">
        <f>'Lifetime Savings'!J72</f>
        <v>13732484</v>
      </c>
      <c r="K72" s="245">
        <f>'Lifetime Savings'!K72</f>
        <v>8571226</v>
      </c>
      <c r="L72" s="245">
        <f>'Lifetime Savings'!L72</f>
        <v>10524058</v>
      </c>
      <c r="M72" s="245">
        <f>'Lifetime Savings'!M72</f>
        <v>16475728</v>
      </c>
      <c r="N72" s="245">
        <f>'Lifetime Savings'!N72</f>
        <v>14493173.84</v>
      </c>
      <c r="O72" s="245">
        <f>'Lifetime Savings'!O72</f>
        <v>22443400</v>
      </c>
      <c r="P72" s="245">
        <f>'Lifetime Savings'!P72</f>
        <v>16657595</v>
      </c>
      <c r="Q72" s="245">
        <f>'Lifetime Savings'!Q72</f>
        <v>17123563.478600033</v>
      </c>
      <c r="R72" s="245">
        <f>SUM(D72:Q72)</f>
        <v>167985773.31860003</v>
      </c>
    </row>
    <row r="73" spans="1:18" ht="12.75">
      <c r="A73" s="395" t="s">
        <v>374</v>
      </c>
      <c r="B73" s="355"/>
      <c r="C73" s="355"/>
      <c r="D73" s="355"/>
      <c r="E73" s="355"/>
      <c r="F73" s="355"/>
      <c r="G73" s="355"/>
      <c r="H73" s="355"/>
      <c r="I73" s="355"/>
      <c r="J73" s="355"/>
      <c r="K73" s="355"/>
      <c r="L73" s="355"/>
      <c r="M73" s="355"/>
      <c r="N73" s="355"/>
      <c r="O73" s="355"/>
      <c r="P73" s="355"/>
      <c r="Q73" s="355"/>
      <c r="R73" s="355"/>
    </row>
    <row r="74" spans="1:3" ht="12.75">
      <c r="A74" s="2" t="str">
        <f>A38</f>
        <v>* These columns/years have been hidden in this worksheet for viewing &amp; printing purposes</v>
      </c>
      <c r="B74" s="74"/>
      <c r="C74" s="74"/>
    </row>
    <row r="77" ht="12.75">
      <c r="A77" s="86"/>
    </row>
  </sheetData>
  <sheetProtection/>
  <mergeCells count="4">
    <mergeCell ref="A1:R1"/>
    <mergeCell ref="A2:R2"/>
    <mergeCell ref="A40:R40"/>
    <mergeCell ref="A41:R41"/>
  </mergeCells>
  <printOptions/>
  <pageMargins left="0.17" right="0.17" top="0.4" bottom="0.6" header="0.24" footer="0.24"/>
  <pageSetup horizontalDpi="600" verticalDpi="600" orientation="landscape" scale="74" r:id="rId1"/>
  <headerFooter scaleWithDoc="0" alignWithMargins="0">
    <oddFooter>&amp;L&amp;6&amp;A - Results by Program Year&amp;R&amp;6printed &amp;D at &amp;T</oddFooter>
  </headerFooter>
  <rowBreaks count="1" manualBreakCount="1">
    <brk id="38" max="14" man="1"/>
  </rowBreaks>
</worksheet>
</file>

<file path=xl/worksheets/sheet20.xml><?xml version="1.0" encoding="utf-8"?>
<worksheet xmlns="http://schemas.openxmlformats.org/spreadsheetml/2006/main" xmlns:r="http://schemas.openxmlformats.org/officeDocument/2006/relationships">
  <sheetPr>
    <tabColor theme="6"/>
    <pageSetUpPr fitToPage="1"/>
  </sheetPr>
  <dimension ref="A1:I52"/>
  <sheetViews>
    <sheetView showGridLines="0" zoomScalePageLayoutView="0" workbookViewId="0" topLeftCell="A1">
      <selection activeCell="A1" sqref="A1:R1"/>
    </sheetView>
  </sheetViews>
  <sheetFormatPr defaultColWidth="9.140625" defaultRowHeight="12.75"/>
  <cols>
    <col min="1" max="1" width="22.57421875" style="0" bestFit="1" customWidth="1"/>
    <col min="2" max="6" width="14.421875" style="0" customWidth="1"/>
    <col min="7" max="7" width="13.7109375" style="0" customWidth="1"/>
  </cols>
  <sheetData>
    <row r="1" spans="1:7" ht="12.75">
      <c r="A1" s="483" t="s">
        <v>393</v>
      </c>
      <c r="B1" s="483"/>
      <c r="C1" s="483"/>
      <c r="D1" s="483"/>
      <c r="E1" s="483"/>
      <c r="F1" s="483"/>
      <c r="G1" s="483"/>
    </row>
    <row r="2" spans="1:7" ht="12.75">
      <c r="A2" s="483" t="s">
        <v>234</v>
      </c>
      <c r="B2" s="483"/>
      <c r="C2" s="483"/>
      <c r="D2" s="483"/>
      <c r="E2" s="483"/>
      <c r="F2" s="483"/>
      <c r="G2" s="483"/>
    </row>
    <row r="4" spans="1:7" ht="25.5">
      <c r="A4" s="30" t="s">
        <v>206</v>
      </c>
      <c r="B4" s="25">
        <v>2010</v>
      </c>
      <c r="C4" s="25">
        <v>2011</v>
      </c>
      <c r="D4" s="126" t="s">
        <v>346</v>
      </c>
      <c r="E4" s="126" t="s">
        <v>351</v>
      </c>
      <c r="F4" s="126" t="s">
        <v>440</v>
      </c>
      <c r="G4" s="81" t="str">
        <f>"Total "&amp;CHAR(10)&amp;C4&amp;" ~ "&amp;F4</f>
        <v>Total 
2011 ~ FY2015</v>
      </c>
    </row>
    <row r="5" spans="1:7" ht="12.75">
      <c r="A5" s="19" t="s">
        <v>417</v>
      </c>
      <c r="B5" s="217">
        <v>4966134.6</v>
      </c>
      <c r="C5" s="217">
        <v>7471645.96</v>
      </c>
      <c r="D5" s="218">
        <v>7610817.58</v>
      </c>
      <c r="E5" s="218">
        <v>10265275.46</v>
      </c>
      <c r="F5" s="218">
        <v>13279268.58</v>
      </c>
      <c r="G5" s="217">
        <f>SUM(B5:F5)</f>
        <v>43593142.18</v>
      </c>
    </row>
    <row r="6" spans="1:7" ht="12.75">
      <c r="A6" s="21"/>
      <c r="B6" s="101"/>
      <c r="C6" s="101"/>
      <c r="D6" s="137"/>
      <c r="E6" s="137"/>
      <c r="F6" s="137"/>
      <c r="G6" s="101"/>
    </row>
    <row r="7" spans="1:7" ht="12.75">
      <c r="A7" s="30" t="s">
        <v>207</v>
      </c>
      <c r="B7" s="101"/>
      <c r="C7" s="101"/>
      <c r="D7" s="137"/>
      <c r="E7" s="137"/>
      <c r="F7" s="137"/>
      <c r="G7" s="101"/>
    </row>
    <row r="8" spans="1:7" ht="12.75">
      <c r="A8" s="181" t="s">
        <v>20</v>
      </c>
      <c r="B8" s="278">
        <v>494488.64</v>
      </c>
      <c r="C8" s="278">
        <v>478711.08</v>
      </c>
      <c r="D8" s="279">
        <v>1345542.12</v>
      </c>
      <c r="E8" s="279">
        <v>1686006.88</v>
      </c>
      <c r="F8" s="279">
        <v>2977225.1</v>
      </c>
      <c r="G8" s="296">
        <f>SUM(B8:F8)</f>
        <v>6981973.82</v>
      </c>
    </row>
    <row r="9" spans="1:7" ht="12.75">
      <c r="A9" s="181" t="s">
        <v>19</v>
      </c>
      <c r="B9" s="278"/>
      <c r="C9" s="278">
        <v>1083760</v>
      </c>
      <c r="D9" s="279">
        <v>3021189.2</v>
      </c>
      <c r="E9" s="279">
        <v>7153125.9</v>
      </c>
      <c r="F9" s="279">
        <v>9820957.55</v>
      </c>
      <c r="G9" s="295"/>
    </row>
    <row r="10" spans="1:7" ht="12.75">
      <c r="A10" s="16" t="s">
        <v>1</v>
      </c>
      <c r="B10" s="281"/>
      <c r="C10" s="281">
        <f>SUM(C8:C9)</f>
        <v>1562471.08</v>
      </c>
      <c r="D10" s="281">
        <f>SUM(D8:D9)</f>
        <v>4366731.32</v>
      </c>
      <c r="E10" s="281">
        <f>SUM(E8:E9)</f>
        <v>8839132.780000001</v>
      </c>
      <c r="F10" s="281">
        <f>SUM(F8:F9)</f>
        <v>12798182.65</v>
      </c>
      <c r="G10" s="295"/>
    </row>
    <row r="11" spans="1:7" ht="12.75">
      <c r="A11" s="43"/>
      <c r="B11" s="120"/>
      <c r="C11" s="120"/>
      <c r="D11" s="120"/>
      <c r="E11" s="120"/>
      <c r="F11" s="120"/>
      <c r="G11" s="120"/>
    </row>
    <row r="12" ht="12.75">
      <c r="A12" s="43" t="s">
        <v>5</v>
      </c>
    </row>
    <row r="13" spans="1:9" ht="12.75">
      <c r="A13" s="181" t="s">
        <v>232</v>
      </c>
      <c r="B13" s="246">
        <v>13</v>
      </c>
      <c r="C13" s="246">
        <v>6</v>
      </c>
      <c r="D13" s="256">
        <v>10</v>
      </c>
      <c r="E13" s="256">
        <v>15</v>
      </c>
      <c r="F13" s="256">
        <v>14</v>
      </c>
      <c r="G13" s="246">
        <f>SUM(B13:F13)</f>
        <v>58</v>
      </c>
      <c r="I13" s="86" t="s">
        <v>451</v>
      </c>
    </row>
    <row r="14" spans="1:9" ht="12.75">
      <c r="A14" s="181" t="s">
        <v>233</v>
      </c>
      <c r="B14" s="246">
        <v>0</v>
      </c>
      <c r="C14" s="246">
        <v>0</v>
      </c>
      <c r="D14" s="318">
        <v>1</v>
      </c>
      <c r="E14" s="318">
        <v>5</v>
      </c>
      <c r="F14" s="318">
        <v>12</v>
      </c>
      <c r="G14" s="246">
        <f>SUM(B14:F14)</f>
        <v>18</v>
      </c>
      <c r="I14" s="86" t="s">
        <v>452</v>
      </c>
    </row>
    <row r="15" spans="1:7" ht="12.75">
      <c r="A15" s="181" t="s">
        <v>376</v>
      </c>
      <c r="B15" s="246">
        <v>0</v>
      </c>
      <c r="C15" s="246">
        <v>0</v>
      </c>
      <c r="D15" s="318">
        <v>1</v>
      </c>
      <c r="E15" s="318">
        <v>0</v>
      </c>
      <c r="F15" s="318">
        <v>7</v>
      </c>
      <c r="G15" s="246">
        <f>SUM(B15:F15)</f>
        <v>8</v>
      </c>
    </row>
    <row r="16" spans="1:7" s="1" customFormat="1" ht="12.75">
      <c r="A16" s="16" t="s">
        <v>1</v>
      </c>
      <c r="B16" s="245">
        <f>SUM(B13:B15)</f>
        <v>13</v>
      </c>
      <c r="C16" s="245">
        <f>SUM(C13:C15)</f>
        <v>6</v>
      </c>
      <c r="D16" s="245">
        <f>SUM(D13:D15)</f>
        <v>12</v>
      </c>
      <c r="E16" s="245">
        <f>SUM(E13:E15)</f>
        <v>20</v>
      </c>
      <c r="F16" s="245">
        <f>SUM(F13:F15)</f>
        <v>33</v>
      </c>
      <c r="G16" s="245">
        <f>SUM(B16:F16)</f>
        <v>84</v>
      </c>
    </row>
    <row r="17" spans="1:7" ht="12.75">
      <c r="A17" s="43"/>
      <c r="B17" s="24"/>
      <c r="C17" s="24"/>
      <c r="D17" s="24"/>
      <c r="E17" s="24"/>
      <c r="F17" s="24"/>
      <c r="G17" s="24"/>
    </row>
    <row r="18" ht="12.75">
      <c r="A18" s="43" t="s">
        <v>416</v>
      </c>
    </row>
    <row r="19" spans="1:8" ht="12.75">
      <c r="A19" s="19" t="s">
        <v>417</v>
      </c>
      <c r="B19" s="256"/>
      <c r="C19" s="256"/>
      <c r="D19" s="256"/>
      <c r="E19" s="256"/>
      <c r="F19" s="256"/>
      <c r="G19" s="24"/>
      <c r="H19" s="130"/>
    </row>
    <row r="20" spans="1:8" ht="12.75">
      <c r="A20" s="43"/>
      <c r="B20" s="257"/>
      <c r="C20" s="257"/>
      <c r="D20" s="257"/>
      <c r="E20" s="257"/>
      <c r="F20" s="257"/>
      <c r="G20" s="24"/>
      <c r="H20" s="130"/>
    </row>
    <row r="21" spans="1:8" ht="12.75">
      <c r="A21" s="43"/>
      <c r="B21" s="257"/>
      <c r="C21" s="257"/>
      <c r="D21" s="257"/>
      <c r="E21" s="257"/>
      <c r="F21" s="257"/>
      <c r="G21" s="24"/>
      <c r="H21" s="130"/>
    </row>
    <row r="22" spans="1:8" ht="12.75">
      <c r="A22" s="428" t="s">
        <v>388</v>
      </c>
      <c r="B22" s="257"/>
      <c r="C22" s="257"/>
      <c r="D22" s="257"/>
      <c r="E22" s="257"/>
      <c r="F22" s="257"/>
      <c r="G22" s="24"/>
      <c r="H22" s="130"/>
    </row>
    <row r="23" spans="1:7" ht="12.75">
      <c r="A23" s="428"/>
      <c r="B23" s="24"/>
      <c r="C23" s="24"/>
      <c r="D23" s="24"/>
      <c r="E23" s="24"/>
      <c r="F23" s="24"/>
      <c r="G23" s="24"/>
    </row>
    <row r="24" ht="12.75">
      <c r="A24" s="43" t="s">
        <v>6</v>
      </c>
    </row>
    <row r="25" spans="1:7" ht="12.75">
      <c r="A25" s="43" t="s">
        <v>7</v>
      </c>
      <c r="B25" s="40" t="s">
        <v>8</v>
      </c>
      <c r="C25" s="40" t="s">
        <v>8</v>
      </c>
      <c r="D25" s="40" t="s">
        <v>8</v>
      </c>
      <c r="E25" s="40" t="s">
        <v>8</v>
      </c>
      <c r="F25" s="40" t="s">
        <v>8</v>
      </c>
      <c r="G25" s="40" t="s">
        <v>8</v>
      </c>
    </row>
    <row r="26" spans="1:7" ht="12.75">
      <c r="A26" s="394" t="s">
        <v>343</v>
      </c>
      <c r="B26" s="246"/>
      <c r="C26" s="246">
        <v>0</v>
      </c>
      <c r="D26" s="246">
        <v>0</v>
      </c>
      <c r="E26" s="246">
        <v>1313</v>
      </c>
      <c r="F26" s="246">
        <v>4873</v>
      </c>
      <c r="G26" s="246">
        <f>SUM(B26:F26)</f>
        <v>6186</v>
      </c>
    </row>
    <row r="27" spans="1:7" ht="12.75">
      <c r="A27" s="394" t="s">
        <v>344</v>
      </c>
      <c r="B27" s="246"/>
      <c r="C27" s="246">
        <v>0</v>
      </c>
      <c r="D27" s="246">
        <v>0</v>
      </c>
      <c r="E27" s="246">
        <v>23486</v>
      </c>
      <c r="F27" s="246">
        <v>89509</v>
      </c>
      <c r="G27" s="246">
        <f>SUM(B27:F27)</f>
        <v>112995</v>
      </c>
    </row>
    <row r="28" spans="1:7" ht="12.75">
      <c r="A28" s="93"/>
      <c r="B28" s="23"/>
      <c r="C28" s="23"/>
      <c r="D28" s="23"/>
      <c r="E28" s="23"/>
      <c r="F28" s="23"/>
      <c r="G28" s="23"/>
    </row>
    <row r="29" spans="1:7" ht="12.75">
      <c r="A29" s="78" t="s">
        <v>111</v>
      </c>
      <c r="B29" s="44" t="s">
        <v>397</v>
      </c>
      <c r="C29" s="44" t="s">
        <v>397</v>
      </c>
      <c r="D29" s="44" t="s">
        <v>397</v>
      </c>
      <c r="E29" s="44" t="s">
        <v>397</v>
      </c>
      <c r="F29" s="44" t="s">
        <v>397</v>
      </c>
      <c r="G29" s="44" t="s">
        <v>397</v>
      </c>
    </row>
    <row r="30" spans="1:7" ht="12.75">
      <c r="A30" s="394" t="s">
        <v>425</v>
      </c>
      <c r="B30" s="246"/>
      <c r="C30" s="246">
        <v>0</v>
      </c>
      <c r="D30" s="246">
        <v>0</v>
      </c>
      <c r="E30" s="246">
        <v>990</v>
      </c>
      <c r="F30" s="246">
        <v>3103</v>
      </c>
      <c r="G30" s="246">
        <f>SUM(B30:F30)</f>
        <v>4093</v>
      </c>
    </row>
    <row r="31" spans="1:7" ht="12.75">
      <c r="A31" s="46"/>
      <c r="B31" s="23"/>
      <c r="C31" s="23"/>
      <c r="D31" s="23"/>
      <c r="E31" s="23"/>
      <c r="F31" s="23"/>
      <c r="G31" s="23"/>
    </row>
    <row r="32" spans="1:7" ht="12.75">
      <c r="A32" s="43" t="s">
        <v>6</v>
      </c>
      <c r="B32" s="23"/>
      <c r="C32" s="23"/>
      <c r="D32" s="23"/>
      <c r="E32" s="23"/>
      <c r="F32" s="23"/>
      <c r="G32" s="23"/>
    </row>
    <row r="33" spans="1:7" ht="12.75">
      <c r="A33" s="78" t="s">
        <v>10</v>
      </c>
      <c r="B33" s="44" t="s">
        <v>11</v>
      </c>
      <c r="C33" s="44" t="s">
        <v>11</v>
      </c>
      <c r="D33" s="44" t="s">
        <v>11</v>
      </c>
      <c r="E33" s="44" t="s">
        <v>11</v>
      </c>
      <c r="F33" s="44" t="s">
        <v>11</v>
      </c>
      <c r="G33" s="44" t="s">
        <v>11</v>
      </c>
    </row>
    <row r="34" spans="1:7" ht="12.75">
      <c r="A34" s="394" t="s">
        <v>343</v>
      </c>
      <c r="B34" s="246"/>
      <c r="C34" s="246">
        <v>0</v>
      </c>
      <c r="D34" s="246">
        <v>0</v>
      </c>
      <c r="E34" s="246">
        <v>963</v>
      </c>
      <c r="F34" s="246">
        <v>4829</v>
      </c>
      <c r="G34" s="246">
        <f>SUM(B34:F34)</f>
        <v>5792</v>
      </c>
    </row>
    <row r="35" spans="1:7" ht="12.75">
      <c r="A35" s="394" t="s">
        <v>344</v>
      </c>
      <c r="B35" s="246"/>
      <c r="C35" s="246">
        <v>0</v>
      </c>
      <c r="D35" s="246">
        <v>0</v>
      </c>
      <c r="E35" s="246">
        <v>15048</v>
      </c>
      <c r="F35" s="246">
        <v>123131</v>
      </c>
      <c r="G35" s="246">
        <f>SUM(B35:F35)</f>
        <v>138179</v>
      </c>
    </row>
    <row r="36" spans="1:7" ht="12.75">
      <c r="A36" s="93"/>
      <c r="B36" s="255"/>
      <c r="C36" s="255"/>
      <c r="D36" s="255"/>
      <c r="E36" s="255"/>
      <c r="F36" s="255"/>
      <c r="G36" s="255"/>
    </row>
    <row r="37" spans="1:7" ht="12.75">
      <c r="A37" s="78"/>
      <c r="B37" s="62"/>
      <c r="C37" s="62"/>
      <c r="D37" s="62"/>
      <c r="E37" s="62"/>
      <c r="F37" s="62"/>
      <c r="G37" s="62"/>
    </row>
    <row r="38" spans="1:7" ht="12.75">
      <c r="A38" s="428" t="s">
        <v>19</v>
      </c>
      <c r="B38" s="62"/>
      <c r="C38" s="62"/>
      <c r="D38" s="62"/>
      <c r="E38" s="62"/>
      <c r="F38" s="62"/>
      <c r="G38" s="62"/>
    </row>
    <row r="39" spans="1:7" ht="12.75">
      <c r="A39" s="78"/>
      <c r="B39" s="62"/>
      <c r="C39" s="62"/>
      <c r="D39" s="62"/>
      <c r="E39" s="62"/>
      <c r="F39" s="62"/>
      <c r="G39" s="62"/>
    </row>
    <row r="40" spans="1:7" ht="12.75">
      <c r="A40" s="43" t="s">
        <v>6</v>
      </c>
      <c r="B40" s="23"/>
      <c r="C40" s="23"/>
      <c r="D40" s="23"/>
      <c r="E40" s="23"/>
      <c r="F40" s="23"/>
      <c r="G40" s="62"/>
    </row>
    <row r="41" spans="1:7" ht="12.75">
      <c r="A41" s="43" t="s">
        <v>7</v>
      </c>
      <c r="B41" s="44" t="s">
        <v>8</v>
      </c>
      <c r="C41" s="44" t="s">
        <v>8</v>
      </c>
      <c r="D41" s="44" t="s">
        <v>8</v>
      </c>
      <c r="E41" s="44" t="s">
        <v>8</v>
      </c>
      <c r="F41" s="44" t="s">
        <v>8</v>
      </c>
      <c r="G41" s="44"/>
    </row>
    <row r="42" spans="1:7" ht="12.75">
      <c r="A42" s="394" t="s">
        <v>343</v>
      </c>
      <c r="B42" s="246"/>
      <c r="C42" s="246">
        <v>6352</v>
      </c>
      <c r="D42" s="256">
        <v>2147</v>
      </c>
      <c r="E42" s="256">
        <v>449</v>
      </c>
      <c r="F42" s="256">
        <v>16578</v>
      </c>
      <c r="G42" s="62"/>
    </row>
    <row r="43" spans="1:7" ht="12.75">
      <c r="A43" s="394" t="s">
        <v>344</v>
      </c>
      <c r="B43" s="246"/>
      <c r="C43" s="246">
        <v>112356</v>
      </c>
      <c r="D43" s="256">
        <v>33006</v>
      </c>
      <c r="E43" s="256">
        <v>6425</v>
      </c>
      <c r="F43" s="256">
        <v>290747</v>
      </c>
      <c r="G43" s="62"/>
    </row>
    <row r="44" spans="1:7" ht="12.75">
      <c r="A44" s="134"/>
      <c r="B44" s="23"/>
      <c r="C44" s="23"/>
      <c r="D44" s="138"/>
      <c r="E44" s="138"/>
      <c r="F44" s="138"/>
      <c r="G44" s="62"/>
    </row>
    <row r="45" spans="1:7" ht="12.75">
      <c r="A45" s="78" t="s">
        <v>111</v>
      </c>
      <c r="B45" s="44" t="s">
        <v>397</v>
      </c>
      <c r="C45" s="44" t="s">
        <v>397</v>
      </c>
      <c r="D45" s="58" t="s">
        <v>397</v>
      </c>
      <c r="E45" s="58" t="s">
        <v>397</v>
      </c>
      <c r="F45" s="58" t="s">
        <v>397</v>
      </c>
      <c r="G45" s="44"/>
    </row>
    <row r="46" spans="1:7" ht="12.75">
      <c r="A46" s="394" t="s">
        <v>425</v>
      </c>
      <c r="B46" s="246"/>
      <c r="C46" s="246">
        <v>1288</v>
      </c>
      <c r="D46" s="256">
        <v>200</v>
      </c>
      <c r="E46" s="256">
        <v>7</v>
      </c>
      <c r="F46" s="256">
        <v>8187</v>
      </c>
      <c r="G46" s="62"/>
    </row>
    <row r="47" spans="1:7" ht="12.75">
      <c r="A47" s="46"/>
      <c r="B47" s="23"/>
      <c r="C47" s="23"/>
      <c r="D47" s="138"/>
      <c r="E47" s="138"/>
      <c r="F47" s="138"/>
      <c r="G47" s="62"/>
    </row>
    <row r="48" spans="1:7" ht="12.75">
      <c r="A48" s="78" t="s">
        <v>6</v>
      </c>
      <c r="B48" s="23"/>
      <c r="C48" s="23"/>
      <c r="D48" s="138"/>
      <c r="E48" s="138"/>
      <c r="F48" s="138"/>
      <c r="G48" s="62"/>
    </row>
    <row r="49" spans="1:7" ht="12.75">
      <c r="A49" s="78" t="s">
        <v>10</v>
      </c>
      <c r="B49" s="44" t="s">
        <v>11</v>
      </c>
      <c r="C49" s="44" t="s">
        <v>11</v>
      </c>
      <c r="D49" s="58" t="s">
        <v>11</v>
      </c>
      <c r="E49" s="58" t="s">
        <v>11</v>
      </c>
      <c r="F49" s="58" t="s">
        <v>11</v>
      </c>
      <c r="G49" s="44"/>
    </row>
    <row r="50" spans="1:7" ht="12.75">
      <c r="A50" s="394" t="s">
        <v>343</v>
      </c>
      <c r="B50" s="246"/>
      <c r="C50" s="246">
        <v>7716</v>
      </c>
      <c r="D50" s="256">
        <v>9247</v>
      </c>
      <c r="E50" s="256">
        <v>113</v>
      </c>
      <c r="F50" s="256">
        <v>46954</v>
      </c>
      <c r="G50" s="62"/>
    </row>
    <row r="51" spans="1:7" ht="12.75">
      <c r="A51" s="394" t="s">
        <v>344</v>
      </c>
      <c r="B51" s="246"/>
      <c r="C51" s="246">
        <v>223315</v>
      </c>
      <c r="D51" s="256">
        <v>254619</v>
      </c>
      <c r="E51" s="256">
        <v>1631</v>
      </c>
      <c r="F51" s="256">
        <v>820064</v>
      </c>
      <c r="G51" s="62"/>
    </row>
    <row r="52" spans="1:7" ht="12.75">
      <c r="A52" s="23"/>
      <c r="B52" s="23"/>
      <c r="C52" s="23"/>
      <c r="D52" s="23"/>
      <c r="E52" s="23"/>
      <c r="F52" s="23"/>
      <c r="G52" s="23"/>
    </row>
  </sheetData>
  <sheetProtection/>
  <mergeCells count="2">
    <mergeCell ref="A2:G2"/>
    <mergeCell ref="A1:G1"/>
  </mergeCells>
  <printOptions/>
  <pageMargins left="0.17" right="0.17" top="0.4" bottom="0.6" header="0.24" footer="0.24"/>
  <pageSetup fitToHeight="1" fitToWidth="1" horizontalDpi="600" verticalDpi="600" orientation="landscape" scale="83" r:id="rId1"/>
  <headerFooter scaleWithDoc="0" alignWithMargins="0">
    <oddFooter>&amp;L&amp;6&amp;A - Results by Program Yea&amp;8r&amp;R&amp;6printed &amp;D at &amp;T</oddFooter>
  </headerFooter>
</worksheet>
</file>

<file path=xl/worksheets/sheet21.xml><?xml version="1.0" encoding="utf-8"?>
<worksheet xmlns="http://schemas.openxmlformats.org/spreadsheetml/2006/main" xmlns:r="http://schemas.openxmlformats.org/officeDocument/2006/relationships">
  <sheetPr>
    <tabColor theme="6"/>
    <pageSetUpPr fitToPage="1"/>
  </sheetPr>
  <dimension ref="A1:V47"/>
  <sheetViews>
    <sheetView showGridLines="0" zoomScalePageLayoutView="0" workbookViewId="0" topLeftCell="A1">
      <selection activeCell="A1" sqref="A1:R1"/>
    </sheetView>
  </sheetViews>
  <sheetFormatPr defaultColWidth="10.7109375" defaultRowHeight="12.75"/>
  <cols>
    <col min="1" max="1" width="30.7109375" style="3" customWidth="1"/>
    <col min="2" max="2" width="10.8515625" style="6" bestFit="1" customWidth="1"/>
    <col min="3" max="3" width="11.140625" style="6" bestFit="1" customWidth="1"/>
    <col min="4" max="4" width="10.8515625" style="6" bestFit="1" customWidth="1"/>
    <col min="5" max="9" width="10.8515625" style="6" customWidth="1"/>
    <col min="10" max="10" width="13.7109375" style="6" bestFit="1" customWidth="1"/>
    <col min="11" max="16384" width="10.7109375" style="6" customWidth="1"/>
  </cols>
  <sheetData>
    <row r="1" spans="1:17" ht="12.75">
      <c r="A1" s="483" t="s">
        <v>393</v>
      </c>
      <c r="B1" s="483"/>
      <c r="C1" s="483"/>
      <c r="D1" s="483"/>
      <c r="E1" s="483"/>
      <c r="F1" s="483"/>
      <c r="G1" s="483"/>
      <c r="H1" s="483"/>
      <c r="I1" s="483"/>
      <c r="J1" s="483"/>
      <c r="K1" s="435"/>
      <c r="L1" s="435"/>
      <c r="M1" s="435"/>
      <c r="N1" s="435"/>
      <c r="O1" s="435"/>
      <c r="P1" s="435"/>
      <c r="Q1" s="435"/>
    </row>
    <row r="2" spans="1:10" ht="12.75">
      <c r="A2" s="483" t="s">
        <v>193</v>
      </c>
      <c r="B2" s="483"/>
      <c r="C2" s="483"/>
      <c r="D2" s="483"/>
      <c r="E2" s="483"/>
      <c r="F2" s="483"/>
      <c r="G2" s="483"/>
      <c r="H2" s="483"/>
      <c r="I2" s="483"/>
      <c r="J2" s="483"/>
    </row>
    <row r="3" spans="1:13" ht="12.75">
      <c r="A3" s="21"/>
      <c r="K3" s="3"/>
      <c r="L3" s="3"/>
      <c r="M3" s="3"/>
    </row>
    <row r="4" spans="1:13" ht="25.5">
      <c r="A4" s="30" t="s">
        <v>206</v>
      </c>
      <c r="B4" s="28">
        <v>2007</v>
      </c>
      <c r="C4" s="28">
        <v>2008</v>
      </c>
      <c r="D4" s="28">
        <v>2009</v>
      </c>
      <c r="E4" s="28">
        <v>2010</v>
      </c>
      <c r="F4" s="28">
        <v>2011</v>
      </c>
      <c r="G4" s="196" t="s">
        <v>346</v>
      </c>
      <c r="H4" s="196" t="s">
        <v>351</v>
      </c>
      <c r="I4" s="196" t="s">
        <v>440</v>
      </c>
      <c r="J4" s="196" t="str">
        <f>"Total "&amp;CHAR(10)&amp;B4&amp;" ~ "&amp;I4</f>
        <v>Total 
2007 ~ FY2015</v>
      </c>
      <c r="K4" s="3"/>
      <c r="L4" s="3"/>
      <c r="M4" s="3"/>
    </row>
    <row r="5" spans="1:13" ht="12.75">
      <c r="A5" s="18" t="s">
        <v>423</v>
      </c>
      <c r="B5" s="280">
        <f>842*1000</f>
        <v>842000</v>
      </c>
      <c r="C5" s="280">
        <f>1659*1000</f>
        <v>1659000</v>
      </c>
      <c r="D5" s="280"/>
      <c r="E5" s="280"/>
      <c r="F5" s="280"/>
      <c r="G5" s="299"/>
      <c r="H5" s="299"/>
      <c r="I5" s="299"/>
      <c r="J5" s="280">
        <f>SUM(B5:I5)</f>
        <v>2501000</v>
      </c>
      <c r="K5" s="3"/>
      <c r="L5" s="3"/>
      <c r="M5" s="3"/>
    </row>
    <row r="6" spans="1:13" ht="12.75">
      <c r="A6" s="21"/>
      <c r="B6" s="40"/>
      <c r="C6" s="40"/>
      <c r="D6" s="40"/>
      <c r="E6" s="40"/>
      <c r="F6" s="40"/>
      <c r="G6" s="63"/>
      <c r="H6" s="63"/>
      <c r="I6" s="63"/>
      <c r="J6" s="40"/>
      <c r="K6" s="3"/>
      <c r="L6" s="3"/>
      <c r="M6" s="3"/>
    </row>
    <row r="7" spans="1:13" ht="12.75">
      <c r="A7" s="30" t="s">
        <v>207</v>
      </c>
      <c r="B7" s="41"/>
      <c r="C7" s="41"/>
      <c r="D7" s="41"/>
      <c r="E7" s="41"/>
      <c r="F7" s="41"/>
      <c r="G7" s="192"/>
      <c r="H7" s="192"/>
      <c r="I7" s="192"/>
      <c r="J7" s="40"/>
      <c r="K7" s="3"/>
      <c r="L7" s="3"/>
      <c r="M7" s="3"/>
    </row>
    <row r="8" spans="1:10" s="3" customFormat="1" ht="12.75">
      <c r="A8" s="19" t="s">
        <v>20</v>
      </c>
      <c r="B8" s="280">
        <f>289*1000</f>
        <v>289000</v>
      </c>
      <c r="C8" s="280">
        <f>876*1000</f>
        <v>876000</v>
      </c>
      <c r="D8" s="280"/>
      <c r="E8" s="280"/>
      <c r="F8" s="280"/>
      <c r="G8" s="299"/>
      <c r="H8" s="299"/>
      <c r="I8" s="299"/>
      <c r="J8" s="280">
        <f>SUM(B8:I8)</f>
        <v>1165000</v>
      </c>
    </row>
    <row r="9" spans="1:10" s="3" customFormat="1" ht="12.75">
      <c r="A9" s="21"/>
      <c r="B9" s="40"/>
      <c r="C9" s="40"/>
      <c r="D9" s="40"/>
      <c r="E9" s="40"/>
      <c r="F9" s="40"/>
      <c r="G9" s="40"/>
      <c r="H9" s="40"/>
      <c r="I9" s="40"/>
      <c r="J9" s="40"/>
    </row>
    <row r="10" spans="1:10" s="3" customFormat="1" ht="12.75">
      <c r="A10" s="43" t="s">
        <v>5</v>
      </c>
      <c r="B10" s="40"/>
      <c r="C10" s="40"/>
      <c r="D10" s="40"/>
      <c r="E10" s="40"/>
      <c r="F10" s="40"/>
      <c r="G10" s="40"/>
      <c r="H10" s="40"/>
      <c r="I10" s="40"/>
      <c r="J10" s="40"/>
    </row>
    <row r="11" spans="1:10" s="3" customFormat="1" ht="12.75">
      <c r="A11" s="19" t="s">
        <v>457</v>
      </c>
      <c r="B11" s="250"/>
      <c r="C11" s="252"/>
      <c r="D11" s="252"/>
      <c r="E11" s="252"/>
      <c r="F11" s="252"/>
      <c r="G11" s="252">
        <v>11496</v>
      </c>
      <c r="H11" s="252">
        <v>7621</v>
      </c>
      <c r="I11" s="252">
        <v>13536</v>
      </c>
      <c r="J11" s="250">
        <f>SUM(B11:I11)</f>
        <v>32653</v>
      </c>
    </row>
    <row r="12" spans="1:10" s="3" customFormat="1" ht="12.75">
      <c r="A12" s="19" t="s">
        <v>367</v>
      </c>
      <c r="B12" s="250">
        <v>2</v>
      </c>
      <c r="C12" s="252">
        <v>1023</v>
      </c>
      <c r="D12" s="252">
        <v>101</v>
      </c>
      <c r="E12" s="252">
        <v>589</v>
      </c>
      <c r="F12" s="252">
        <v>4356</v>
      </c>
      <c r="G12" s="252">
        <v>9056</v>
      </c>
      <c r="H12" s="252">
        <v>6253</v>
      </c>
      <c r="I12" s="252">
        <v>8213</v>
      </c>
      <c r="J12" s="250">
        <f>SUM(B12:I12)</f>
        <v>29593</v>
      </c>
    </row>
    <row r="13" spans="1:10" s="3" customFormat="1" ht="12.75">
      <c r="A13" s="39"/>
      <c r="B13" s="259"/>
      <c r="C13" s="311"/>
      <c r="D13" s="311"/>
      <c r="E13" s="311"/>
      <c r="F13" s="311"/>
      <c r="G13" s="311"/>
      <c r="H13" s="311"/>
      <c r="I13" s="311"/>
      <c r="J13" s="259"/>
    </row>
    <row r="14" spans="1:10" s="3" customFormat="1" ht="12.75">
      <c r="A14" s="21"/>
      <c r="B14" s="44"/>
      <c r="C14" s="44"/>
      <c r="D14" s="44"/>
      <c r="E14" s="44"/>
      <c r="F14" s="44"/>
      <c r="G14" s="44"/>
      <c r="H14" s="44"/>
      <c r="I14" s="44"/>
      <c r="J14" s="44"/>
    </row>
    <row r="15" spans="1:10" s="3" customFormat="1" ht="12.75">
      <c r="A15" s="428" t="s">
        <v>388</v>
      </c>
      <c r="B15" s="44"/>
      <c r="C15" s="44"/>
      <c r="D15" s="44"/>
      <c r="E15" s="44"/>
      <c r="F15" s="44"/>
      <c r="G15" s="44"/>
      <c r="H15" s="44"/>
      <c r="I15" s="44"/>
      <c r="J15" s="44"/>
    </row>
    <row r="16" spans="1:10" s="3" customFormat="1" ht="12.75">
      <c r="A16" s="21"/>
      <c r="B16" s="44"/>
      <c r="C16" s="44"/>
      <c r="D16" s="44"/>
      <c r="E16" s="44"/>
      <c r="F16" s="44"/>
      <c r="G16" s="44"/>
      <c r="H16" s="44"/>
      <c r="I16" s="44"/>
      <c r="J16" s="44"/>
    </row>
    <row r="17" spans="1:10" s="3" customFormat="1" ht="12.75">
      <c r="A17" s="150" t="s">
        <v>342</v>
      </c>
      <c r="B17" s="40"/>
      <c r="C17" s="40"/>
      <c r="D17" s="40"/>
      <c r="E17" s="40"/>
      <c r="F17" s="40"/>
      <c r="G17" s="40"/>
      <c r="H17" s="40"/>
      <c r="I17" s="40"/>
      <c r="J17" s="44"/>
    </row>
    <row r="18" spans="1:10" s="3" customFormat="1" ht="12.75">
      <c r="A18" s="439" t="s">
        <v>7</v>
      </c>
      <c r="B18" s="40" t="s">
        <v>8</v>
      </c>
      <c r="C18" s="45" t="s">
        <v>8</v>
      </c>
      <c r="D18" s="45" t="s">
        <v>8</v>
      </c>
      <c r="E18" s="45" t="s">
        <v>8</v>
      </c>
      <c r="F18" s="45" t="s">
        <v>8</v>
      </c>
      <c r="G18" s="45" t="s">
        <v>8</v>
      </c>
      <c r="H18" s="45" t="s">
        <v>8</v>
      </c>
      <c r="I18" s="45" t="s">
        <v>8</v>
      </c>
      <c r="J18" s="44" t="s">
        <v>8</v>
      </c>
    </row>
    <row r="19" spans="1:10" ht="12.75">
      <c r="A19" s="19" t="s">
        <v>343</v>
      </c>
      <c r="B19" s="250">
        <v>16</v>
      </c>
      <c r="C19" s="250">
        <v>10120</v>
      </c>
      <c r="D19" s="250">
        <v>41123</v>
      </c>
      <c r="E19" s="250">
        <v>174920</v>
      </c>
      <c r="F19" s="250">
        <v>353694</v>
      </c>
      <c r="G19" s="252">
        <v>634302</v>
      </c>
      <c r="H19" s="252">
        <v>246101</v>
      </c>
      <c r="I19" s="252">
        <v>217860</v>
      </c>
      <c r="J19" s="250">
        <f>SUM(B19:I19)</f>
        <v>1678136</v>
      </c>
    </row>
    <row r="20" spans="1:10" ht="12.75">
      <c r="A20" s="19" t="s">
        <v>344</v>
      </c>
      <c r="B20" s="250">
        <v>312</v>
      </c>
      <c r="C20" s="250">
        <v>202392</v>
      </c>
      <c r="D20" s="250">
        <v>822467</v>
      </c>
      <c r="E20" s="250">
        <v>3498394</v>
      </c>
      <c r="F20" s="250">
        <v>7073890</v>
      </c>
      <c r="G20" s="252">
        <v>12686040</v>
      </c>
      <c r="H20" s="252">
        <v>4922020</v>
      </c>
      <c r="I20" s="252">
        <v>4357200</v>
      </c>
      <c r="J20" s="250">
        <f>SUM(B20:I20)</f>
        <v>33562715</v>
      </c>
    </row>
    <row r="21" spans="1:10" ht="12.75">
      <c r="A21" s="21"/>
      <c r="B21" s="44"/>
      <c r="C21" s="44"/>
      <c r="D21" s="44"/>
      <c r="E21" s="44"/>
      <c r="F21" s="44"/>
      <c r="G21" s="58"/>
      <c r="H21" s="58"/>
      <c r="I21" s="58"/>
      <c r="J21" s="44"/>
    </row>
    <row r="22" spans="1:10" ht="12.75">
      <c r="A22" s="43" t="s">
        <v>439</v>
      </c>
      <c r="B22" s="44" t="s">
        <v>397</v>
      </c>
      <c r="C22" s="84" t="s">
        <v>397</v>
      </c>
      <c r="D22" s="84" t="s">
        <v>397</v>
      </c>
      <c r="E22" s="84" t="s">
        <v>397</v>
      </c>
      <c r="F22" s="84" t="s">
        <v>397</v>
      </c>
      <c r="G22" s="88" t="s">
        <v>397</v>
      </c>
      <c r="H22" s="88" t="s">
        <v>397</v>
      </c>
      <c r="I22" s="88" t="s">
        <v>397</v>
      </c>
      <c r="J22" s="44" t="s">
        <v>397</v>
      </c>
    </row>
    <row r="23" spans="1:10" ht="12.75">
      <c r="A23" s="19" t="s">
        <v>343</v>
      </c>
      <c r="B23" s="250">
        <v>13</v>
      </c>
      <c r="C23" s="250">
        <v>8433</v>
      </c>
      <c r="D23" s="250">
        <v>34269</v>
      </c>
      <c r="E23" s="250">
        <v>145766</v>
      </c>
      <c r="F23" s="250">
        <v>294745</v>
      </c>
      <c r="G23" s="252">
        <v>528585</v>
      </c>
      <c r="H23" s="252">
        <v>205085</v>
      </c>
      <c r="I23" s="252">
        <v>181550.28999999998</v>
      </c>
      <c r="J23" s="250">
        <f>SUM(B23:I23)</f>
        <v>1398446.29</v>
      </c>
    </row>
    <row r="24" spans="1:10" ht="12.75">
      <c r="A24" s="21"/>
      <c r="B24" s="259"/>
      <c r="C24" s="259"/>
      <c r="D24" s="259"/>
      <c r="E24" s="259"/>
      <c r="F24" s="259"/>
      <c r="G24" s="311"/>
      <c r="H24" s="311"/>
      <c r="I24" s="311"/>
      <c r="J24" s="259"/>
    </row>
    <row r="25" spans="1:10" ht="12.75">
      <c r="A25" s="40"/>
      <c r="B25" s="44"/>
      <c r="C25" s="44"/>
      <c r="D25" s="44"/>
      <c r="E25" s="44"/>
      <c r="F25" s="44"/>
      <c r="G25" s="58"/>
      <c r="H25" s="58"/>
      <c r="I25" s="58"/>
      <c r="J25" s="44"/>
    </row>
    <row r="26" spans="1:10" ht="12.75">
      <c r="A26" s="428" t="s">
        <v>19</v>
      </c>
      <c r="B26" s="44"/>
      <c r="C26" s="44"/>
      <c r="D26" s="44"/>
      <c r="E26" s="44"/>
      <c r="F26" s="44"/>
      <c r="G26" s="58"/>
      <c r="H26" s="58"/>
      <c r="I26" s="58"/>
      <c r="J26" s="44"/>
    </row>
    <row r="27" spans="2:10" ht="12.75">
      <c r="B27" s="44"/>
      <c r="C27" s="44"/>
      <c r="D27" s="44"/>
      <c r="E27" s="44"/>
      <c r="F27" s="44"/>
      <c r="G27" s="58"/>
      <c r="H27" s="58"/>
      <c r="I27" s="58"/>
      <c r="J27" s="44"/>
    </row>
    <row r="28" spans="1:9" ht="12.75">
      <c r="A28" s="150" t="s">
        <v>342</v>
      </c>
      <c r="G28" s="65"/>
      <c r="H28" s="65"/>
      <c r="I28" s="65"/>
    </row>
    <row r="29" spans="1:10" ht="12.75">
      <c r="A29" s="439" t="s">
        <v>7</v>
      </c>
      <c r="B29" s="40" t="s">
        <v>8</v>
      </c>
      <c r="C29" s="45" t="s">
        <v>8</v>
      </c>
      <c r="D29" s="45" t="s">
        <v>8</v>
      </c>
      <c r="E29" s="45" t="s">
        <v>8</v>
      </c>
      <c r="F29" s="45" t="s">
        <v>8</v>
      </c>
      <c r="G29" s="87" t="s">
        <v>8</v>
      </c>
      <c r="H29" s="87" t="s">
        <v>8</v>
      </c>
      <c r="I29" s="87" t="s">
        <v>8</v>
      </c>
      <c r="J29" s="40"/>
    </row>
    <row r="30" spans="1:10" ht="12.75">
      <c r="A30" s="15" t="s">
        <v>343</v>
      </c>
      <c r="B30" s="250"/>
      <c r="C30" s="250"/>
      <c r="D30" s="250">
        <v>65002</v>
      </c>
      <c r="E30" s="250">
        <v>212449</v>
      </c>
      <c r="F30" s="250">
        <v>694020</v>
      </c>
      <c r="G30" s="252">
        <v>695273</v>
      </c>
      <c r="H30" s="252">
        <v>413854</v>
      </c>
      <c r="I30" s="252">
        <v>481595</v>
      </c>
      <c r="J30" s="44"/>
    </row>
    <row r="31" spans="1:10" ht="12.75">
      <c r="A31" s="15" t="s">
        <v>344</v>
      </c>
      <c r="B31" s="250"/>
      <c r="C31" s="250"/>
      <c r="D31" s="250">
        <v>1300036</v>
      </c>
      <c r="E31" s="250">
        <v>4248971</v>
      </c>
      <c r="F31" s="250">
        <v>13880410</v>
      </c>
      <c r="G31" s="252">
        <v>13905460</v>
      </c>
      <c r="H31" s="252">
        <v>8277080</v>
      </c>
      <c r="I31" s="252">
        <v>9631900</v>
      </c>
      <c r="J31" s="44"/>
    </row>
    <row r="32" spans="1:10" ht="12.75">
      <c r="A32" s="21"/>
      <c r="B32" s="44"/>
      <c r="C32" s="44"/>
      <c r="D32" s="44"/>
      <c r="E32" s="44"/>
      <c r="F32" s="44"/>
      <c r="G32" s="58"/>
      <c r="H32" s="58"/>
      <c r="I32" s="58"/>
      <c r="J32" s="44"/>
    </row>
    <row r="33" spans="1:10" ht="12.75">
      <c r="A33" s="43" t="s">
        <v>439</v>
      </c>
      <c r="B33" s="44" t="s">
        <v>397</v>
      </c>
      <c r="C33" s="84" t="s">
        <v>397</v>
      </c>
      <c r="D33" s="84" t="s">
        <v>397</v>
      </c>
      <c r="E33" s="84" t="s">
        <v>397</v>
      </c>
      <c r="F33" s="84" t="s">
        <v>397</v>
      </c>
      <c r="G33" s="84" t="s">
        <v>397</v>
      </c>
      <c r="H33" s="84" t="s">
        <v>397</v>
      </c>
      <c r="I33" s="84" t="s">
        <v>397</v>
      </c>
      <c r="J33" s="44"/>
    </row>
    <row r="34" spans="1:22" ht="12.75">
      <c r="A34" s="15" t="s">
        <v>343</v>
      </c>
      <c r="B34" s="250"/>
      <c r="C34" s="250"/>
      <c r="D34" s="250">
        <v>54168</v>
      </c>
      <c r="E34" s="250">
        <v>177040</v>
      </c>
      <c r="F34" s="250">
        <v>578350</v>
      </c>
      <c r="G34" s="252">
        <v>579394</v>
      </c>
      <c r="H34" s="252">
        <v>344878</v>
      </c>
      <c r="I34" s="252">
        <v>401329.354</v>
      </c>
      <c r="J34" s="44"/>
      <c r="K34" s="10"/>
      <c r="L34" s="10"/>
      <c r="M34" s="10"/>
      <c r="N34" s="10"/>
      <c r="O34" s="9"/>
      <c r="P34" s="9"/>
      <c r="Q34" s="9"/>
      <c r="R34" s="9"/>
      <c r="S34" s="9"/>
      <c r="T34" s="9"/>
      <c r="U34" s="9"/>
      <c r="V34" s="9"/>
    </row>
    <row r="35" spans="1:22" ht="12.75">
      <c r="A35" s="2"/>
      <c r="B35" s="9"/>
      <c r="C35" s="9"/>
      <c r="D35" s="9"/>
      <c r="E35" s="9"/>
      <c r="F35" s="9"/>
      <c r="G35" s="9"/>
      <c r="H35" s="9"/>
      <c r="I35" s="9"/>
      <c r="J35" s="9"/>
      <c r="K35" s="9"/>
      <c r="L35" s="9"/>
      <c r="M35" s="9"/>
      <c r="N35" s="9"/>
      <c r="O35" s="9"/>
      <c r="P35" s="9"/>
      <c r="Q35" s="9"/>
      <c r="R35" s="9"/>
      <c r="S35" s="9"/>
      <c r="T35" s="9"/>
      <c r="U35" s="9"/>
      <c r="V35" s="9"/>
    </row>
    <row r="36" spans="1:14" ht="12.75">
      <c r="A36" s="7" t="s">
        <v>239</v>
      </c>
      <c r="B36" s="9"/>
      <c r="C36" s="9"/>
      <c r="D36" s="9"/>
      <c r="E36" s="9"/>
      <c r="F36" s="9"/>
      <c r="G36" s="9"/>
      <c r="H36" s="9"/>
      <c r="I36" s="9"/>
      <c r="J36" s="9"/>
      <c r="K36" s="9"/>
      <c r="L36" s="9"/>
      <c r="M36" s="9"/>
      <c r="N36" s="9"/>
    </row>
    <row r="37" spans="1:11" ht="12.75">
      <c r="A37" s="6"/>
      <c r="K37" s="8"/>
    </row>
    <row r="38" ht="12.75">
      <c r="A38" s="2"/>
    </row>
    <row r="39" spans="1:14" ht="12.75">
      <c r="A39" s="2"/>
      <c r="B39" s="10"/>
      <c r="C39" s="10"/>
      <c r="D39" s="10"/>
      <c r="E39" s="10"/>
      <c r="F39" s="10"/>
      <c r="G39" s="10"/>
      <c r="H39" s="10"/>
      <c r="I39" s="10"/>
      <c r="J39" s="10"/>
      <c r="K39" s="10"/>
      <c r="L39" s="10"/>
      <c r="M39" s="10"/>
      <c r="N39" s="10"/>
    </row>
    <row r="40" spans="1:14" ht="12.75">
      <c r="A40" s="2"/>
      <c r="B40" s="10"/>
      <c r="C40" s="10"/>
      <c r="D40" s="10"/>
      <c r="E40" s="10"/>
      <c r="F40" s="10"/>
      <c r="G40" s="10"/>
      <c r="H40" s="10"/>
      <c r="I40" s="10"/>
      <c r="J40" s="10"/>
      <c r="K40" s="10"/>
      <c r="L40" s="10"/>
      <c r="M40" s="10"/>
      <c r="N40" s="10"/>
    </row>
    <row r="41" spans="1:14" ht="12.75">
      <c r="A41" s="2"/>
      <c r="B41" s="10"/>
      <c r="C41" s="10"/>
      <c r="D41" s="10"/>
      <c r="E41" s="10"/>
      <c r="F41" s="10"/>
      <c r="G41" s="10"/>
      <c r="H41" s="10"/>
      <c r="I41" s="10"/>
      <c r="J41" s="10"/>
      <c r="K41" s="10"/>
      <c r="L41" s="10"/>
      <c r="M41" s="10"/>
      <c r="N41" s="10"/>
    </row>
    <row r="42" spans="1:14" ht="12.75">
      <c r="A42" s="2"/>
      <c r="B42" s="9"/>
      <c r="C42" s="9"/>
      <c r="D42" s="9"/>
      <c r="E42" s="9"/>
      <c r="F42" s="9"/>
      <c r="G42" s="9"/>
      <c r="H42" s="9"/>
      <c r="I42" s="9"/>
      <c r="J42" s="9"/>
      <c r="K42" s="9"/>
      <c r="L42" s="9"/>
      <c r="M42" s="9"/>
      <c r="N42" s="9"/>
    </row>
    <row r="43" ht="12.75">
      <c r="A43" s="2"/>
    </row>
    <row r="44" ht="12.75">
      <c r="A44" s="2"/>
    </row>
    <row r="45" spans="1:14" ht="12.75">
      <c r="A45" s="2"/>
      <c r="B45" s="11"/>
      <c r="C45" s="11"/>
      <c r="D45" s="11"/>
      <c r="E45" s="11"/>
      <c r="F45" s="11"/>
      <c r="G45" s="11"/>
      <c r="H45" s="11"/>
      <c r="I45" s="11"/>
      <c r="J45" s="11"/>
      <c r="K45" s="11"/>
      <c r="L45" s="11"/>
      <c r="M45" s="11"/>
      <c r="N45" s="11"/>
    </row>
    <row r="46" spans="1:14" ht="12.75">
      <c r="A46" s="2"/>
      <c r="B46" s="11"/>
      <c r="C46" s="11"/>
      <c r="D46" s="11"/>
      <c r="E46" s="11"/>
      <c r="F46" s="11"/>
      <c r="G46" s="11"/>
      <c r="H46" s="11"/>
      <c r="I46" s="11"/>
      <c r="J46" s="11"/>
      <c r="K46" s="11"/>
      <c r="L46" s="11"/>
      <c r="M46" s="11"/>
      <c r="N46" s="11"/>
    </row>
    <row r="47" spans="1:14" ht="12.75">
      <c r="A47" s="2"/>
      <c r="B47" s="10"/>
      <c r="C47" s="10"/>
      <c r="D47" s="10"/>
      <c r="E47" s="10"/>
      <c r="F47" s="10"/>
      <c r="G47" s="10"/>
      <c r="H47" s="10"/>
      <c r="I47" s="10"/>
      <c r="J47" s="10"/>
      <c r="K47" s="10"/>
      <c r="L47" s="10"/>
      <c r="M47" s="10"/>
      <c r="N47" s="10"/>
    </row>
  </sheetData>
  <sheetProtection/>
  <mergeCells count="2">
    <mergeCell ref="A2:J2"/>
    <mergeCell ref="A1:J1"/>
  </mergeCells>
  <printOptions/>
  <pageMargins left="0.17" right="0.17" top="0.4" bottom="0.6" header="0.24" footer="0.24"/>
  <pageSetup fitToHeight="1" fitToWidth="1" horizontalDpi="600" verticalDpi="600" orientation="landscape" r:id="rId1"/>
  <headerFooter scaleWithDoc="0" alignWithMargins="0">
    <oddFooter>&amp;L&amp;6&amp;A - Results by Program Year&amp;R&amp;6printed &amp;D at &amp;T</oddFooter>
  </headerFooter>
</worksheet>
</file>

<file path=xl/worksheets/sheet22.xml><?xml version="1.0" encoding="utf-8"?>
<worksheet xmlns="http://schemas.openxmlformats.org/spreadsheetml/2006/main" xmlns:r="http://schemas.openxmlformats.org/officeDocument/2006/relationships">
  <sheetPr>
    <tabColor theme="6"/>
    <pageSetUpPr fitToPage="1"/>
  </sheetPr>
  <dimension ref="A1:T47"/>
  <sheetViews>
    <sheetView showGridLines="0" zoomScalePageLayoutView="0" workbookViewId="0" topLeftCell="A1">
      <selection activeCell="A1" sqref="A1:R1"/>
    </sheetView>
  </sheetViews>
  <sheetFormatPr defaultColWidth="10.7109375" defaultRowHeight="12.75"/>
  <cols>
    <col min="1" max="1" width="30.7109375" style="3" customWidth="1"/>
    <col min="2" max="2" width="15.421875" style="6" bestFit="1" customWidth="1"/>
    <col min="3" max="7" width="15.421875" style="6" customWidth="1"/>
    <col min="8" max="8" width="15.421875" style="6" bestFit="1" customWidth="1"/>
    <col min="9" max="16384" width="10.7109375" style="6" customWidth="1"/>
  </cols>
  <sheetData>
    <row r="1" spans="1:9" ht="12.75">
      <c r="A1" s="483" t="s">
        <v>393</v>
      </c>
      <c r="B1" s="483"/>
      <c r="C1" s="483"/>
      <c r="D1" s="483"/>
      <c r="E1" s="483"/>
      <c r="F1" s="483"/>
      <c r="G1" s="483"/>
      <c r="H1" s="483"/>
      <c r="I1" s="435"/>
    </row>
    <row r="2" spans="1:8" ht="12.75">
      <c r="A2" s="483" t="s">
        <v>249</v>
      </c>
      <c r="B2" s="483"/>
      <c r="C2" s="483"/>
      <c r="D2" s="483"/>
      <c r="E2" s="483"/>
      <c r="F2" s="483"/>
      <c r="G2" s="483"/>
      <c r="H2" s="483"/>
    </row>
    <row r="3" spans="1:11" ht="12.75">
      <c r="A3" s="21"/>
      <c r="I3" s="3"/>
      <c r="J3" s="3"/>
      <c r="K3" s="3"/>
    </row>
    <row r="4" spans="1:11" ht="25.5">
      <c r="A4" s="30" t="s">
        <v>206</v>
      </c>
      <c r="B4" s="28">
        <v>2009</v>
      </c>
      <c r="C4" s="28">
        <v>2010</v>
      </c>
      <c r="D4" s="28">
        <v>2011</v>
      </c>
      <c r="E4" s="196" t="s">
        <v>346</v>
      </c>
      <c r="F4" s="196" t="s">
        <v>351</v>
      </c>
      <c r="G4" s="196" t="s">
        <v>440</v>
      </c>
      <c r="H4" s="196" t="str">
        <f>"Total "&amp;CHAR(10)&amp;B4&amp;" ~ "&amp;G4</f>
        <v>Total 
2009 ~ FY2015</v>
      </c>
      <c r="I4" s="3"/>
      <c r="J4" s="3"/>
      <c r="K4" s="3"/>
    </row>
    <row r="5" spans="1:11" ht="12.75">
      <c r="A5" s="18" t="s">
        <v>250</v>
      </c>
      <c r="B5" s="278">
        <v>10201605</v>
      </c>
      <c r="C5" s="278">
        <v>6201605</v>
      </c>
      <c r="D5" s="278">
        <v>11282831.73</v>
      </c>
      <c r="E5" s="279">
        <v>425386.4</v>
      </c>
      <c r="F5" s="279">
        <v>256320</v>
      </c>
      <c r="G5" s="279">
        <v>203720</v>
      </c>
      <c r="H5" s="278">
        <f>SUM(B5:G5)</f>
        <v>28571468.13</v>
      </c>
      <c r="I5" s="3"/>
      <c r="J5" s="3"/>
      <c r="K5" s="3"/>
    </row>
    <row r="6" spans="1:11" ht="12.75">
      <c r="A6" s="21"/>
      <c r="B6" s="120"/>
      <c r="C6" s="120"/>
      <c r="D6" s="120"/>
      <c r="E6" s="188"/>
      <c r="F6" s="188"/>
      <c r="G6" s="188"/>
      <c r="H6" s="120"/>
      <c r="I6" s="3"/>
      <c r="J6" s="3"/>
      <c r="K6" s="3"/>
    </row>
    <row r="7" spans="1:11" ht="12.75">
      <c r="A7" s="30" t="s">
        <v>207</v>
      </c>
      <c r="B7" s="120"/>
      <c r="C7" s="120"/>
      <c r="D7" s="120"/>
      <c r="E7" s="188"/>
      <c r="F7" s="188"/>
      <c r="G7" s="188"/>
      <c r="H7" s="120"/>
      <c r="I7" s="3"/>
      <c r="J7" s="3"/>
      <c r="K7" s="3"/>
    </row>
    <row r="8" spans="1:8" s="3" customFormat="1" ht="12.75">
      <c r="A8" s="15" t="s">
        <v>16</v>
      </c>
      <c r="B8" s="278">
        <v>0</v>
      </c>
      <c r="C8" s="278">
        <v>0</v>
      </c>
      <c r="D8" s="278">
        <v>0</v>
      </c>
      <c r="E8" s="279">
        <v>0</v>
      </c>
      <c r="F8" s="279">
        <v>52600</v>
      </c>
      <c r="G8" s="279">
        <v>203720</v>
      </c>
      <c r="H8" s="278">
        <f>SUM(B8:G8)</f>
        <v>256320</v>
      </c>
    </row>
    <row r="9" spans="1:8" s="3" customFormat="1" ht="12.75">
      <c r="A9" s="15" t="s">
        <v>17</v>
      </c>
      <c r="B9" s="278">
        <v>0</v>
      </c>
      <c r="C9" s="278">
        <v>3856320</v>
      </c>
      <c r="D9" s="278">
        <v>3856320</v>
      </c>
      <c r="E9" s="279">
        <v>256320</v>
      </c>
      <c r="F9" s="279">
        <v>203720</v>
      </c>
      <c r="G9" s="309"/>
      <c r="H9" s="295"/>
    </row>
    <row r="10" spans="1:8" s="3" customFormat="1" ht="12.75">
      <c r="A10" s="15" t="s">
        <v>370</v>
      </c>
      <c r="B10" s="278">
        <f>SUM(B8:B9)</f>
        <v>0</v>
      </c>
      <c r="C10" s="278">
        <f>SUM(C8:C9)</f>
        <v>3856320</v>
      </c>
      <c r="D10" s="278">
        <f>SUM(D8:D9)</f>
        <v>3856320</v>
      </c>
      <c r="E10" s="279">
        <f>SUM(E8:E9)</f>
        <v>256320</v>
      </c>
      <c r="F10" s="279">
        <f>SUM(F8:F9)</f>
        <v>256320</v>
      </c>
      <c r="G10" s="309"/>
      <c r="H10" s="295"/>
    </row>
    <row r="11" spans="1:8" s="3" customFormat="1" ht="12.75">
      <c r="A11" s="21"/>
      <c r="B11" s="40"/>
      <c r="C11" s="40"/>
      <c r="D11" s="40"/>
      <c r="E11" s="40"/>
      <c r="F11" s="40"/>
      <c r="G11" s="40"/>
      <c r="H11" s="40"/>
    </row>
    <row r="12" spans="1:8" s="3" customFormat="1" ht="12.75">
      <c r="A12" s="43" t="s">
        <v>5</v>
      </c>
      <c r="B12" s="40"/>
      <c r="C12" s="40"/>
      <c r="D12" s="40"/>
      <c r="E12" s="40"/>
      <c r="F12" s="40"/>
      <c r="G12" s="40"/>
      <c r="H12" s="40"/>
    </row>
    <row r="13" spans="1:8" s="3" customFormat="1" ht="12.75">
      <c r="A13" s="15" t="s">
        <v>20</v>
      </c>
      <c r="B13" s="250">
        <v>0</v>
      </c>
      <c r="C13" s="250">
        <v>0</v>
      </c>
      <c r="D13" s="250">
        <v>0</v>
      </c>
      <c r="E13" s="250">
        <v>0</v>
      </c>
      <c r="F13" s="250">
        <v>0</v>
      </c>
      <c r="G13" s="250">
        <v>0</v>
      </c>
      <c r="H13" s="251">
        <f>SUM(B13:G13)</f>
        <v>0</v>
      </c>
    </row>
    <row r="14" spans="1:9" s="3" customFormat="1" ht="12.75">
      <c r="A14" s="15" t="s">
        <v>19</v>
      </c>
      <c r="B14" s="250">
        <v>0</v>
      </c>
      <c r="C14" s="252">
        <v>0</v>
      </c>
      <c r="D14" s="252">
        <v>0</v>
      </c>
      <c r="E14" s="252">
        <v>0</v>
      </c>
      <c r="F14" s="252">
        <v>1</v>
      </c>
      <c r="G14" s="252">
        <v>1</v>
      </c>
      <c r="H14" s="270"/>
      <c r="I14" s="130"/>
    </row>
    <row r="15" spans="1:8" s="3" customFormat="1" ht="12.75">
      <c r="A15" s="15" t="s">
        <v>18</v>
      </c>
      <c r="B15" s="250">
        <f aca="true" t="shared" si="0" ref="B15:G15">SUM(B13:B14)</f>
        <v>0</v>
      </c>
      <c r="C15" s="250">
        <f t="shared" si="0"/>
        <v>0</v>
      </c>
      <c r="D15" s="250">
        <f t="shared" si="0"/>
        <v>0</v>
      </c>
      <c r="E15" s="250">
        <f t="shared" si="0"/>
        <v>0</v>
      </c>
      <c r="F15" s="250">
        <f t="shared" si="0"/>
        <v>1</v>
      </c>
      <c r="G15" s="250">
        <f t="shared" si="0"/>
        <v>1</v>
      </c>
      <c r="H15" s="270"/>
    </row>
    <row r="16" spans="1:8" s="3" customFormat="1" ht="12.75">
      <c r="A16" s="21"/>
      <c r="B16" s="44"/>
      <c r="C16" s="44"/>
      <c r="D16" s="44"/>
      <c r="E16" s="44"/>
      <c r="F16" s="44"/>
      <c r="G16" s="44"/>
      <c r="H16" s="44"/>
    </row>
    <row r="17" spans="1:8" s="3" customFormat="1" ht="12.75">
      <c r="A17" s="50" t="s">
        <v>247</v>
      </c>
      <c r="B17" s="40"/>
      <c r="C17" s="40"/>
      <c r="D17" s="40"/>
      <c r="E17" s="40"/>
      <c r="F17" s="40"/>
      <c r="G17" s="40"/>
      <c r="H17" s="40"/>
    </row>
    <row r="18" spans="1:8" s="3" customFormat="1" ht="12.75">
      <c r="A18" s="43" t="s">
        <v>61</v>
      </c>
      <c r="B18" s="45" t="s">
        <v>8</v>
      </c>
      <c r="C18" s="45" t="s">
        <v>8</v>
      </c>
      <c r="D18" s="45" t="s">
        <v>8</v>
      </c>
      <c r="E18" s="45" t="s">
        <v>8</v>
      </c>
      <c r="F18" s="45" t="s">
        <v>8</v>
      </c>
      <c r="G18" s="45" t="s">
        <v>8</v>
      </c>
      <c r="H18" s="40" t="s">
        <v>8</v>
      </c>
    </row>
    <row r="19" spans="1:8" ht="12.75">
      <c r="A19" s="15" t="s">
        <v>177</v>
      </c>
      <c r="B19" s="250">
        <v>0</v>
      </c>
      <c r="C19" s="250">
        <v>0</v>
      </c>
      <c r="D19" s="250">
        <v>0</v>
      </c>
      <c r="E19" s="250">
        <v>0</v>
      </c>
      <c r="F19" s="250">
        <v>13924</v>
      </c>
      <c r="G19" s="250">
        <v>0</v>
      </c>
      <c r="H19" s="251">
        <f>SUM(B19:G19)</f>
        <v>13924</v>
      </c>
    </row>
    <row r="20" spans="1:8" ht="12.75">
      <c r="A20" s="15" t="s">
        <v>368</v>
      </c>
      <c r="B20" s="250">
        <v>0</v>
      </c>
      <c r="C20" s="250">
        <v>0</v>
      </c>
      <c r="D20" s="250">
        <v>0</v>
      </c>
      <c r="E20" s="250">
        <v>0</v>
      </c>
      <c r="F20" s="250">
        <v>278480</v>
      </c>
      <c r="G20" s="250">
        <v>0</v>
      </c>
      <c r="H20" s="251">
        <f>SUM(B20:G20)</f>
        <v>278480</v>
      </c>
    </row>
    <row r="21" spans="1:8" ht="12.75">
      <c r="A21" s="21"/>
      <c r="B21" s="44"/>
      <c r="C21" s="44"/>
      <c r="D21" s="44"/>
      <c r="E21" s="44"/>
      <c r="F21" s="44"/>
      <c r="G21" s="44"/>
      <c r="H21" s="44"/>
    </row>
    <row r="22" spans="1:8" ht="12.75">
      <c r="A22" s="43" t="s">
        <v>439</v>
      </c>
      <c r="B22" s="84" t="s">
        <v>9</v>
      </c>
      <c r="C22" s="84" t="s">
        <v>9</v>
      </c>
      <c r="D22" s="44" t="s">
        <v>9</v>
      </c>
      <c r="E22" s="44" t="s">
        <v>9</v>
      </c>
      <c r="F22" s="44" t="s">
        <v>9</v>
      </c>
      <c r="G22" s="44" t="s">
        <v>9</v>
      </c>
      <c r="H22" s="44" t="s">
        <v>9</v>
      </c>
    </row>
    <row r="23" spans="1:8" ht="12.75">
      <c r="A23" s="15" t="s">
        <v>369</v>
      </c>
      <c r="B23" s="250">
        <v>0</v>
      </c>
      <c r="C23" s="250">
        <v>0</v>
      </c>
      <c r="D23" s="250">
        <v>0</v>
      </c>
      <c r="E23" s="250">
        <v>0</v>
      </c>
      <c r="F23" s="250">
        <v>2000</v>
      </c>
      <c r="G23" s="250">
        <v>0</v>
      </c>
      <c r="H23" s="251">
        <f>SUM(B23:G23)</f>
        <v>2000</v>
      </c>
    </row>
    <row r="24" spans="1:8" ht="12.75">
      <c r="A24" s="40"/>
      <c r="B24" s="44"/>
      <c r="C24" s="44"/>
      <c r="D24" s="44"/>
      <c r="E24" s="44"/>
      <c r="F24" s="44"/>
      <c r="G24" s="44"/>
      <c r="H24" s="44"/>
    </row>
    <row r="26" ht="12.75">
      <c r="A26" s="61" t="s">
        <v>248</v>
      </c>
    </row>
    <row r="27" spans="1:8" ht="12.75">
      <c r="A27" s="43" t="s">
        <v>61</v>
      </c>
      <c r="B27" s="45" t="s">
        <v>8</v>
      </c>
      <c r="C27" s="45" t="s">
        <v>8</v>
      </c>
      <c r="D27" s="45" t="s">
        <v>8</v>
      </c>
      <c r="E27" s="45" t="s">
        <v>8</v>
      </c>
      <c r="F27" s="45" t="s">
        <v>8</v>
      </c>
      <c r="G27" s="45" t="s">
        <v>8</v>
      </c>
      <c r="H27" s="40"/>
    </row>
    <row r="28" spans="1:14" ht="12.75">
      <c r="A28" s="15" t="s">
        <v>177</v>
      </c>
      <c r="B28" s="250">
        <v>0</v>
      </c>
      <c r="C28" s="250">
        <v>34156</v>
      </c>
      <c r="D28" s="250">
        <v>23926</v>
      </c>
      <c r="E28" s="252">
        <v>13924</v>
      </c>
      <c r="F28" s="252">
        <v>0</v>
      </c>
      <c r="G28" s="252">
        <v>0</v>
      </c>
      <c r="H28" s="84"/>
      <c r="I28" s="65"/>
      <c r="J28" s="65"/>
      <c r="K28" s="65"/>
      <c r="L28" s="65"/>
      <c r="M28" s="65"/>
      <c r="N28" s="65"/>
    </row>
    <row r="29" spans="1:14" ht="12.75">
      <c r="A29" s="15" t="s">
        <v>368</v>
      </c>
      <c r="B29" s="250">
        <v>0</v>
      </c>
      <c r="C29" s="250">
        <v>740720</v>
      </c>
      <c r="D29" s="250">
        <v>528530</v>
      </c>
      <c r="E29" s="252">
        <v>278480</v>
      </c>
      <c r="F29" s="252">
        <v>0</v>
      </c>
      <c r="G29" s="252">
        <v>0</v>
      </c>
      <c r="H29" s="84"/>
      <c r="I29" s="65"/>
      <c r="J29" s="65"/>
      <c r="K29" s="65"/>
      <c r="L29" s="65"/>
      <c r="M29" s="65"/>
      <c r="N29" s="65"/>
    </row>
    <row r="30" spans="1:14" ht="12.75">
      <c r="A30" s="21"/>
      <c r="B30" s="44"/>
      <c r="C30" s="44"/>
      <c r="D30" s="44"/>
      <c r="E30" s="58"/>
      <c r="F30" s="58"/>
      <c r="G30" s="58"/>
      <c r="H30" s="44"/>
      <c r="I30" s="159"/>
      <c r="J30" s="65"/>
      <c r="K30" s="65"/>
      <c r="L30" s="65"/>
      <c r="M30" s="65"/>
      <c r="N30" s="65"/>
    </row>
    <row r="31" spans="1:14" ht="12.75">
      <c r="A31" s="43" t="s">
        <v>439</v>
      </c>
      <c r="B31" s="84" t="s">
        <v>9</v>
      </c>
      <c r="C31" s="84" t="s">
        <v>9</v>
      </c>
      <c r="D31" s="44" t="s">
        <v>9</v>
      </c>
      <c r="E31" s="58" t="s">
        <v>9</v>
      </c>
      <c r="F31" s="58" t="s">
        <v>9</v>
      </c>
      <c r="G31" s="58" t="s">
        <v>9</v>
      </c>
      <c r="H31" s="44"/>
      <c r="I31" s="135"/>
      <c r="J31" s="65"/>
      <c r="K31" s="65"/>
      <c r="L31" s="65"/>
      <c r="M31" s="65"/>
      <c r="N31" s="65"/>
    </row>
    <row r="32" spans="1:20" ht="12.75">
      <c r="A32" s="15" t="s">
        <v>369</v>
      </c>
      <c r="B32" s="250">
        <v>0</v>
      </c>
      <c r="C32" s="250">
        <v>8000</v>
      </c>
      <c r="D32" s="250">
        <v>6500</v>
      </c>
      <c r="E32" s="252">
        <v>2000</v>
      </c>
      <c r="F32" s="252">
        <v>0</v>
      </c>
      <c r="G32" s="252">
        <v>0</v>
      </c>
      <c r="H32" s="84"/>
      <c r="I32" s="64"/>
      <c r="J32" s="64"/>
      <c r="K32" s="64"/>
      <c r="L32" s="64"/>
      <c r="M32" s="142"/>
      <c r="N32" s="142"/>
      <c r="O32" s="9"/>
      <c r="P32" s="9"/>
      <c r="Q32" s="9"/>
      <c r="R32" s="9"/>
      <c r="S32" s="9"/>
      <c r="T32" s="9"/>
    </row>
    <row r="33" spans="1:20" ht="12.75">
      <c r="A33" s="2"/>
      <c r="B33" s="10"/>
      <c r="D33" s="10"/>
      <c r="E33" s="10"/>
      <c r="F33" s="10"/>
      <c r="G33" s="10"/>
      <c r="H33" s="10"/>
      <c r="I33" s="10"/>
      <c r="J33" s="10"/>
      <c r="K33" s="10"/>
      <c r="L33" s="10"/>
      <c r="M33" s="9"/>
      <c r="N33" s="9"/>
      <c r="O33" s="9"/>
      <c r="P33" s="9"/>
      <c r="Q33" s="9"/>
      <c r="R33" s="9"/>
      <c r="S33" s="9"/>
      <c r="T33" s="9"/>
    </row>
    <row r="34" spans="1:20" ht="12.75">
      <c r="A34" s="2"/>
      <c r="B34" s="10"/>
      <c r="C34" s="10"/>
      <c r="D34" s="10"/>
      <c r="E34" s="10"/>
      <c r="F34" s="10"/>
      <c r="G34" s="10"/>
      <c r="H34" s="10"/>
      <c r="I34" s="10"/>
      <c r="J34" s="10"/>
      <c r="K34" s="10"/>
      <c r="L34" s="10"/>
      <c r="M34" s="9"/>
      <c r="N34" s="9"/>
      <c r="O34" s="9"/>
      <c r="P34" s="9"/>
      <c r="Q34" s="9"/>
      <c r="R34" s="9"/>
      <c r="S34" s="9"/>
      <c r="T34" s="9"/>
    </row>
    <row r="35" spans="1:20" ht="12.75">
      <c r="A35" s="2"/>
      <c r="B35" s="9"/>
      <c r="C35" s="9"/>
      <c r="D35" s="9"/>
      <c r="E35" s="9"/>
      <c r="F35" s="9"/>
      <c r="G35" s="9"/>
      <c r="H35" s="9"/>
      <c r="I35" s="9"/>
      <c r="J35" s="9"/>
      <c r="K35" s="9"/>
      <c r="L35" s="9"/>
      <c r="M35" s="9"/>
      <c r="N35" s="9"/>
      <c r="O35" s="9"/>
      <c r="P35" s="9"/>
      <c r="Q35" s="9"/>
      <c r="R35" s="9"/>
      <c r="S35" s="9"/>
      <c r="T35" s="9"/>
    </row>
    <row r="36" spans="2:12" ht="12.75">
      <c r="B36" s="9"/>
      <c r="C36" s="9"/>
      <c r="D36" s="9"/>
      <c r="E36" s="9"/>
      <c r="F36" s="9"/>
      <c r="G36" s="9"/>
      <c r="H36" s="9"/>
      <c r="I36" s="9"/>
      <c r="J36" s="9"/>
      <c r="K36" s="9"/>
      <c r="L36" s="9"/>
    </row>
    <row r="37" spans="1:9" ht="12.75">
      <c r="A37" s="6"/>
      <c r="I37" s="8"/>
    </row>
    <row r="38" ht="12.75">
      <c r="A38" s="2"/>
    </row>
    <row r="39" spans="1:12" ht="12.75">
      <c r="A39" s="2"/>
      <c r="B39" s="10"/>
      <c r="C39" s="10"/>
      <c r="D39" s="10"/>
      <c r="E39" s="10"/>
      <c r="F39" s="10"/>
      <c r="G39" s="10"/>
      <c r="H39" s="10"/>
      <c r="I39" s="10"/>
      <c r="J39" s="10"/>
      <c r="K39" s="10"/>
      <c r="L39" s="10"/>
    </row>
    <row r="40" spans="1:12" ht="12.75">
      <c r="A40" s="2"/>
      <c r="B40" s="10"/>
      <c r="C40" s="10"/>
      <c r="D40" s="10"/>
      <c r="E40" s="10"/>
      <c r="F40" s="10"/>
      <c r="G40" s="10"/>
      <c r="H40" s="10"/>
      <c r="I40" s="10"/>
      <c r="J40" s="10"/>
      <c r="K40" s="10"/>
      <c r="L40" s="10"/>
    </row>
    <row r="41" spans="1:12" ht="12.75">
      <c r="A41" s="2"/>
      <c r="B41" s="10"/>
      <c r="C41" s="10"/>
      <c r="D41" s="10"/>
      <c r="E41" s="10"/>
      <c r="F41" s="10"/>
      <c r="G41" s="10"/>
      <c r="H41" s="10"/>
      <c r="I41" s="10"/>
      <c r="J41" s="10"/>
      <c r="K41" s="10"/>
      <c r="L41" s="10"/>
    </row>
    <row r="42" spans="1:12" ht="12.75">
      <c r="A42" s="2"/>
      <c r="B42" s="9"/>
      <c r="C42" s="9"/>
      <c r="D42" s="9"/>
      <c r="E42" s="9"/>
      <c r="F42" s="9"/>
      <c r="G42" s="9"/>
      <c r="H42" s="9"/>
      <c r="I42" s="9"/>
      <c r="J42" s="9"/>
      <c r="K42" s="9"/>
      <c r="L42" s="9"/>
    </row>
    <row r="43" ht="12.75">
      <c r="A43" s="2"/>
    </row>
    <row r="44" ht="12.75">
      <c r="A44" s="2"/>
    </row>
    <row r="45" spans="1:12" ht="12.75">
      <c r="A45" s="2"/>
      <c r="B45" s="11"/>
      <c r="C45" s="11"/>
      <c r="D45" s="11"/>
      <c r="E45" s="11"/>
      <c r="F45" s="11"/>
      <c r="G45" s="11"/>
      <c r="H45" s="11"/>
      <c r="I45" s="11"/>
      <c r="J45" s="11"/>
      <c r="K45" s="11"/>
      <c r="L45" s="11"/>
    </row>
    <row r="46" spans="1:12" ht="12.75">
      <c r="A46" s="2"/>
      <c r="B46" s="11"/>
      <c r="C46" s="11"/>
      <c r="D46" s="11"/>
      <c r="E46" s="11"/>
      <c r="F46" s="11"/>
      <c r="G46" s="11"/>
      <c r="H46" s="11"/>
      <c r="I46" s="11"/>
      <c r="J46" s="11"/>
      <c r="K46" s="11"/>
      <c r="L46" s="11"/>
    </row>
    <row r="47" spans="1:12" ht="12.75">
      <c r="A47" s="2"/>
      <c r="B47" s="10"/>
      <c r="C47" s="10"/>
      <c r="D47" s="10"/>
      <c r="E47" s="10"/>
      <c r="F47" s="10"/>
      <c r="G47" s="10"/>
      <c r="H47" s="10"/>
      <c r="I47" s="10"/>
      <c r="J47" s="10"/>
      <c r="K47" s="10"/>
      <c r="L47" s="10"/>
    </row>
  </sheetData>
  <sheetProtection/>
  <mergeCells count="2">
    <mergeCell ref="A2:H2"/>
    <mergeCell ref="A1:H1"/>
  </mergeCells>
  <printOptions/>
  <pageMargins left="0.17" right="0.17" top="0.4" bottom="0.6" header="0.24" footer="0.24"/>
  <pageSetup fitToHeight="0" fitToWidth="1" horizontalDpi="600" verticalDpi="600" orientation="landscape" scale="99" r:id="rId1"/>
  <headerFooter scaleWithDoc="0" alignWithMargins="0">
    <oddFooter>&amp;L&amp;6&amp;A - Results by Program Year&amp;R&amp;6printed &amp;D at &amp;T</oddFooter>
  </headerFooter>
</worksheet>
</file>

<file path=xl/worksheets/sheet23.xml><?xml version="1.0" encoding="utf-8"?>
<worksheet xmlns="http://schemas.openxmlformats.org/spreadsheetml/2006/main" xmlns:r="http://schemas.openxmlformats.org/officeDocument/2006/relationships">
  <sheetPr>
    <tabColor theme="6"/>
  </sheetPr>
  <dimension ref="A1:T57"/>
  <sheetViews>
    <sheetView showGridLines="0" zoomScalePageLayoutView="0" workbookViewId="0" topLeftCell="A1">
      <selection activeCell="A1" sqref="A1:R1"/>
    </sheetView>
  </sheetViews>
  <sheetFormatPr defaultColWidth="10.7109375" defaultRowHeight="12.75"/>
  <cols>
    <col min="1" max="1" width="29.140625" style="3" bestFit="1" customWidth="1"/>
    <col min="2" max="2" width="15.421875" style="6" bestFit="1" customWidth="1"/>
    <col min="3" max="7" width="15.421875" style="6" customWidth="1"/>
    <col min="8" max="8" width="15.421875" style="6" bestFit="1" customWidth="1"/>
    <col min="9" max="16384" width="10.7109375" style="6" customWidth="1"/>
  </cols>
  <sheetData>
    <row r="1" spans="1:10" ht="12.75">
      <c r="A1" s="483" t="s">
        <v>393</v>
      </c>
      <c r="B1" s="483"/>
      <c r="C1" s="483"/>
      <c r="D1" s="483"/>
      <c r="E1" s="483"/>
      <c r="F1" s="483"/>
      <c r="G1" s="483"/>
      <c r="H1" s="483"/>
      <c r="I1" s="435"/>
      <c r="J1" s="435"/>
    </row>
    <row r="2" spans="1:8" ht="12.75">
      <c r="A2" s="483" t="s">
        <v>197</v>
      </c>
      <c r="B2" s="483"/>
      <c r="C2" s="483"/>
      <c r="D2" s="483"/>
      <c r="E2" s="483"/>
      <c r="F2" s="483"/>
      <c r="G2" s="483"/>
      <c r="H2" s="483"/>
    </row>
    <row r="3" spans="1:11" ht="12.75">
      <c r="A3" s="21"/>
      <c r="I3" s="3"/>
      <c r="J3" s="3"/>
      <c r="K3" s="3"/>
    </row>
    <row r="4" spans="1:11" ht="25.5">
      <c r="A4" s="30" t="s">
        <v>206</v>
      </c>
      <c r="B4" s="28">
        <v>2009</v>
      </c>
      <c r="C4" s="28">
        <v>2010</v>
      </c>
      <c r="D4" s="28">
        <v>2011</v>
      </c>
      <c r="E4" s="196" t="s">
        <v>346</v>
      </c>
      <c r="F4" s="196" t="s">
        <v>351</v>
      </c>
      <c r="G4" s="196" t="s">
        <v>440</v>
      </c>
      <c r="H4" s="196" t="str">
        <f>"Total "&amp;CHAR(10)&amp;B4&amp;" ~ "&amp;G4</f>
        <v>Total 
2009 ~ FY2015</v>
      </c>
      <c r="I4" s="3"/>
      <c r="J4" s="3"/>
      <c r="K4" s="3"/>
    </row>
    <row r="5" spans="1:11" ht="12.75">
      <c r="A5" s="18" t="s">
        <v>201</v>
      </c>
      <c r="B5" s="278">
        <v>54070980.4</v>
      </c>
      <c r="C5" s="278">
        <v>66771767.89</v>
      </c>
      <c r="D5" s="278">
        <v>41612455.1</v>
      </c>
      <c r="E5" s="279">
        <v>19074184.4</v>
      </c>
      <c r="F5" s="279">
        <v>19487818.3</v>
      </c>
      <c r="G5" s="279">
        <v>17522245.87</v>
      </c>
      <c r="H5" s="278">
        <f>SUM(B5:G5)</f>
        <v>218539451.96</v>
      </c>
      <c r="I5" s="3"/>
      <c r="J5" s="3"/>
      <c r="K5" s="3"/>
    </row>
    <row r="6" spans="1:11" ht="12.75">
      <c r="A6" s="21"/>
      <c r="B6" s="120"/>
      <c r="C6" s="120"/>
      <c r="D6" s="120"/>
      <c r="E6" s="188"/>
      <c r="F6" s="188"/>
      <c r="G6" s="188"/>
      <c r="H6" s="120"/>
      <c r="I6" s="3"/>
      <c r="J6" s="3"/>
      <c r="K6" s="3"/>
    </row>
    <row r="7" spans="1:11" ht="12.75">
      <c r="A7" s="30" t="s">
        <v>207</v>
      </c>
      <c r="B7" s="120"/>
      <c r="C7" s="120"/>
      <c r="D7" s="120"/>
      <c r="E7" s="188"/>
      <c r="F7" s="188"/>
      <c r="G7" s="188"/>
      <c r="H7" s="120"/>
      <c r="I7" s="3"/>
      <c r="J7" s="3"/>
      <c r="K7" s="3"/>
    </row>
    <row r="8" spans="1:8" s="3" customFormat="1" ht="12.75">
      <c r="A8" s="225" t="s">
        <v>27</v>
      </c>
      <c r="B8" s="278">
        <v>8813207.72</v>
      </c>
      <c r="C8" s="278">
        <v>27829023.33</v>
      </c>
      <c r="D8" s="278">
        <v>21336854.39</v>
      </c>
      <c r="E8" s="279">
        <v>6999160.28</v>
      </c>
      <c r="F8" s="279">
        <v>4040922.55</v>
      </c>
      <c r="G8" s="279">
        <v>4495823.02</v>
      </c>
      <c r="H8" s="278">
        <f>SUM(B8:G8)</f>
        <v>73514991.28999999</v>
      </c>
    </row>
    <row r="9" spans="1:8" s="3" customFormat="1" ht="12.75">
      <c r="A9" s="225" t="s">
        <v>17</v>
      </c>
      <c r="B9" s="278">
        <v>28631294</v>
      </c>
      <c r="C9" s="278">
        <v>27845676.43</v>
      </c>
      <c r="D9" s="278">
        <v>5152540.5</v>
      </c>
      <c r="E9" s="279">
        <v>7788112.3</v>
      </c>
      <c r="F9" s="279">
        <v>7505000</v>
      </c>
      <c r="G9" s="279">
        <v>7233804</v>
      </c>
      <c r="H9" s="295"/>
    </row>
    <row r="10" spans="1:8" s="3" customFormat="1" ht="12.75">
      <c r="A10" s="16" t="s">
        <v>1</v>
      </c>
      <c r="B10" s="281">
        <f aca="true" t="shared" si="0" ref="B10:G10">SUM(B8:B9)</f>
        <v>37444501.72</v>
      </c>
      <c r="C10" s="281">
        <f t="shared" si="0"/>
        <v>55674699.76</v>
      </c>
      <c r="D10" s="281">
        <f t="shared" si="0"/>
        <v>26489394.89</v>
      </c>
      <c r="E10" s="281">
        <f t="shared" si="0"/>
        <v>14787272.58</v>
      </c>
      <c r="F10" s="281">
        <f t="shared" si="0"/>
        <v>11545922.55</v>
      </c>
      <c r="G10" s="281">
        <f t="shared" si="0"/>
        <v>11729627.02</v>
      </c>
      <c r="H10" s="295"/>
    </row>
    <row r="11" spans="1:8" s="3" customFormat="1" ht="12.75">
      <c r="A11" s="21"/>
      <c r="B11" s="40"/>
      <c r="C11" s="40"/>
      <c r="D11" s="40"/>
      <c r="E11" s="40"/>
      <c r="F11" s="40"/>
      <c r="G11" s="40"/>
      <c r="H11" s="40"/>
    </row>
    <row r="12" spans="1:8" s="3" customFormat="1" ht="12.75">
      <c r="A12" s="43" t="s">
        <v>5</v>
      </c>
      <c r="B12" s="40"/>
      <c r="C12" s="40"/>
      <c r="D12" s="40"/>
      <c r="E12" s="40"/>
      <c r="F12" s="40"/>
      <c r="G12" s="40"/>
      <c r="H12" s="40"/>
    </row>
    <row r="13" spans="1:10" s="3" customFormat="1" ht="12.75">
      <c r="A13" s="225" t="s">
        <v>20</v>
      </c>
      <c r="B13" s="250">
        <v>263</v>
      </c>
      <c r="C13" s="250">
        <v>1506</v>
      </c>
      <c r="D13" s="252">
        <v>1703</v>
      </c>
      <c r="E13" s="252">
        <v>349</v>
      </c>
      <c r="F13" s="252">
        <v>7</v>
      </c>
      <c r="G13" s="252">
        <v>0</v>
      </c>
      <c r="H13" s="253">
        <f>SUM(B13:G13)</f>
        <v>3828</v>
      </c>
      <c r="I13" s="141"/>
      <c r="J13" s="141"/>
    </row>
    <row r="14" spans="1:10" s="3" customFormat="1" ht="12.75">
      <c r="A14" s="225" t="s">
        <v>19</v>
      </c>
      <c r="B14" s="250">
        <v>1710</v>
      </c>
      <c r="C14" s="252">
        <v>2394</v>
      </c>
      <c r="D14" s="252"/>
      <c r="E14" s="252">
        <v>36</v>
      </c>
      <c r="F14" s="252">
        <v>0</v>
      </c>
      <c r="G14" s="252">
        <v>0</v>
      </c>
      <c r="H14" s="301"/>
      <c r="I14" s="130"/>
      <c r="J14" s="141"/>
    </row>
    <row r="15" spans="1:10" s="3" customFormat="1" ht="12.75">
      <c r="A15" s="16" t="s">
        <v>1</v>
      </c>
      <c r="B15" s="263">
        <f aca="true" t="shared" si="1" ref="B15:G15">SUM(B13:B14)</f>
        <v>1973</v>
      </c>
      <c r="C15" s="263">
        <f t="shared" si="1"/>
        <v>3900</v>
      </c>
      <c r="D15" s="254">
        <f t="shared" si="1"/>
        <v>1703</v>
      </c>
      <c r="E15" s="254">
        <f t="shared" si="1"/>
        <v>385</v>
      </c>
      <c r="F15" s="254">
        <f t="shared" si="1"/>
        <v>7</v>
      </c>
      <c r="G15" s="254">
        <f t="shared" si="1"/>
        <v>0</v>
      </c>
      <c r="H15" s="301"/>
      <c r="I15" s="130"/>
      <c r="J15" s="141"/>
    </row>
    <row r="16" spans="1:10" s="3" customFormat="1" ht="12.75">
      <c r="A16" s="21"/>
      <c r="B16" s="259"/>
      <c r="C16" s="259"/>
      <c r="D16" s="311"/>
      <c r="E16" s="311"/>
      <c r="F16" s="311"/>
      <c r="G16" s="311"/>
      <c r="H16" s="301"/>
      <c r="I16" s="130"/>
      <c r="J16" s="141"/>
    </row>
    <row r="17" spans="1:10" s="3" customFormat="1" ht="12.75">
      <c r="A17" s="21"/>
      <c r="B17" s="44"/>
      <c r="C17" s="44"/>
      <c r="D17" s="58"/>
      <c r="E17" s="58"/>
      <c r="F17" s="58"/>
      <c r="G17" s="58"/>
      <c r="H17" s="58"/>
      <c r="I17" s="141"/>
      <c r="J17" s="141"/>
    </row>
    <row r="18" spans="1:10" s="3" customFormat="1" ht="12.75">
      <c r="A18" s="428" t="s">
        <v>388</v>
      </c>
      <c r="B18" s="44"/>
      <c r="C18" s="44"/>
      <c r="D18" s="58"/>
      <c r="E18" s="58"/>
      <c r="F18" s="58"/>
      <c r="G18" s="58"/>
      <c r="H18" s="58"/>
      <c r="I18" s="141"/>
      <c r="J18" s="141"/>
    </row>
    <row r="19" spans="1:10" s="3" customFormat="1" ht="12.75">
      <c r="A19" s="21"/>
      <c r="B19" s="44"/>
      <c r="C19" s="44"/>
      <c r="D19" s="58"/>
      <c r="E19" s="58"/>
      <c r="F19" s="58"/>
      <c r="G19" s="58"/>
      <c r="H19" s="58"/>
      <c r="I19" s="141"/>
      <c r="J19" s="141"/>
    </row>
    <row r="20" spans="1:10" s="3" customFormat="1" ht="12.75">
      <c r="A20" s="150" t="s">
        <v>342</v>
      </c>
      <c r="B20" s="40"/>
      <c r="C20" s="40"/>
      <c r="D20" s="63"/>
      <c r="E20" s="63"/>
      <c r="F20" s="63"/>
      <c r="G20" s="63"/>
      <c r="H20" s="63"/>
      <c r="I20" s="141"/>
      <c r="J20" s="141"/>
    </row>
    <row r="21" spans="1:8" s="3" customFormat="1" ht="12.75">
      <c r="A21" s="439" t="s">
        <v>7</v>
      </c>
      <c r="B21" s="45" t="s">
        <v>8</v>
      </c>
      <c r="C21" s="45" t="s">
        <v>8</v>
      </c>
      <c r="D21" s="45" t="s">
        <v>8</v>
      </c>
      <c r="E21" s="45" t="s">
        <v>8</v>
      </c>
      <c r="F21" s="45" t="s">
        <v>8</v>
      </c>
      <c r="G21" s="45" t="s">
        <v>8</v>
      </c>
      <c r="H21" s="40" t="s">
        <v>8</v>
      </c>
    </row>
    <row r="22" spans="1:8" ht="12.75">
      <c r="A22" s="15" t="s">
        <v>343</v>
      </c>
      <c r="B22" s="250">
        <v>2578</v>
      </c>
      <c r="C22" s="250">
        <v>19353</v>
      </c>
      <c r="D22" s="250">
        <v>21411</v>
      </c>
      <c r="E22" s="252">
        <v>2702</v>
      </c>
      <c r="F22" s="252">
        <v>1635</v>
      </c>
      <c r="G22" s="252">
        <v>0</v>
      </c>
      <c r="H22" s="251">
        <f>SUM(B22:G22)</f>
        <v>47679</v>
      </c>
    </row>
    <row r="23" spans="1:8" ht="12.75">
      <c r="A23" s="15" t="s">
        <v>344</v>
      </c>
      <c r="B23" s="250">
        <v>51565</v>
      </c>
      <c r="C23" s="250">
        <v>387059</v>
      </c>
      <c r="D23" s="250">
        <v>428211</v>
      </c>
      <c r="E23" s="252">
        <v>54040</v>
      </c>
      <c r="F23" s="252">
        <v>32696</v>
      </c>
      <c r="G23" s="252">
        <v>0</v>
      </c>
      <c r="H23" s="251">
        <f>SUM(B23:G23)</f>
        <v>953571</v>
      </c>
    </row>
    <row r="24" spans="1:8" ht="12.75">
      <c r="A24" s="21"/>
      <c r="B24" s="44"/>
      <c r="C24" s="44"/>
      <c r="D24" s="44"/>
      <c r="E24" s="58"/>
      <c r="F24" s="58"/>
      <c r="G24" s="58"/>
      <c r="H24" s="44"/>
    </row>
    <row r="25" spans="1:8" ht="12.75">
      <c r="A25" s="43" t="s">
        <v>439</v>
      </c>
      <c r="B25" s="84" t="s">
        <v>397</v>
      </c>
      <c r="C25" s="84" t="s">
        <v>397</v>
      </c>
      <c r="D25" s="84" t="s">
        <v>397</v>
      </c>
      <c r="E25" s="88" t="s">
        <v>397</v>
      </c>
      <c r="F25" s="88" t="s">
        <v>397</v>
      </c>
      <c r="G25" s="88" t="s">
        <v>397</v>
      </c>
      <c r="H25" s="44" t="s">
        <v>397</v>
      </c>
    </row>
    <row r="26" spans="1:8" ht="12.75">
      <c r="A26" s="15" t="s">
        <v>343</v>
      </c>
      <c r="B26" s="250">
        <v>2149</v>
      </c>
      <c r="C26" s="250">
        <v>16127</v>
      </c>
      <c r="D26" s="250">
        <v>17842</v>
      </c>
      <c r="E26" s="252">
        <v>2251</v>
      </c>
      <c r="F26" s="252">
        <v>312</v>
      </c>
      <c r="G26" s="252">
        <v>0</v>
      </c>
      <c r="H26" s="251">
        <f>SUM(B26:G26)</f>
        <v>38681</v>
      </c>
    </row>
    <row r="27" spans="1:8" ht="12.75">
      <c r="A27" s="21"/>
      <c r="B27" s="259"/>
      <c r="C27" s="259"/>
      <c r="D27" s="259"/>
      <c r="E27" s="311"/>
      <c r="F27" s="311"/>
      <c r="G27" s="311"/>
      <c r="H27" s="270"/>
    </row>
    <row r="28" spans="1:8" ht="12.75">
      <c r="A28" s="43" t="s">
        <v>6</v>
      </c>
      <c r="B28" s="44"/>
      <c r="C28" s="44"/>
      <c r="D28" s="44"/>
      <c r="E28" s="58"/>
      <c r="F28" s="58"/>
      <c r="G28" s="58"/>
      <c r="H28" s="44"/>
    </row>
    <row r="29" spans="1:9" ht="12.75">
      <c r="A29" s="150" t="s">
        <v>10</v>
      </c>
      <c r="B29" s="88" t="s">
        <v>11</v>
      </c>
      <c r="C29" s="88" t="s">
        <v>11</v>
      </c>
      <c r="D29" s="88" t="s">
        <v>11</v>
      </c>
      <c r="E29" s="88" t="s">
        <v>11</v>
      </c>
      <c r="F29" s="88" t="s">
        <v>11</v>
      </c>
      <c r="G29" s="88" t="s">
        <v>11</v>
      </c>
      <c r="H29" s="58" t="s">
        <v>11</v>
      </c>
      <c r="I29" s="135"/>
    </row>
    <row r="30" spans="1:9" ht="12.75">
      <c r="A30" s="151" t="s">
        <v>343</v>
      </c>
      <c r="B30" s="252">
        <v>0</v>
      </c>
      <c r="C30" s="252">
        <v>0</v>
      </c>
      <c r="D30" s="252">
        <v>0</v>
      </c>
      <c r="E30" s="252">
        <v>0</v>
      </c>
      <c r="F30" s="252">
        <v>0</v>
      </c>
      <c r="G30" s="252">
        <v>0</v>
      </c>
      <c r="H30" s="253">
        <f>SUM(B30:G30)</f>
        <v>0</v>
      </c>
      <c r="I30" s="65"/>
    </row>
    <row r="31" spans="1:9" ht="12.75">
      <c r="A31" s="151" t="s">
        <v>344</v>
      </c>
      <c r="B31" s="252">
        <v>0</v>
      </c>
      <c r="C31" s="252">
        <v>0</v>
      </c>
      <c r="D31" s="252">
        <v>0</v>
      </c>
      <c r="E31" s="252">
        <v>0</v>
      </c>
      <c r="F31" s="252">
        <v>0</v>
      </c>
      <c r="G31" s="252">
        <v>0</v>
      </c>
      <c r="H31" s="253">
        <f>SUM(B31:G31)</f>
        <v>0</v>
      </c>
      <c r="I31" s="65"/>
    </row>
    <row r="32" spans="1:9" ht="12.75">
      <c r="A32" s="157"/>
      <c r="B32" s="311"/>
      <c r="C32" s="311"/>
      <c r="D32" s="311"/>
      <c r="E32" s="311"/>
      <c r="F32" s="311"/>
      <c r="G32" s="311"/>
      <c r="H32" s="301"/>
      <c r="I32" s="65"/>
    </row>
    <row r="33" spans="5:7" ht="12.75">
      <c r="E33" s="65"/>
      <c r="F33" s="65"/>
      <c r="G33" s="65"/>
    </row>
    <row r="34" spans="1:7" ht="12.75">
      <c r="A34" s="428" t="s">
        <v>19</v>
      </c>
      <c r="E34" s="65"/>
      <c r="F34" s="65"/>
      <c r="G34" s="65"/>
    </row>
    <row r="35" spans="5:7" ht="12.75">
      <c r="E35" s="65"/>
      <c r="F35" s="65"/>
      <c r="G35" s="65"/>
    </row>
    <row r="36" spans="1:7" ht="12.75">
      <c r="A36" s="150" t="s">
        <v>342</v>
      </c>
      <c r="E36" s="65"/>
      <c r="F36" s="65"/>
      <c r="G36" s="65"/>
    </row>
    <row r="37" spans="1:8" ht="12.75">
      <c r="A37" s="439" t="s">
        <v>7</v>
      </c>
      <c r="B37" s="45" t="s">
        <v>8</v>
      </c>
      <c r="C37" s="45" t="s">
        <v>8</v>
      </c>
      <c r="D37" s="45" t="s">
        <v>8</v>
      </c>
      <c r="E37" s="87" t="s">
        <v>8</v>
      </c>
      <c r="F37" s="87" t="s">
        <v>8</v>
      </c>
      <c r="G37" s="87" t="s">
        <v>8</v>
      </c>
      <c r="H37" s="40"/>
    </row>
    <row r="38" spans="1:8" ht="12.75">
      <c r="A38" s="15" t="s">
        <v>343</v>
      </c>
      <c r="B38" s="250">
        <v>25440</v>
      </c>
      <c r="C38" s="250">
        <v>33278</v>
      </c>
      <c r="D38" s="250">
        <v>7043</v>
      </c>
      <c r="E38" s="252">
        <v>24821</v>
      </c>
      <c r="F38" s="252">
        <v>24896</v>
      </c>
      <c r="G38" s="252">
        <v>17783</v>
      </c>
      <c r="H38" s="84"/>
    </row>
    <row r="39" spans="1:8" ht="12.75">
      <c r="A39" s="15" t="s">
        <v>344</v>
      </c>
      <c r="B39" s="250">
        <v>508800</v>
      </c>
      <c r="C39" s="250">
        <v>665554</v>
      </c>
      <c r="D39" s="250">
        <v>140862</v>
      </c>
      <c r="E39" s="252">
        <v>496418</v>
      </c>
      <c r="F39" s="252">
        <v>497920</v>
      </c>
      <c r="G39" s="252">
        <v>355660</v>
      </c>
      <c r="H39" s="84"/>
    </row>
    <row r="40" spans="1:8" ht="12.75">
      <c r="A40" s="21"/>
      <c r="B40" s="44"/>
      <c r="C40" s="44"/>
      <c r="D40" s="44"/>
      <c r="E40" s="58"/>
      <c r="F40" s="58"/>
      <c r="G40" s="58"/>
      <c r="H40" s="44"/>
    </row>
    <row r="41" spans="1:9" ht="12.75">
      <c r="A41" s="150" t="s">
        <v>439</v>
      </c>
      <c r="B41" s="88" t="s">
        <v>397</v>
      </c>
      <c r="C41" s="88" t="s">
        <v>397</v>
      </c>
      <c r="D41" s="88" t="s">
        <v>397</v>
      </c>
      <c r="E41" s="88" t="s">
        <v>397</v>
      </c>
      <c r="F41" s="88" t="s">
        <v>397</v>
      </c>
      <c r="G41" s="88" t="s">
        <v>397</v>
      </c>
      <c r="H41" s="58"/>
      <c r="I41" s="135"/>
    </row>
    <row r="42" spans="1:20" ht="12.75">
      <c r="A42" s="151" t="s">
        <v>343</v>
      </c>
      <c r="B42" s="252">
        <v>21200</v>
      </c>
      <c r="C42" s="252">
        <v>27731</v>
      </c>
      <c r="D42" s="252">
        <v>5869</v>
      </c>
      <c r="E42" s="252">
        <v>3652</v>
      </c>
      <c r="F42" s="252">
        <v>4060</v>
      </c>
      <c r="G42" s="252">
        <v>2900</v>
      </c>
      <c r="H42" s="88"/>
      <c r="I42" s="64"/>
      <c r="J42" s="10"/>
      <c r="K42" s="10"/>
      <c r="L42" s="10"/>
      <c r="M42" s="9"/>
      <c r="N42" s="9"/>
      <c r="O42" s="9"/>
      <c r="P42" s="9"/>
      <c r="Q42" s="9"/>
      <c r="R42" s="9"/>
      <c r="S42" s="9"/>
      <c r="T42" s="9"/>
    </row>
    <row r="43" spans="1:20" ht="12.75">
      <c r="A43" s="2"/>
      <c r="B43" s="10"/>
      <c r="C43" s="10"/>
      <c r="D43" s="10"/>
      <c r="E43" s="10"/>
      <c r="F43" s="10"/>
      <c r="G43" s="10"/>
      <c r="H43" s="10"/>
      <c r="I43" s="10"/>
      <c r="J43" s="10"/>
      <c r="K43" s="10"/>
      <c r="L43" s="10"/>
      <c r="M43" s="9"/>
      <c r="N43" s="9"/>
      <c r="O43" s="9"/>
      <c r="P43" s="9"/>
      <c r="Q43" s="9"/>
      <c r="R43" s="9"/>
      <c r="S43" s="9"/>
      <c r="T43" s="9"/>
    </row>
    <row r="44" spans="1:20" ht="12.75">
      <c r="A44" s="2"/>
      <c r="B44" s="10"/>
      <c r="C44" s="10"/>
      <c r="D44" s="10"/>
      <c r="E44" s="10"/>
      <c r="F44" s="10"/>
      <c r="G44" s="10"/>
      <c r="H44" s="10"/>
      <c r="I44" s="10"/>
      <c r="J44" s="10"/>
      <c r="K44" s="10"/>
      <c r="L44" s="10"/>
      <c r="M44" s="9"/>
      <c r="N44" s="9"/>
      <c r="O44" s="9"/>
      <c r="P44" s="9"/>
      <c r="Q44" s="9"/>
      <c r="R44" s="9"/>
      <c r="S44" s="9"/>
      <c r="T44" s="9"/>
    </row>
    <row r="45" spans="1:20" ht="12.75">
      <c r="A45" s="2"/>
      <c r="B45" s="9"/>
      <c r="C45" s="9"/>
      <c r="D45" s="9"/>
      <c r="E45" s="9"/>
      <c r="F45" s="9"/>
      <c r="G45" s="9"/>
      <c r="H45" s="9"/>
      <c r="I45" s="9"/>
      <c r="J45" s="9"/>
      <c r="K45" s="9"/>
      <c r="L45" s="9"/>
      <c r="M45" s="9"/>
      <c r="N45" s="9"/>
      <c r="O45" s="9"/>
      <c r="P45" s="9"/>
      <c r="Q45" s="9"/>
      <c r="R45" s="9"/>
      <c r="S45" s="9"/>
      <c r="T45" s="9"/>
    </row>
    <row r="46" spans="2:12" ht="12.75">
      <c r="B46" s="9"/>
      <c r="C46" s="9"/>
      <c r="D46" s="9"/>
      <c r="E46" s="9"/>
      <c r="F46" s="9"/>
      <c r="G46" s="9"/>
      <c r="H46" s="9"/>
      <c r="I46" s="9"/>
      <c r="J46" s="9"/>
      <c r="K46" s="9"/>
      <c r="L46" s="9"/>
    </row>
    <row r="47" spans="1:9" ht="12.75">
      <c r="A47" s="6"/>
      <c r="I47" s="8"/>
    </row>
    <row r="48" ht="12.75">
      <c r="A48" s="2"/>
    </row>
    <row r="49" spans="1:12" ht="12.75">
      <c r="A49" s="2"/>
      <c r="B49" s="10"/>
      <c r="C49" s="10"/>
      <c r="D49" s="10"/>
      <c r="E49" s="10"/>
      <c r="F49" s="10"/>
      <c r="G49" s="10"/>
      <c r="H49" s="10"/>
      <c r="I49" s="10"/>
      <c r="J49" s="10"/>
      <c r="K49" s="10"/>
      <c r="L49" s="10"/>
    </row>
    <row r="50" spans="1:12" ht="12.75">
      <c r="A50" s="2"/>
      <c r="B50" s="10"/>
      <c r="C50" s="10"/>
      <c r="D50" s="10"/>
      <c r="E50" s="10"/>
      <c r="F50" s="10"/>
      <c r="G50" s="10"/>
      <c r="H50" s="10"/>
      <c r="I50" s="10"/>
      <c r="J50" s="10"/>
      <c r="K50" s="10"/>
      <c r="L50" s="10"/>
    </row>
    <row r="51" spans="1:12" ht="12.75">
      <c r="A51" s="2"/>
      <c r="B51" s="10"/>
      <c r="C51" s="10"/>
      <c r="D51" s="10"/>
      <c r="E51" s="10"/>
      <c r="F51" s="10"/>
      <c r="G51" s="10"/>
      <c r="H51" s="10"/>
      <c r="I51" s="10"/>
      <c r="J51" s="10"/>
      <c r="K51" s="10"/>
      <c r="L51" s="10"/>
    </row>
    <row r="52" spans="1:12" ht="12.75">
      <c r="A52" s="2"/>
      <c r="B52" s="9"/>
      <c r="C52" s="9"/>
      <c r="D52" s="9"/>
      <c r="E52" s="9"/>
      <c r="F52" s="9"/>
      <c r="G52" s="9"/>
      <c r="H52" s="9"/>
      <c r="I52" s="9"/>
      <c r="J52" s="9"/>
      <c r="K52" s="9"/>
      <c r="L52" s="9"/>
    </row>
    <row r="53" ht="12.75">
      <c r="A53" s="2"/>
    </row>
    <row r="54" ht="12.75">
      <c r="A54" s="2"/>
    </row>
    <row r="55" spans="1:12" ht="12.75">
      <c r="A55" s="2"/>
      <c r="B55" s="11"/>
      <c r="C55" s="11"/>
      <c r="D55" s="11"/>
      <c r="E55" s="11"/>
      <c r="F55" s="11"/>
      <c r="G55" s="11"/>
      <c r="H55" s="11"/>
      <c r="I55" s="11"/>
      <c r="J55" s="11"/>
      <c r="K55" s="11"/>
      <c r="L55" s="11"/>
    </row>
    <row r="56" spans="1:12" ht="12.75">
      <c r="A56" s="2"/>
      <c r="B56" s="11"/>
      <c r="C56" s="11"/>
      <c r="D56" s="11"/>
      <c r="E56" s="11"/>
      <c r="F56" s="11"/>
      <c r="G56" s="11"/>
      <c r="H56" s="11"/>
      <c r="I56" s="11"/>
      <c r="J56" s="11"/>
      <c r="K56" s="11"/>
      <c r="L56" s="11"/>
    </row>
    <row r="57" spans="1:12" ht="12.75">
      <c r="A57" s="2"/>
      <c r="B57" s="10"/>
      <c r="C57" s="10"/>
      <c r="D57" s="10"/>
      <c r="E57" s="10"/>
      <c r="F57" s="10"/>
      <c r="G57" s="10"/>
      <c r="H57" s="10"/>
      <c r="I57" s="10"/>
      <c r="J57" s="10"/>
      <c r="K57" s="10"/>
      <c r="L57" s="10"/>
    </row>
  </sheetData>
  <sheetProtection/>
  <mergeCells count="2">
    <mergeCell ref="A2:H2"/>
    <mergeCell ref="A1:H1"/>
  </mergeCells>
  <printOptions/>
  <pageMargins left="0.17" right="0.17" top="0.4" bottom="0.6" header="0.24" footer="0.24"/>
  <pageSetup horizontalDpi="600" verticalDpi="600" orientation="landscape" r:id="rId1"/>
  <headerFooter scaleWithDoc="0" alignWithMargins="0">
    <oddFooter>&amp;L&amp;6&amp;A - Results by Program Year&amp;R&amp;6printed &amp;D at &amp;T</oddFooter>
  </headerFooter>
</worksheet>
</file>

<file path=xl/worksheets/sheet24.xml><?xml version="1.0" encoding="utf-8"?>
<worksheet xmlns="http://schemas.openxmlformats.org/spreadsheetml/2006/main" xmlns:r="http://schemas.openxmlformats.org/officeDocument/2006/relationships">
  <sheetPr>
    <tabColor theme="6"/>
    <outlinePr summaryRight="0"/>
  </sheetPr>
  <dimension ref="A1:O72"/>
  <sheetViews>
    <sheetView showGridLines="0" zoomScalePageLayoutView="0" workbookViewId="0" topLeftCell="A1">
      <selection activeCell="A1" sqref="A1:R1"/>
    </sheetView>
  </sheetViews>
  <sheetFormatPr defaultColWidth="9.140625" defaultRowHeight="12.75" outlineLevelCol="1"/>
  <cols>
    <col min="1" max="1" width="33.421875" style="0" customWidth="1"/>
    <col min="2" max="2" width="12.57421875" style="0" bestFit="1" customWidth="1"/>
    <col min="3" max="3" width="12.57421875" style="0" bestFit="1" customWidth="1" collapsed="1"/>
    <col min="4" max="5" width="13.00390625" style="0" hidden="1" customWidth="1" outlineLevel="1"/>
    <col min="6" max="8" width="8.8515625" style="0" hidden="1" customWidth="1" outlineLevel="1"/>
    <col min="9" max="10" width="14.421875" style="0" hidden="1" customWidth="1" outlineLevel="1"/>
    <col min="11" max="11" width="14.421875" style="0" bestFit="1" customWidth="1"/>
    <col min="12" max="12" width="13.00390625" style="0" customWidth="1"/>
    <col min="13" max="14" width="14.421875" style="0" bestFit="1" customWidth="1"/>
  </cols>
  <sheetData>
    <row r="1" spans="1:14" ht="12.75">
      <c r="A1" s="483" t="s">
        <v>393</v>
      </c>
      <c r="B1" s="483"/>
      <c r="C1" s="483"/>
      <c r="D1" s="483"/>
      <c r="E1" s="483"/>
      <c r="F1" s="483"/>
      <c r="G1" s="483"/>
      <c r="H1" s="483"/>
      <c r="I1" s="483"/>
      <c r="J1" s="483"/>
      <c r="K1" s="483"/>
      <c r="L1" s="483"/>
      <c r="M1" s="483"/>
      <c r="N1" s="435"/>
    </row>
    <row r="2" spans="1:14" ht="12.75">
      <c r="A2" s="483" t="s">
        <v>208</v>
      </c>
      <c r="B2" s="483"/>
      <c r="C2" s="483"/>
      <c r="D2" s="483"/>
      <c r="E2" s="483"/>
      <c r="F2" s="483"/>
      <c r="G2" s="483"/>
      <c r="H2" s="483"/>
      <c r="I2" s="483"/>
      <c r="J2" s="483"/>
      <c r="K2" s="483"/>
      <c r="L2" s="483"/>
      <c r="M2" s="483"/>
      <c r="N2" s="435"/>
    </row>
    <row r="3" spans="1:12" ht="12.75">
      <c r="A3" s="30" t="s">
        <v>144</v>
      </c>
      <c r="B3" s="30"/>
      <c r="C3" s="30"/>
      <c r="D3" s="30" t="s">
        <v>227</v>
      </c>
      <c r="E3" s="24"/>
      <c r="F3" s="24"/>
      <c r="G3" s="24"/>
      <c r="H3" s="24"/>
      <c r="I3" s="24"/>
      <c r="J3" s="24"/>
      <c r="K3" s="24"/>
      <c r="L3" s="24"/>
    </row>
    <row r="4" spans="1:14" ht="12.75">
      <c r="A4" s="489" t="s">
        <v>282</v>
      </c>
      <c r="B4" s="489"/>
      <c r="C4" s="489"/>
      <c r="D4" s="489"/>
      <c r="E4" s="489"/>
      <c r="F4" s="489"/>
      <c r="G4" s="489"/>
      <c r="H4" s="489"/>
      <c r="I4" s="489"/>
      <c r="J4" s="489"/>
      <c r="K4" s="489"/>
      <c r="L4" s="489"/>
      <c r="M4" s="489"/>
      <c r="N4" s="444"/>
    </row>
    <row r="5" spans="1:14" ht="25.5">
      <c r="A5" s="133"/>
      <c r="B5" s="81" t="s">
        <v>290</v>
      </c>
      <c r="C5" s="81" t="s">
        <v>461</v>
      </c>
      <c r="D5" s="28">
        <v>2004</v>
      </c>
      <c r="E5" s="28">
        <v>2005</v>
      </c>
      <c r="F5" s="25">
        <v>2006</v>
      </c>
      <c r="G5" s="25">
        <v>2007</v>
      </c>
      <c r="H5" s="25">
        <v>2008</v>
      </c>
      <c r="I5" s="25">
        <v>2009</v>
      </c>
      <c r="J5" s="25">
        <v>2010</v>
      </c>
      <c r="K5" s="25">
        <v>2011</v>
      </c>
      <c r="L5" s="208" t="s">
        <v>346</v>
      </c>
      <c r="M5" s="208" t="s">
        <v>351</v>
      </c>
      <c r="N5" s="208" t="s">
        <v>440</v>
      </c>
    </row>
    <row r="6" spans="1:3" ht="12.75">
      <c r="A6" s="30" t="s">
        <v>258</v>
      </c>
      <c r="B6" s="30"/>
      <c r="C6" s="30"/>
    </row>
    <row r="7" spans="1:14" ht="12.75">
      <c r="A7" s="426" t="s">
        <v>210</v>
      </c>
      <c r="B7" s="185">
        <f>SUM(D7:E7)</f>
        <v>0</v>
      </c>
      <c r="C7" s="185">
        <f>SUM(F7:H7)*1000+SUM(I7:J7)</f>
        <v>2593200</v>
      </c>
      <c r="D7" s="470"/>
      <c r="E7" s="470"/>
      <c r="F7" s="374"/>
      <c r="G7" s="465"/>
      <c r="H7" s="465"/>
      <c r="I7" s="240">
        <v>1555000</v>
      </c>
      <c r="J7" s="240">
        <v>1038200</v>
      </c>
      <c r="K7" s="240">
        <v>1075000</v>
      </c>
      <c r="L7" s="240">
        <v>1575000</v>
      </c>
      <c r="M7" s="241">
        <v>1075000</v>
      </c>
      <c r="N7" s="241">
        <v>1075000</v>
      </c>
    </row>
    <row r="8" spans="1:14" ht="12.75">
      <c r="A8" s="181" t="s">
        <v>161</v>
      </c>
      <c r="B8" s="185">
        <f>SUM(D8:E8)</f>
        <v>0</v>
      </c>
      <c r="C8" s="185">
        <f aca="true" t="shared" si="0" ref="C8:C24">SUM(F8:H8)*1000+SUM(I8:J8)</f>
        <v>380000</v>
      </c>
      <c r="D8" s="470"/>
      <c r="E8" s="470"/>
      <c r="F8" s="374"/>
      <c r="G8" s="237">
        <v>380</v>
      </c>
      <c r="H8" s="374"/>
      <c r="I8" s="374"/>
      <c r="J8" s="374"/>
      <c r="K8" s="374"/>
      <c r="L8" s="374"/>
      <c r="M8" s="374"/>
      <c r="N8" s="374"/>
    </row>
    <row r="9" spans="1:14" ht="12.75">
      <c r="A9" s="181" t="s">
        <v>211</v>
      </c>
      <c r="B9" s="185">
        <f aca="true" t="shared" si="1" ref="B9:B17">SUM(D9:E9)</f>
        <v>0</v>
      </c>
      <c r="C9" s="185">
        <f t="shared" si="0"/>
        <v>1169866.52</v>
      </c>
      <c r="D9" s="470"/>
      <c r="E9" s="470"/>
      <c r="F9" s="374"/>
      <c r="G9" s="374"/>
      <c r="H9" s="374"/>
      <c r="I9" s="240">
        <v>1046000.4</v>
      </c>
      <c r="J9" s="240">
        <v>123866.12</v>
      </c>
      <c r="K9" s="374"/>
      <c r="L9" s="374"/>
      <c r="M9" s="374"/>
      <c r="N9" s="374"/>
    </row>
    <row r="10" spans="1:14" ht="12.75">
      <c r="A10" s="181" t="s">
        <v>185</v>
      </c>
      <c r="B10" s="185">
        <f t="shared" si="1"/>
        <v>0</v>
      </c>
      <c r="C10" s="185">
        <f t="shared" si="0"/>
        <v>9000000</v>
      </c>
      <c r="D10" s="470"/>
      <c r="E10" s="470"/>
      <c r="F10" s="374"/>
      <c r="G10" s="374"/>
      <c r="H10" s="237">
        <v>9000</v>
      </c>
      <c r="I10" s="374"/>
      <c r="J10" s="374"/>
      <c r="K10" s="374"/>
      <c r="L10" s="374"/>
      <c r="M10" s="374"/>
      <c r="N10" s="374"/>
    </row>
    <row r="11" spans="1:14" ht="12.75">
      <c r="A11" s="181" t="s">
        <v>286</v>
      </c>
      <c r="B11" s="185">
        <f t="shared" si="1"/>
        <v>0</v>
      </c>
      <c r="C11" s="185">
        <f t="shared" si="0"/>
        <v>2585224</v>
      </c>
      <c r="D11" s="470"/>
      <c r="E11" s="470"/>
      <c r="F11" s="374"/>
      <c r="G11" s="374"/>
      <c r="H11" s="237">
        <v>345</v>
      </c>
      <c r="I11" s="240">
        <v>1247612</v>
      </c>
      <c r="J11" s="240">
        <v>992612</v>
      </c>
      <c r="K11" s="374"/>
      <c r="L11" s="374"/>
      <c r="M11" s="374"/>
      <c r="N11" s="374"/>
    </row>
    <row r="12" spans="1:14" ht="12.75">
      <c r="A12" s="181" t="s">
        <v>267</v>
      </c>
      <c r="B12" s="185">
        <f t="shared" si="1"/>
        <v>0</v>
      </c>
      <c r="C12" s="185">
        <f t="shared" si="0"/>
        <v>0</v>
      </c>
      <c r="D12" s="470"/>
      <c r="E12" s="470"/>
      <c r="F12" s="374"/>
      <c r="G12" s="374"/>
      <c r="H12" s="374"/>
      <c r="I12" s="374"/>
      <c r="J12" s="374"/>
      <c r="K12" s="240">
        <v>20000000</v>
      </c>
      <c r="L12" s="374"/>
      <c r="M12" s="374"/>
      <c r="N12" s="374"/>
    </row>
    <row r="13" spans="1:14" ht="12.75">
      <c r="A13" s="180" t="s">
        <v>141</v>
      </c>
      <c r="B13" s="185">
        <f t="shared" si="1"/>
        <v>0</v>
      </c>
      <c r="C13" s="185">
        <f t="shared" si="0"/>
        <v>1600000</v>
      </c>
      <c r="D13" s="470"/>
      <c r="E13" s="470"/>
      <c r="F13" s="272">
        <v>1600</v>
      </c>
      <c r="G13" s="374"/>
      <c r="H13" s="374"/>
      <c r="I13" s="374"/>
      <c r="J13" s="374"/>
      <c r="K13" s="374"/>
      <c r="L13" s="374"/>
      <c r="M13" s="374"/>
      <c r="N13" s="374"/>
    </row>
    <row r="14" spans="1:14" ht="12.75">
      <c r="A14" s="180" t="s">
        <v>142</v>
      </c>
      <c r="B14" s="185">
        <f t="shared" si="1"/>
        <v>0</v>
      </c>
      <c r="C14" s="185">
        <f t="shared" si="0"/>
        <v>807000</v>
      </c>
      <c r="D14" s="470"/>
      <c r="E14" s="470"/>
      <c r="F14" s="272">
        <v>607</v>
      </c>
      <c r="G14" s="237">
        <v>200</v>
      </c>
      <c r="H14" s="374"/>
      <c r="I14" s="374"/>
      <c r="J14" s="374"/>
      <c r="K14" s="374"/>
      <c r="L14" s="374"/>
      <c r="M14" s="374"/>
      <c r="N14" s="374"/>
    </row>
    <row r="15" spans="1:14" ht="12.75">
      <c r="A15" s="181" t="s">
        <v>265</v>
      </c>
      <c r="B15" s="185">
        <f t="shared" si="1"/>
        <v>0</v>
      </c>
      <c r="C15" s="185">
        <f t="shared" si="0"/>
        <v>0</v>
      </c>
      <c r="D15" s="470"/>
      <c r="E15" s="470"/>
      <c r="F15" s="374"/>
      <c r="G15" s="374"/>
      <c r="H15" s="374"/>
      <c r="I15" s="374"/>
      <c r="J15" s="374"/>
      <c r="K15" s="240">
        <v>678853.1</v>
      </c>
      <c r="L15" s="240">
        <v>386450.47</v>
      </c>
      <c r="M15" s="241">
        <v>35000</v>
      </c>
      <c r="N15" s="374"/>
    </row>
    <row r="16" spans="1:14" ht="12.75">
      <c r="A16" s="181" t="s">
        <v>264</v>
      </c>
      <c r="B16" s="185">
        <f t="shared" si="1"/>
        <v>0</v>
      </c>
      <c r="C16" s="185">
        <f t="shared" si="0"/>
        <v>0</v>
      </c>
      <c r="D16" s="470"/>
      <c r="E16" s="470"/>
      <c r="F16" s="374"/>
      <c r="G16" s="374"/>
      <c r="H16" s="374"/>
      <c r="I16" s="374"/>
      <c r="J16" s="374"/>
      <c r="K16" s="240">
        <v>10000000</v>
      </c>
      <c r="L16" s="374"/>
      <c r="M16" s="374"/>
      <c r="N16" s="374"/>
    </row>
    <row r="17" spans="1:14" ht="12.75">
      <c r="A17" s="180" t="s">
        <v>362</v>
      </c>
      <c r="B17" s="185">
        <f t="shared" si="1"/>
        <v>0</v>
      </c>
      <c r="C17" s="185">
        <f t="shared" si="0"/>
        <v>0</v>
      </c>
      <c r="D17" s="470"/>
      <c r="E17" s="470"/>
      <c r="F17" s="374"/>
      <c r="G17" s="374"/>
      <c r="H17" s="374"/>
      <c r="I17" s="374"/>
      <c r="J17" s="374"/>
      <c r="K17" s="374"/>
      <c r="L17" s="374"/>
      <c r="M17" s="106">
        <v>1250000</v>
      </c>
      <c r="N17" s="374"/>
    </row>
    <row r="18" spans="1:14" ht="12.75">
      <c r="A18" s="181" t="s">
        <v>160</v>
      </c>
      <c r="B18" s="185">
        <f aca="true" t="shared" si="2" ref="B18:B24">SUM(D18:E18)</f>
        <v>0</v>
      </c>
      <c r="C18" s="185">
        <f t="shared" si="0"/>
        <v>986000</v>
      </c>
      <c r="D18" s="470"/>
      <c r="E18" s="470"/>
      <c r="F18" s="374"/>
      <c r="G18" s="237">
        <v>986</v>
      </c>
      <c r="H18" s="374"/>
      <c r="I18" s="374"/>
      <c r="J18" s="374"/>
      <c r="K18" s="374"/>
      <c r="L18" s="374"/>
      <c r="M18" s="374"/>
      <c r="N18" s="374"/>
    </row>
    <row r="19" spans="1:14" ht="12.75">
      <c r="A19" s="426" t="s">
        <v>209</v>
      </c>
      <c r="B19" s="185">
        <f t="shared" si="2"/>
        <v>0</v>
      </c>
      <c r="C19" s="185">
        <f t="shared" si="0"/>
        <v>7841068.5</v>
      </c>
      <c r="D19" s="470"/>
      <c r="E19" s="470"/>
      <c r="F19" s="374"/>
      <c r="G19" s="374"/>
      <c r="H19" s="374"/>
      <c r="I19" s="240">
        <v>4580830</v>
      </c>
      <c r="J19" s="240">
        <v>3260238.5</v>
      </c>
      <c r="K19" s="240">
        <v>1309984</v>
      </c>
      <c r="L19" s="240">
        <v>1743976.16</v>
      </c>
      <c r="M19" s="241">
        <v>1309984</v>
      </c>
      <c r="N19" s="241">
        <v>1309984</v>
      </c>
    </row>
    <row r="20" spans="1:14" ht="12.75">
      <c r="A20" s="225" t="s">
        <v>82</v>
      </c>
      <c r="B20" s="185">
        <f t="shared" si="2"/>
        <v>2480</v>
      </c>
      <c r="C20" s="185">
        <f t="shared" si="0"/>
        <v>4204902.5</v>
      </c>
      <c r="D20" s="302">
        <v>1230</v>
      </c>
      <c r="E20" s="303">
        <v>1250</v>
      </c>
      <c r="F20" s="272">
        <v>1000</v>
      </c>
      <c r="G20" s="374"/>
      <c r="H20" s="237">
        <v>1000</v>
      </c>
      <c r="I20" s="240">
        <v>1327101.5</v>
      </c>
      <c r="J20" s="240">
        <v>877801</v>
      </c>
      <c r="K20" s="374"/>
      <c r="L20" s="374"/>
      <c r="M20" s="374"/>
      <c r="N20" s="374"/>
    </row>
    <row r="21" spans="1:14" ht="12.75">
      <c r="A21" s="225" t="s">
        <v>80</v>
      </c>
      <c r="B21" s="185">
        <f t="shared" si="2"/>
        <v>340</v>
      </c>
      <c r="C21" s="185">
        <f t="shared" si="0"/>
        <v>0</v>
      </c>
      <c r="D21" s="303">
        <v>170</v>
      </c>
      <c r="E21" s="303">
        <v>170</v>
      </c>
      <c r="F21" s="374"/>
      <c r="G21" s="374"/>
      <c r="H21" s="374"/>
      <c r="I21" s="374"/>
      <c r="J21" s="374"/>
      <c r="K21" s="374"/>
      <c r="L21" s="374"/>
      <c r="M21" s="374"/>
      <c r="N21" s="374"/>
    </row>
    <row r="22" spans="1:14" ht="12.75">
      <c r="A22" s="426" t="s">
        <v>266</v>
      </c>
      <c r="B22" s="185">
        <f t="shared" si="2"/>
        <v>0</v>
      </c>
      <c r="C22" s="185">
        <f t="shared" si="0"/>
        <v>0</v>
      </c>
      <c r="D22" s="470"/>
      <c r="E22" s="470"/>
      <c r="F22" s="374"/>
      <c r="G22" s="374"/>
      <c r="H22" s="374"/>
      <c r="I22" s="374"/>
      <c r="J22" s="374"/>
      <c r="K22" s="240">
        <v>1070000</v>
      </c>
      <c r="L22" s="240">
        <v>1439850.89</v>
      </c>
      <c r="M22" s="241">
        <v>1001357.94</v>
      </c>
      <c r="N22" s="241">
        <v>677674.35</v>
      </c>
    </row>
    <row r="23" spans="1:14" ht="12.75">
      <c r="A23" s="181" t="s">
        <v>184</v>
      </c>
      <c r="B23" s="185">
        <f t="shared" si="2"/>
        <v>0</v>
      </c>
      <c r="C23" s="185">
        <f t="shared" si="0"/>
        <v>2195600</v>
      </c>
      <c r="D23" s="470"/>
      <c r="E23" s="470"/>
      <c r="F23" s="374"/>
      <c r="G23" s="374"/>
      <c r="H23" s="237">
        <v>400</v>
      </c>
      <c r="I23" s="240">
        <v>795600</v>
      </c>
      <c r="J23" s="240">
        <v>1000000</v>
      </c>
      <c r="K23" s="240">
        <v>682829.5</v>
      </c>
      <c r="L23" s="374"/>
      <c r="M23" s="374"/>
      <c r="N23" s="374"/>
    </row>
    <row r="24" spans="1:14" ht="12.75">
      <c r="A24" s="181" t="s">
        <v>162</v>
      </c>
      <c r="B24" s="185">
        <f t="shared" si="2"/>
        <v>0</v>
      </c>
      <c r="C24" s="185">
        <f t="shared" si="0"/>
        <v>1131000</v>
      </c>
      <c r="D24" s="470"/>
      <c r="E24" s="470"/>
      <c r="F24" s="374"/>
      <c r="G24" s="237">
        <v>1082</v>
      </c>
      <c r="H24" s="237">
        <v>49</v>
      </c>
      <c r="I24" s="374"/>
      <c r="J24" s="374"/>
      <c r="K24" s="374"/>
      <c r="L24" s="374"/>
      <c r="M24" s="374"/>
      <c r="N24" s="374"/>
    </row>
    <row r="25" spans="1:14" ht="12.75">
      <c r="A25" s="14" t="s">
        <v>1</v>
      </c>
      <c r="B25" s="306">
        <f aca="true" t="shared" si="3" ref="B25:N25">SUM(B7:B24)</f>
        <v>2820</v>
      </c>
      <c r="C25" s="306">
        <f>SUM(C7:C24)</f>
        <v>34493861.519999996</v>
      </c>
      <c r="D25" s="306">
        <f t="shared" si="3"/>
        <v>1400</v>
      </c>
      <c r="E25" s="306">
        <f t="shared" si="3"/>
        <v>1420</v>
      </c>
      <c r="F25" s="306">
        <f t="shared" si="3"/>
        <v>3207</v>
      </c>
      <c r="G25" s="306">
        <f t="shared" si="3"/>
        <v>2648</v>
      </c>
      <c r="H25" s="306">
        <f t="shared" si="3"/>
        <v>10794</v>
      </c>
      <c r="I25" s="276">
        <f t="shared" si="3"/>
        <v>10552143.9</v>
      </c>
      <c r="J25" s="276">
        <f t="shared" si="3"/>
        <v>7292717.62</v>
      </c>
      <c r="K25" s="276">
        <f t="shared" si="3"/>
        <v>34816666.6</v>
      </c>
      <c r="L25" s="276">
        <f t="shared" si="3"/>
        <v>5145277.52</v>
      </c>
      <c r="M25" s="276">
        <f t="shared" si="3"/>
        <v>4671341.9399999995</v>
      </c>
      <c r="N25" s="276">
        <f t="shared" si="3"/>
        <v>3062658.35</v>
      </c>
    </row>
    <row r="26" spans="1:14" ht="12.75">
      <c r="A26" s="24"/>
      <c r="B26" s="24"/>
      <c r="C26" s="24"/>
      <c r="D26" s="94"/>
      <c r="E26" s="95"/>
      <c r="F26" s="96"/>
      <c r="G26" s="33"/>
      <c r="H26" s="24"/>
      <c r="I26" s="12"/>
      <c r="J26" s="12"/>
      <c r="K26" s="12"/>
      <c r="L26" s="12"/>
      <c r="M26" s="143"/>
      <c r="N26" s="143"/>
    </row>
    <row r="27" spans="1:14" ht="12.75">
      <c r="A27" s="30" t="s">
        <v>259</v>
      </c>
      <c r="B27" s="30"/>
      <c r="C27" s="30"/>
      <c r="D27" s="174"/>
      <c r="E27" s="175"/>
      <c r="F27" s="176"/>
      <c r="G27" s="177"/>
      <c r="H27" s="184"/>
      <c r="I27" s="177"/>
      <c r="J27" s="177"/>
      <c r="K27" s="177"/>
      <c r="L27" s="177"/>
      <c r="M27" s="399"/>
      <c r="N27" s="399"/>
    </row>
    <row r="28" spans="1:14" ht="12.75">
      <c r="A28" s="225" t="s">
        <v>143</v>
      </c>
      <c r="B28" s="237">
        <f aca="true" t="shared" si="4" ref="B28:B36">SUM(D28:E28)</f>
        <v>0</v>
      </c>
      <c r="C28" s="237">
        <f aca="true" t="shared" si="5" ref="C28:C36">SUM(F28:H28)*1000+SUM(I28:J28)</f>
        <v>15000</v>
      </c>
      <c r="D28" s="470"/>
      <c r="E28" s="470"/>
      <c r="F28" s="304">
        <v>15</v>
      </c>
      <c r="G28" s="374"/>
      <c r="H28" s="374"/>
      <c r="I28" s="374"/>
      <c r="J28" s="374"/>
      <c r="K28" s="374"/>
      <c r="L28" s="374"/>
      <c r="M28" s="374"/>
      <c r="N28" s="374"/>
    </row>
    <row r="29" spans="1:15" ht="12.75">
      <c r="A29" s="181" t="s">
        <v>185</v>
      </c>
      <c r="B29" s="237">
        <f t="shared" si="4"/>
        <v>0</v>
      </c>
      <c r="C29" s="237">
        <f t="shared" si="5"/>
        <v>3000000</v>
      </c>
      <c r="D29" s="470"/>
      <c r="E29" s="470"/>
      <c r="F29" s="374"/>
      <c r="G29" s="374"/>
      <c r="H29" s="237">
        <v>3000</v>
      </c>
      <c r="I29" s="374"/>
      <c r="J29" s="374"/>
      <c r="K29" s="374"/>
      <c r="L29" s="374"/>
      <c r="M29" s="374"/>
      <c r="N29" s="374"/>
      <c r="O29" s="86"/>
    </row>
    <row r="30" spans="1:14" ht="12.75">
      <c r="A30" s="181" t="s">
        <v>287</v>
      </c>
      <c r="B30" s="237">
        <f t="shared" si="4"/>
        <v>0</v>
      </c>
      <c r="C30" s="237">
        <f t="shared" si="5"/>
        <v>6100000</v>
      </c>
      <c r="D30" s="470"/>
      <c r="E30" s="470"/>
      <c r="F30" s="374"/>
      <c r="G30" s="305">
        <v>2000</v>
      </c>
      <c r="H30" s="237">
        <v>2000</v>
      </c>
      <c r="I30" s="240">
        <v>2100000</v>
      </c>
      <c r="J30" s="374"/>
      <c r="K30" s="374"/>
      <c r="L30" s="374"/>
      <c r="M30" s="374"/>
      <c r="N30" s="374"/>
    </row>
    <row r="31" spans="1:14" ht="12.75">
      <c r="A31" s="225" t="s">
        <v>146</v>
      </c>
      <c r="B31" s="237">
        <f t="shared" si="4"/>
        <v>0</v>
      </c>
      <c r="C31" s="237">
        <f t="shared" si="5"/>
        <v>4030000</v>
      </c>
      <c r="D31" s="470"/>
      <c r="E31" s="470"/>
      <c r="F31" s="304">
        <v>30</v>
      </c>
      <c r="G31" s="305">
        <v>4000</v>
      </c>
      <c r="H31" s="374"/>
      <c r="I31" s="374"/>
      <c r="J31" s="374"/>
      <c r="K31" s="374"/>
      <c r="L31" s="374"/>
      <c r="M31" s="374"/>
      <c r="N31" s="374"/>
    </row>
    <row r="32" spans="1:14" ht="12.75">
      <c r="A32" s="426" t="s">
        <v>187</v>
      </c>
      <c r="B32" s="237">
        <f t="shared" si="4"/>
        <v>0</v>
      </c>
      <c r="C32" s="237">
        <f t="shared" si="5"/>
        <v>29535929</v>
      </c>
      <c r="D32" s="470"/>
      <c r="E32" s="470"/>
      <c r="F32" s="374"/>
      <c r="G32" s="374"/>
      <c r="H32" s="237">
        <v>1900</v>
      </c>
      <c r="I32" s="240">
        <v>13765676</v>
      </c>
      <c r="J32" s="240">
        <v>13870253</v>
      </c>
      <c r="K32" s="240">
        <v>11070253</v>
      </c>
      <c r="L32" s="240">
        <v>5518408</v>
      </c>
      <c r="M32" s="241">
        <v>350800.7</v>
      </c>
      <c r="N32" s="241">
        <v>450433.41</v>
      </c>
    </row>
    <row r="33" spans="1:14" ht="12.75">
      <c r="A33" s="225" t="s">
        <v>115</v>
      </c>
      <c r="B33" s="237">
        <f t="shared" si="4"/>
        <v>3000</v>
      </c>
      <c r="C33" s="237">
        <f t="shared" si="5"/>
        <v>6000</v>
      </c>
      <c r="D33" s="302">
        <v>3000</v>
      </c>
      <c r="E33" s="303">
        <v>0</v>
      </c>
      <c r="F33" s="304">
        <v>6</v>
      </c>
      <c r="G33" s="374"/>
      <c r="H33" s="374"/>
      <c r="I33" s="374"/>
      <c r="J33" s="374"/>
      <c r="K33" s="374"/>
      <c r="L33" s="374"/>
      <c r="M33" s="374"/>
      <c r="N33" s="374"/>
    </row>
    <row r="34" spans="1:14" ht="12.75">
      <c r="A34" s="181" t="s">
        <v>212</v>
      </c>
      <c r="B34" s="237">
        <f t="shared" si="4"/>
        <v>0</v>
      </c>
      <c r="C34" s="237">
        <f t="shared" si="5"/>
        <v>1075074.5</v>
      </c>
      <c r="D34" s="470"/>
      <c r="E34" s="470"/>
      <c r="F34" s="374"/>
      <c r="G34" s="374"/>
      <c r="H34" s="374"/>
      <c r="I34" s="240">
        <v>680319</v>
      </c>
      <c r="J34" s="240">
        <v>394755.5</v>
      </c>
      <c r="K34" s="374"/>
      <c r="L34" s="374"/>
      <c r="M34" s="374"/>
      <c r="N34" s="374"/>
    </row>
    <row r="35" spans="1:14" ht="12.75">
      <c r="A35" s="181" t="s">
        <v>163</v>
      </c>
      <c r="B35" s="237">
        <f t="shared" si="4"/>
        <v>0</v>
      </c>
      <c r="C35" s="237">
        <f t="shared" si="5"/>
        <v>606000</v>
      </c>
      <c r="D35" s="470"/>
      <c r="E35" s="470"/>
      <c r="F35" s="374"/>
      <c r="G35" s="305">
        <v>606</v>
      </c>
      <c r="H35" s="374"/>
      <c r="I35" s="374"/>
      <c r="J35" s="374"/>
      <c r="K35" s="374"/>
      <c r="L35" s="374"/>
      <c r="M35" s="374"/>
      <c r="N35" s="374"/>
    </row>
    <row r="36" spans="1:14" ht="12.75">
      <c r="A36" s="181" t="s">
        <v>186</v>
      </c>
      <c r="B36" s="237">
        <f t="shared" si="4"/>
        <v>0</v>
      </c>
      <c r="C36" s="237">
        <f t="shared" si="5"/>
        <v>10364606</v>
      </c>
      <c r="D36" s="470"/>
      <c r="E36" s="470"/>
      <c r="F36" s="374"/>
      <c r="G36" s="374"/>
      <c r="H36" s="237">
        <v>4163</v>
      </c>
      <c r="I36" s="374"/>
      <c r="J36" s="240">
        <v>6201606</v>
      </c>
      <c r="K36" s="374"/>
      <c r="L36" s="374"/>
      <c r="M36" s="374"/>
      <c r="N36" s="374"/>
    </row>
    <row r="37" spans="1:14" ht="12.75">
      <c r="A37" s="14" t="s">
        <v>1</v>
      </c>
      <c r="B37" s="307">
        <f>SUM(B28:B36)</f>
        <v>3000</v>
      </c>
      <c r="C37" s="307">
        <f>SUM(C28:C36)</f>
        <v>54732609.5</v>
      </c>
      <c r="D37" s="307">
        <f>SUM(D28:D36)</f>
        <v>3000</v>
      </c>
      <c r="E37" s="307">
        <f aca="true" t="shared" si="6" ref="E37:K37">SUM(E28:E36)</f>
        <v>0</v>
      </c>
      <c r="F37" s="307">
        <f t="shared" si="6"/>
        <v>51</v>
      </c>
      <c r="G37" s="307">
        <f t="shared" si="6"/>
        <v>6606</v>
      </c>
      <c r="H37" s="307">
        <f t="shared" si="6"/>
        <v>11063</v>
      </c>
      <c r="I37" s="275">
        <f t="shared" si="6"/>
        <v>16545995</v>
      </c>
      <c r="J37" s="275">
        <f t="shared" si="6"/>
        <v>20466614.5</v>
      </c>
      <c r="K37" s="275">
        <f t="shared" si="6"/>
        <v>11070253</v>
      </c>
      <c r="L37" s="275">
        <f>SUM(L28:L36)</f>
        <v>5518408</v>
      </c>
      <c r="M37" s="276">
        <f>SUM(M28:M36)</f>
        <v>350800.7</v>
      </c>
      <c r="N37" s="276">
        <f>SUM(N28:N36)</f>
        <v>450433.41</v>
      </c>
    </row>
    <row r="38" spans="1:14" ht="12.75">
      <c r="A38" t="s">
        <v>291</v>
      </c>
      <c r="B38" s="24"/>
      <c r="C38" s="24"/>
      <c r="D38" s="54"/>
      <c r="E38" s="54"/>
      <c r="G38" s="12"/>
      <c r="I38" s="12"/>
      <c r="J38" s="12"/>
      <c r="K38" s="12"/>
      <c r="L38" s="12"/>
      <c r="M38" s="143"/>
      <c r="N38" s="143"/>
    </row>
    <row r="39" spans="2:14" ht="12.75">
      <c r="B39" s="1"/>
      <c r="C39" s="1"/>
      <c r="D39" s="31"/>
      <c r="E39" s="31"/>
      <c r="G39" s="12"/>
      <c r="I39" s="12"/>
      <c r="J39" s="12"/>
      <c r="K39" s="12"/>
      <c r="L39" s="12"/>
      <c r="M39" s="143"/>
      <c r="N39" s="208"/>
    </row>
    <row r="40" spans="1:14" ht="25.5">
      <c r="A40" s="1" t="s">
        <v>260</v>
      </c>
      <c r="B40" s="81" t="str">
        <f>B5</f>
        <v>Summary 
2004 to 2005*</v>
      </c>
      <c r="C40" s="81" t="str">
        <f>C5</f>
        <v>Summary 
2006 to 2010*</v>
      </c>
      <c r="D40" s="31"/>
      <c r="E40" s="31"/>
      <c r="F40" s="208">
        <f aca="true" t="shared" si="7" ref="F40:M40">F5</f>
        <v>2006</v>
      </c>
      <c r="G40" s="208">
        <f t="shared" si="7"/>
        <v>2007</v>
      </c>
      <c r="H40" s="208">
        <f t="shared" si="7"/>
        <v>2008</v>
      </c>
      <c r="I40" s="208">
        <f t="shared" si="7"/>
        <v>2009</v>
      </c>
      <c r="J40" s="208">
        <f t="shared" si="7"/>
        <v>2010</v>
      </c>
      <c r="K40" s="208">
        <f t="shared" si="7"/>
        <v>2011</v>
      </c>
      <c r="L40" s="208" t="str">
        <f t="shared" si="7"/>
        <v>(18 month)
2012-2013</v>
      </c>
      <c r="M40" s="208" t="str">
        <f t="shared" si="7"/>
        <v>FY2014</v>
      </c>
      <c r="N40" s="208" t="str">
        <f>N5</f>
        <v>FY2015</v>
      </c>
    </row>
    <row r="41" spans="1:14" ht="12.75">
      <c r="A41" s="426" t="s">
        <v>210</v>
      </c>
      <c r="B41" s="237">
        <f>SUM(D41:E41)</f>
        <v>0</v>
      </c>
      <c r="C41" s="237">
        <f aca="true" t="shared" si="8" ref="C41:C58">SUM(F41:H41)*1000+SUM(I41:J41)</f>
        <v>1546809.2</v>
      </c>
      <c r="D41" s="470"/>
      <c r="E41" s="470"/>
      <c r="F41" s="374"/>
      <c r="G41" s="374"/>
      <c r="H41" s="374"/>
      <c r="I41" s="240">
        <v>1546809.2</v>
      </c>
      <c r="J41" s="374"/>
      <c r="K41" s="240">
        <v>1062330.79</v>
      </c>
      <c r="L41" s="240">
        <v>1573000.91</v>
      </c>
      <c r="M41" s="241">
        <v>1058539.26</v>
      </c>
      <c r="N41" s="241">
        <v>1049778.32</v>
      </c>
    </row>
    <row r="42" spans="1:14" ht="12.75">
      <c r="A42" s="181" t="s">
        <v>161</v>
      </c>
      <c r="B42" s="237">
        <f>SUM(D42:E42)</f>
        <v>0</v>
      </c>
      <c r="C42" s="237">
        <f t="shared" si="8"/>
        <v>380000</v>
      </c>
      <c r="D42" s="470"/>
      <c r="E42" s="470"/>
      <c r="F42" s="374"/>
      <c r="G42" s="237">
        <v>380</v>
      </c>
      <c r="H42" s="374"/>
      <c r="I42" s="374"/>
      <c r="J42" s="374"/>
      <c r="K42" s="374"/>
      <c r="L42" s="374"/>
      <c r="M42" s="374"/>
      <c r="N42" s="374"/>
    </row>
    <row r="43" spans="1:14" ht="12.75">
      <c r="A43" s="181" t="s">
        <v>211</v>
      </c>
      <c r="B43" s="237">
        <f aca="true" t="shared" si="9" ref="B43:B49">SUM(D43:E43)</f>
        <v>0</v>
      </c>
      <c r="C43" s="237">
        <f t="shared" si="8"/>
        <v>710932.44</v>
      </c>
      <c r="D43" s="470"/>
      <c r="E43" s="470"/>
      <c r="F43" s="374"/>
      <c r="G43" s="374"/>
      <c r="H43" s="374"/>
      <c r="I43" s="240">
        <v>710932.44</v>
      </c>
      <c r="J43" s="374"/>
      <c r="K43" s="374"/>
      <c r="L43" s="374"/>
      <c r="M43" s="374"/>
      <c r="N43" s="374"/>
    </row>
    <row r="44" spans="1:14" ht="12.75">
      <c r="A44" s="181" t="s">
        <v>185</v>
      </c>
      <c r="B44" s="237">
        <f t="shared" si="9"/>
        <v>0</v>
      </c>
      <c r="C44" s="237">
        <f t="shared" si="8"/>
        <v>0</v>
      </c>
      <c r="D44" s="470"/>
      <c r="E44" s="470"/>
      <c r="F44" s="374"/>
      <c r="G44" s="374"/>
      <c r="H44" s="374"/>
      <c r="I44" s="374"/>
      <c r="J44" s="374"/>
      <c r="K44" s="374"/>
      <c r="L44" s="374"/>
      <c r="M44" s="374"/>
      <c r="N44" s="374"/>
    </row>
    <row r="45" spans="1:14" ht="12.75">
      <c r="A45" s="181" t="s">
        <v>286</v>
      </c>
      <c r="B45" s="237">
        <f t="shared" si="9"/>
        <v>0</v>
      </c>
      <c r="C45" s="237">
        <f t="shared" si="8"/>
        <v>447612</v>
      </c>
      <c r="D45" s="470"/>
      <c r="E45" s="470"/>
      <c r="F45" s="374"/>
      <c r="G45" s="374"/>
      <c r="H45" s="374"/>
      <c r="I45" s="240">
        <v>447612</v>
      </c>
      <c r="J45" s="374"/>
      <c r="K45" s="374"/>
      <c r="L45" s="374"/>
      <c r="M45" s="374"/>
      <c r="N45" s="374"/>
    </row>
    <row r="46" spans="1:14" ht="12.75">
      <c r="A46" s="181" t="s">
        <v>267</v>
      </c>
      <c r="B46" s="237">
        <f t="shared" si="9"/>
        <v>0</v>
      </c>
      <c r="C46" s="237">
        <f t="shared" si="8"/>
        <v>0</v>
      </c>
      <c r="D46" s="470"/>
      <c r="E46" s="470"/>
      <c r="F46" s="374"/>
      <c r="G46" s="374"/>
      <c r="H46" s="374"/>
      <c r="I46" s="374"/>
      <c r="J46" s="374"/>
      <c r="K46" s="374"/>
      <c r="L46" s="374"/>
      <c r="M46" s="374"/>
      <c r="N46" s="374"/>
    </row>
    <row r="47" spans="1:14" ht="12.75">
      <c r="A47" s="180" t="s">
        <v>141</v>
      </c>
      <c r="B47" s="237">
        <f t="shared" si="9"/>
        <v>0</v>
      </c>
      <c r="C47" s="237">
        <f t="shared" si="8"/>
        <v>0</v>
      </c>
      <c r="D47" s="470"/>
      <c r="E47" s="470"/>
      <c r="F47" s="374"/>
      <c r="G47" s="374"/>
      <c r="H47" s="374"/>
      <c r="I47" s="374"/>
      <c r="J47" s="374"/>
      <c r="K47" s="374"/>
      <c r="L47" s="374"/>
      <c r="M47" s="374"/>
      <c r="N47" s="374"/>
    </row>
    <row r="48" spans="1:14" ht="12.75">
      <c r="A48" s="180" t="s">
        <v>142</v>
      </c>
      <c r="B48" s="237">
        <f t="shared" si="9"/>
        <v>0</v>
      </c>
      <c r="C48" s="237">
        <f t="shared" si="8"/>
        <v>888000</v>
      </c>
      <c r="D48" s="470"/>
      <c r="E48" s="470"/>
      <c r="F48" s="237">
        <v>371</v>
      </c>
      <c r="G48" s="237">
        <v>517</v>
      </c>
      <c r="H48" s="374"/>
      <c r="I48" s="374"/>
      <c r="J48" s="374"/>
      <c r="K48" s="374"/>
      <c r="L48" s="374"/>
      <c r="M48" s="374"/>
      <c r="N48" s="374"/>
    </row>
    <row r="49" spans="1:14" ht="12.75">
      <c r="A49" s="181" t="s">
        <v>265</v>
      </c>
      <c r="B49" s="237">
        <f t="shared" si="9"/>
        <v>0</v>
      </c>
      <c r="C49" s="237">
        <f t="shared" si="8"/>
        <v>0</v>
      </c>
      <c r="D49" s="470"/>
      <c r="E49" s="470"/>
      <c r="F49" s="374"/>
      <c r="G49" s="374"/>
      <c r="H49" s="374"/>
      <c r="I49" s="374"/>
      <c r="J49" s="374"/>
      <c r="K49" s="240">
        <v>195895.63</v>
      </c>
      <c r="L49" s="240">
        <v>280151.35</v>
      </c>
      <c r="M49" s="241">
        <v>35000</v>
      </c>
      <c r="N49" s="374"/>
    </row>
    <row r="50" spans="1:14" ht="12.75">
      <c r="A50" s="181" t="s">
        <v>264</v>
      </c>
      <c r="B50" s="237">
        <f>SUM(D50:E50)</f>
        <v>0</v>
      </c>
      <c r="C50" s="237">
        <f t="shared" si="8"/>
        <v>0</v>
      </c>
      <c r="D50" s="237">
        <f>SUM(E50:F50)</f>
        <v>0</v>
      </c>
      <c r="E50" s="237">
        <f>SUM(F50:G50)</f>
        <v>0</v>
      </c>
      <c r="F50" s="374"/>
      <c r="G50" s="374"/>
      <c r="H50" s="374"/>
      <c r="I50" s="374"/>
      <c r="J50" s="374"/>
      <c r="K50" s="374"/>
      <c r="L50" s="374"/>
      <c r="M50" s="374"/>
      <c r="N50" s="374"/>
    </row>
    <row r="51" spans="1:14" ht="12.75">
      <c r="A51" s="331" t="s">
        <v>362</v>
      </c>
      <c r="B51" s="237">
        <f>SUM(D51:E51)</f>
        <v>0</v>
      </c>
      <c r="C51" s="237">
        <f t="shared" si="8"/>
        <v>0</v>
      </c>
      <c r="D51" s="470"/>
      <c r="E51" s="470"/>
      <c r="F51" s="374"/>
      <c r="G51" s="374"/>
      <c r="H51" s="374"/>
      <c r="I51" s="374"/>
      <c r="J51" s="374"/>
      <c r="K51" s="374"/>
      <c r="L51" s="374"/>
      <c r="M51" s="374"/>
      <c r="N51" s="374"/>
    </row>
    <row r="52" spans="1:14" ht="12.75">
      <c r="A52" s="181" t="s">
        <v>160</v>
      </c>
      <c r="B52" s="237">
        <f aca="true" t="shared" si="10" ref="B52:B58">SUM(D52:E52)</f>
        <v>0</v>
      </c>
      <c r="C52" s="237">
        <f t="shared" si="8"/>
        <v>896000</v>
      </c>
      <c r="D52" s="470"/>
      <c r="E52" s="470"/>
      <c r="F52" s="374"/>
      <c r="G52" s="237">
        <v>896</v>
      </c>
      <c r="H52" s="374"/>
      <c r="I52" s="374"/>
      <c r="J52" s="374"/>
      <c r="K52" s="374"/>
      <c r="L52" s="374"/>
      <c r="M52" s="374"/>
      <c r="N52" s="374"/>
    </row>
    <row r="53" spans="1:14" ht="12.75">
      <c r="A53" s="426" t="s">
        <v>209</v>
      </c>
      <c r="B53" s="237">
        <f t="shared" si="10"/>
        <v>0</v>
      </c>
      <c r="C53" s="237">
        <f t="shared" si="8"/>
        <v>3753095.53</v>
      </c>
      <c r="D53" s="470"/>
      <c r="E53" s="470"/>
      <c r="F53" s="374"/>
      <c r="G53" s="374"/>
      <c r="H53" s="374"/>
      <c r="I53" s="240">
        <v>3753095.53</v>
      </c>
      <c r="J53" s="374"/>
      <c r="K53" s="240">
        <v>1111985.1</v>
      </c>
      <c r="L53" s="240">
        <v>1705193.2</v>
      </c>
      <c r="M53" s="241">
        <v>1295362.39</v>
      </c>
      <c r="N53" s="241">
        <v>1299877.07</v>
      </c>
    </row>
    <row r="54" spans="1:14" ht="12.75">
      <c r="A54" s="225" t="s">
        <v>82</v>
      </c>
      <c r="B54" s="237">
        <f t="shared" si="10"/>
        <v>8</v>
      </c>
      <c r="C54" s="237">
        <f t="shared" si="8"/>
        <v>298947.9</v>
      </c>
      <c r="D54" s="302">
        <v>8</v>
      </c>
      <c r="E54" s="303">
        <v>0</v>
      </c>
      <c r="F54" s="374"/>
      <c r="G54" s="374"/>
      <c r="H54" s="374"/>
      <c r="I54" s="374"/>
      <c r="J54" s="240">
        <v>298947.9</v>
      </c>
      <c r="K54" s="374"/>
      <c r="L54" s="374"/>
      <c r="M54" s="374"/>
      <c r="N54" s="374"/>
    </row>
    <row r="55" spans="1:14" ht="12.75">
      <c r="A55" s="225" t="s">
        <v>80</v>
      </c>
      <c r="B55" s="237">
        <f t="shared" si="10"/>
        <v>86</v>
      </c>
      <c r="C55" s="237">
        <f t="shared" si="8"/>
        <v>0</v>
      </c>
      <c r="D55" s="303">
        <v>1</v>
      </c>
      <c r="E55" s="303">
        <v>85</v>
      </c>
      <c r="F55" s="374"/>
      <c r="G55" s="374"/>
      <c r="H55" s="374"/>
      <c r="I55" s="374"/>
      <c r="J55" s="374"/>
      <c r="K55" s="374"/>
      <c r="L55" s="374"/>
      <c r="M55" s="374"/>
      <c r="N55" s="374"/>
    </row>
    <row r="56" spans="1:14" ht="12.75">
      <c r="A56" s="426" t="s">
        <v>266</v>
      </c>
      <c r="B56" s="237">
        <f t="shared" si="10"/>
        <v>0</v>
      </c>
      <c r="C56" s="237">
        <f t="shared" si="8"/>
        <v>0</v>
      </c>
      <c r="D56" s="470"/>
      <c r="E56" s="470"/>
      <c r="F56" s="374"/>
      <c r="G56" s="374"/>
      <c r="H56" s="374"/>
      <c r="I56" s="374"/>
      <c r="J56" s="374"/>
      <c r="K56" s="240">
        <v>380149.11</v>
      </c>
      <c r="L56" s="240">
        <v>938492.95</v>
      </c>
      <c r="M56" s="241">
        <v>806775.65</v>
      </c>
      <c r="N56" s="241">
        <v>400742.31</v>
      </c>
    </row>
    <row r="57" spans="1:14" ht="12.75">
      <c r="A57" s="181" t="s">
        <v>184</v>
      </c>
      <c r="B57" s="237">
        <f t="shared" si="10"/>
        <v>0</v>
      </c>
      <c r="C57" s="237">
        <f t="shared" si="8"/>
        <v>137790</v>
      </c>
      <c r="D57" s="470"/>
      <c r="E57" s="470"/>
      <c r="F57" s="374"/>
      <c r="G57" s="374"/>
      <c r="H57" s="237">
        <v>4</v>
      </c>
      <c r="I57" s="240">
        <v>133790</v>
      </c>
      <c r="J57" s="374"/>
      <c r="K57" s="240">
        <v>121599.5</v>
      </c>
      <c r="L57" s="374"/>
      <c r="M57" s="374"/>
      <c r="N57" s="374"/>
    </row>
    <row r="58" spans="1:14" ht="12.75">
      <c r="A58" s="181" t="s">
        <v>162</v>
      </c>
      <c r="B58" s="237">
        <f t="shared" si="10"/>
        <v>0</v>
      </c>
      <c r="C58" s="237">
        <f t="shared" si="8"/>
        <v>254000</v>
      </c>
      <c r="D58" s="470"/>
      <c r="E58" s="470"/>
      <c r="F58" s="374"/>
      <c r="G58" s="237">
        <v>254</v>
      </c>
      <c r="H58" s="374"/>
      <c r="I58" s="374"/>
      <c r="J58" s="374"/>
      <c r="K58" s="374"/>
      <c r="L58" s="374"/>
      <c r="M58" s="374"/>
      <c r="N58" s="374"/>
    </row>
    <row r="59" spans="1:14" ht="12.75">
      <c r="A59" s="14" t="s">
        <v>1</v>
      </c>
      <c r="B59" s="307">
        <f aca="true" t="shared" si="11" ref="B59:N59">SUM(B41:B58)</f>
        <v>94</v>
      </c>
      <c r="C59" s="307">
        <f>SUM(C41:C58)</f>
        <v>9313187.07</v>
      </c>
      <c r="D59" s="307">
        <f t="shared" si="11"/>
        <v>9</v>
      </c>
      <c r="E59" s="307">
        <f t="shared" si="11"/>
        <v>85</v>
      </c>
      <c r="F59" s="307">
        <f t="shared" si="11"/>
        <v>371</v>
      </c>
      <c r="G59" s="307">
        <f t="shared" si="11"/>
        <v>2047</v>
      </c>
      <c r="H59" s="307">
        <f t="shared" si="11"/>
        <v>4</v>
      </c>
      <c r="I59" s="242">
        <f t="shared" si="11"/>
        <v>6592239.17</v>
      </c>
      <c r="J59" s="242">
        <f t="shared" si="11"/>
        <v>298947.9</v>
      </c>
      <c r="K59" s="242">
        <f t="shared" si="11"/>
        <v>2871960.13</v>
      </c>
      <c r="L59" s="242">
        <f t="shared" si="11"/>
        <v>4496838.41</v>
      </c>
      <c r="M59" s="400">
        <f t="shared" si="11"/>
        <v>3195677.3</v>
      </c>
      <c r="N59" s="400">
        <f t="shared" si="11"/>
        <v>2750397.7</v>
      </c>
    </row>
    <row r="60" spans="7:14" ht="12.75">
      <c r="G60" s="12"/>
      <c r="I60" s="12"/>
      <c r="J60" s="12"/>
      <c r="K60" s="12"/>
      <c r="L60" s="12"/>
      <c r="M60" s="143"/>
      <c r="N60" s="143"/>
    </row>
    <row r="61" spans="1:14" ht="12.75">
      <c r="A61" s="1" t="s">
        <v>261</v>
      </c>
      <c r="B61" s="1"/>
      <c r="C61" s="1"/>
      <c r="D61" s="174"/>
      <c r="E61" s="175"/>
      <c r="F61" s="176"/>
      <c r="G61" s="177"/>
      <c r="H61" s="177"/>
      <c r="I61" s="177"/>
      <c r="J61" s="177"/>
      <c r="K61" s="177"/>
      <c r="L61" s="177"/>
      <c r="M61" s="399"/>
      <c r="N61" s="399"/>
    </row>
    <row r="62" spans="1:14" ht="12.75">
      <c r="A62" s="225" t="s">
        <v>143</v>
      </c>
      <c r="B62" s="237">
        <f aca="true" t="shared" si="12" ref="B62:B70">SUM(D62:E62)</f>
        <v>0</v>
      </c>
      <c r="C62" s="237">
        <f aca="true" t="shared" si="13" ref="C62:C70">SUM(F62:H62)*1000+SUM(I62:J62)</f>
        <v>29000</v>
      </c>
      <c r="D62" s="470"/>
      <c r="E62" s="470"/>
      <c r="F62" s="272">
        <v>29</v>
      </c>
      <c r="G62" s="374"/>
      <c r="H62" s="374"/>
      <c r="I62" s="374"/>
      <c r="J62" s="374"/>
      <c r="K62" s="374"/>
      <c r="L62" s="374"/>
      <c r="M62" s="374"/>
      <c r="N62" s="374"/>
    </row>
    <row r="63" spans="1:14" ht="12.75">
      <c r="A63" s="181" t="s">
        <v>185</v>
      </c>
      <c r="B63" s="237">
        <f t="shared" si="12"/>
        <v>0</v>
      </c>
      <c r="C63" s="237">
        <f t="shared" si="13"/>
        <v>0</v>
      </c>
      <c r="D63" s="470"/>
      <c r="E63" s="470"/>
      <c r="F63" s="374"/>
      <c r="G63" s="374"/>
      <c r="H63" s="374"/>
      <c r="I63" s="374"/>
      <c r="J63" s="374"/>
      <c r="K63" s="374"/>
      <c r="L63" s="374"/>
      <c r="M63" s="374"/>
      <c r="N63" s="374"/>
    </row>
    <row r="64" spans="1:14" ht="12.75">
      <c r="A64" s="181" t="s">
        <v>287</v>
      </c>
      <c r="B64" s="237">
        <f t="shared" si="12"/>
        <v>0</v>
      </c>
      <c r="C64" s="237">
        <f t="shared" si="13"/>
        <v>4100000</v>
      </c>
      <c r="D64" s="470"/>
      <c r="E64" s="470"/>
      <c r="F64" s="374"/>
      <c r="G64" s="374"/>
      <c r="H64" s="237">
        <v>2000</v>
      </c>
      <c r="I64" s="240">
        <v>2100000</v>
      </c>
      <c r="J64" s="374"/>
      <c r="K64" s="374"/>
      <c r="L64" s="374"/>
      <c r="M64" s="374"/>
      <c r="N64" s="374"/>
    </row>
    <row r="65" spans="1:14" ht="12.75">
      <c r="A65" s="225" t="s">
        <v>146</v>
      </c>
      <c r="B65" s="237">
        <f t="shared" si="12"/>
        <v>0</v>
      </c>
      <c r="C65" s="237">
        <f t="shared" si="13"/>
        <v>2519000</v>
      </c>
      <c r="D65" s="302">
        <v>0</v>
      </c>
      <c r="E65" s="303">
        <v>0</v>
      </c>
      <c r="F65" s="272">
        <v>6</v>
      </c>
      <c r="G65" s="237">
        <v>33</v>
      </c>
      <c r="H65" s="237"/>
      <c r="I65" s="240">
        <v>2480000</v>
      </c>
      <c r="J65" s="374"/>
      <c r="K65" s="374"/>
      <c r="L65" s="374"/>
      <c r="M65" s="374"/>
      <c r="N65" s="374"/>
    </row>
    <row r="66" spans="1:14" ht="12.75">
      <c r="A66" s="426" t="s">
        <v>187</v>
      </c>
      <c r="B66" s="237">
        <f t="shared" si="12"/>
        <v>0</v>
      </c>
      <c r="C66" s="237">
        <f t="shared" si="13"/>
        <v>0</v>
      </c>
      <c r="D66" s="470"/>
      <c r="E66" s="470"/>
      <c r="F66" s="374"/>
      <c r="G66" s="374"/>
      <c r="H66" s="374"/>
      <c r="I66" s="374"/>
      <c r="J66" s="374"/>
      <c r="K66" s="240">
        <v>2633211</v>
      </c>
      <c r="L66" s="241">
        <v>5336674.71</v>
      </c>
      <c r="M66" s="241">
        <v>100367.29</v>
      </c>
      <c r="N66" s="241">
        <v>0</v>
      </c>
    </row>
    <row r="67" spans="1:14" ht="12.75">
      <c r="A67" s="225" t="s">
        <v>115</v>
      </c>
      <c r="B67" s="237">
        <f t="shared" si="12"/>
        <v>56</v>
      </c>
      <c r="C67" s="237">
        <f t="shared" si="13"/>
        <v>6000</v>
      </c>
      <c r="D67" s="302">
        <v>56</v>
      </c>
      <c r="E67" s="303">
        <v>0</v>
      </c>
      <c r="F67" s="272">
        <v>6</v>
      </c>
      <c r="G67" s="374"/>
      <c r="H67" s="374"/>
      <c r="I67" s="374"/>
      <c r="J67" s="374"/>
      <c r="K67" s="374"/>
      <c r="L67" s="374"/>
      <c r="M67" s="374"/>
      <c r="N67" s="374"/>
    </row>
    <row r="68" spans="1:14" ht="12.75">
      <c r="A68" s="181" t="s">
        <v>212</v>
      </c>
      <c r="B68" s="237">
        <f t="shared" si="12"/>
        <v>0</v>
      </c>
      <c r="C68" s="237">
        <f t="shared" si="13"/>
        <v>562751.17</v>
      </c>
      <c r="D68" s="470"/>
      <c r="E68" s="470"/>
      <c r="F68" s="374"/>
      <c r="G68" s="374"/>
      <c r="H68" s="374"/>
      <c r="I68" s="240">
        <v>562751.17</v>
      </c>
      <c r="J68" s="374"/>
      <c r="K68" s="374"/>
      <c r="L68" s="374"/>
      <c r="M68" s="374"/>
      <c r="N68" s="374"/>
    </row>
    <row r="69" spans="1:14" ht="12.75">
      <c r="A69" s="181" t="s">
        <v>163</v>
      </c>
      <c r="B69" s="237">
        <f t="shared" si="12"/>
        <v>0</v>
      </c>
      <c r="C69" s="237">
        <f t="shared" si="13"/>
        <v>603000</v>
      </c>
      <c r="D69" s="470"/>
      <c r="E69" s="470"/>
      <c r="F69" s="374"/>
      <c r="G69" s="237">
        <v>603</v>
      </c>
      <c r="H69" s="374"/>
      <c r="I69" s="374"/>
      <c r="J69" s="374"/>
      <c r="K69" s="374"/>
      <c r="L69" s="374"/>
      <c r="M69" s="374"/>
      <c r="N69" s="374"/>
    </row>
    <row r="70" spans="1:14" ht="12.75">
      <c r="A70" s="181" t="s">
        <v>186</v>
      </c>
      <c r="B70" s="237">
        <f t="shared" si="12"/>
        <v>0</v>
      </c>
      <c r="C70" s="237">
        <f t="shared" si="13"/>
        <v>0</v>
      </c>
      <c r="D70" s="470"/>
      <c r="E70" s="470"/>
      <c r="F70" s="374"/>
      <c r="G70" s="374"/>
      <c r="H70" s="374"/>
      <c r="I70" s="374"/>
      <c r="J70" s="374"/>
      <c r="K70" s="374"/>
      <c r="L70" s="374"/>
      <c r="M70" s="374"/>
      <c r="N70" s="374"/>
    </row>
    <row r="71" spans="1:14" ht="12.75">
      <c r="A71" s="14" t="s">
        <v>1</v>
      </c>
      <c r="B71" s="307">
        <f aca="true" t="shared" si="14" ref="B71:L71">SUM(B62:B70)</f>
        <v>56</v>
      </c>
      <c r="C71" s="307">
        <f>SUM(C62:C70)</f>
        <v>7819751.17</v>
      </c>
      <c r="D71" s="307">
        <f t="shared" si="14"/>
        <v>56</v>
      </c>
      <c r="E71" s="307">
        <f t="shared" si="14"/>
        <v>0</v>
      </c>
      <c r="F71" s="283">
        <f t="shared" si="14"/>
        <v>41</v>
      </c>
      <c r="G71" s="243">
        <f t="shared" si="14"/>
        <v>636</v>
      </c>
      <c r="H71" s="243">
        <f t="shared" si="14"/>
        <v>2000</v>
      </c>
      <c r="I71" s="242">
        <f t="shared" si="14"/>
        <v>5142751.17</v>
      </c>
      <c r="J71" s="242">
        <f t="shared" si="14"/>
        <v>0</v>
      </c>
      <c r="K71" s="242">
        <f t="shared" si="14"/>
        <v>2633211</v>
      </c>
      <c r="L71" s="242">
        <f t="shared" si="14"/>
        <v>5336674.71</v>
      </c>
      <c r="M71" s="400">
        <f>SUM(M62:M70)</f>
        <v>100367.29</v>
      </c>
      <c r="N71" s="400">
        <f>SUM(N62:N70)</f>
        <v>0</v>
      </c>
    </row>
    <row r="72" ht="12.75">
      <c r="A72" t="str">
        <f>A38</f>
        <v>* These columns/years have been hidden in this worksheet for viewing &amp; printing purposes</v>
      </c>
    </row>
  </sheetData>
  <sheetProtection/>
  <mergeCells count="3">
    <mergeCell ref="A1:M1"/>
    <mergeCell ref="A2:M2"/>
    <mergeCell ref="A4:M4"/>
  </mergeCells>
  <printOptions/>
  <pageMargins left="0.17" right="0.17" top="0.4" bottom="0.6" header="0.24" footer="0.24"/>
  <pageSetup horizontalDpi="600" verticalDpi="600" orientation="landscape" scale="95" r:id="rId1"/>
  <headerFooter scaleWithDoc="0" alignWithMargins="0">
    <oddFooter>&amp;L&amp;6&amp;A - Results by Program Year&amp;R&amp;6printed &amp;D at &amp;T</oddFooter>
  </headerFooter>
  <rowBreaks count="1" manualBreakCount="1">
    <brk id="38" max="255" man="1"/>
  </rowBreaks>
  <ignoredErrors>
    <ignoredError sqref="D25:K25" formulaRange="1"/>
  </ignoredErrors>
</worksheet>
</file>

<file path=xl/worksheets/sheet25.xml><?xml version="1.0" encoding="utf-8"?>
<worksheet xmlns="http://schemas.openxmlformats.org/spreadsheetml/2006/main" xmlns:r="http://schemas.openxmlformats.org/officeDocument/2006/relationships">
  <sheetPr>
    <tabColor theme="6"/>
    <outlinePr summaryRight="0"/>
    <pageSetUpPr fitToPage="1"/>
  </sheetPr>
  <dimension ref="A1:N26"/>
  <sheetViews>
    <sheetView showGridLines="0" zoomScalePageLayoutView="0" workbookViewId="0" topLeftCell="A1">
      <selection activeCell="A1" sqref="A1:R1"/>
    </sheetView>
  </sheetViews>
  <sheetFormatPr defaultColWidth="9.140625" defaultRowHeight="12.75" outlineLevelCol="1"/>
  <cols>
    <col min="1" max="1" width="28.8515625" style="0" customWidth="1"/>
    <col min="2" max="2" width="11.57421875" style="0" bestFit="1" customWidth="1"/>
    <col min="3" max="3" width="14.421875" style="0" bestFit="1" customWidth="1" collapsed="1"/>
    <col min="4" max="4" width="11.57421875" style="0" hidden="1" customWidth="1" outlineLevel="1"/>
    <col min="5" max="6" width="12.00390625" style="0" hidden="1" customWidth="1" outlineLevel="1"/>
    <col min="7" max="7" width="14.57421875" style="0" hidden="1" customWidth="1" outlineLevel="1"/>
    <col min="8" max="8" width="12.8515625" style="0" hidden="1" customWidth="1" outlineLevel="1"/>
    <col min="9" max="9" width="12.8515625" style="0" customWidth="1"/>
    <col min="10" max="10" width="14.00390625" style="0" bestFit="1" customWidth="1"/>
    <col min="11" max="12" width="14.00390625" style="0" customWidth="1"/>
    <col min="13" max="13" width="14.8515625" style="0" bestFit="1" customWidth="1"/>
  </cols>
  <sheetData>
    <row r="1" spans="1:13" ht="12.75">
      <c r="A1" s="483" t="s">
        <v>393</v>
      </c>
      <c r="B1" s="483"/>
      <c r="C1" s="483"/>
      <c r="D1" s="483"/>
      <c r="E1" s="483"/>
      <c r="F1" s="483"/>
      <c r="G1" s="483"/>
      <c r="H1" s="483"/>
      <c r="I1" s="483"/>
      <c r="J1" s="483"/>
      <c r="K1" s="483"/>
      <c r="L1" s="483"/>
      <c r="M1" s="483"/>
    </row>
    <row r="2" spans="1:13" ht="12.75">
      <c r="A2" s="483" t="s">
        <v>102</v>
      </c>
      <c r="B2" s="483"/>
      <c r="C2" s="483"/>
      <c r="D2" s="483"/>
      <c r="E2" s="483"/>
      <c r="F2" s="483"/>
      <c r="G2" s="483"/>
      <c r="H2" s="483"/>
      <c r="I2" s="483"/>
      <c r="J2" s="483"/>
      <c r="K2" s="483"/>
      <c r="L2" s="483"/>
      <c r="M2" s="483"/>
    </row>
    <row r="4" spans="1:13" ht="25.5">
      <c r="A4" s="1" t="s">
        <v>206</v>
      </c>
      <c r="B4" s="47">
        <v>2005</v>
      </c>
      <c r="C4" s="468" t="s">
        <v>461</v>
      </c>
      <c r="D4" s="25">
        <v>2006</v>
      </c>
      <c r="E4" s="25">
        <v>2007</v>
      </c>
      <c r="F4" s="25">
        <v>2008</v>
      </c>
      <c r="G4" s="25">
        <v>2009</v>
      </c>
      <c r="H4" s="25">
        <v>2010</v>
      </c>
      <c r="I4" s="25">
        <v>2011</v>
      </c>
      <c r="J4" s="81" t="s">
        <v>346</v>
      </c>
      <c r="K4" s="81" t="s">
        <v>351</v>
      </c>
      <c r="L4" s="81" t="s">
        <v>440</v>
      </c>
      <c r="M4" s="81" t="str">
        <f>"Total "&amp;CHAR(10)&amp;B4&amp;" ~ "&amp;L4</f>
        <v>Total 
2005 ~ FY2015</v>
      </c>
    </row>
    <row r="5" spans="1:14" ht="12.75">
      <c r="A5" s="83" t="s">
        <v>103</v>
      </c>
      <c r="B5" s="239">
        <v>2400</v>
      </c>
      <c r="C5" s="241">
        <f>SUM(D5:F5)*1000+SUM(G5:H5)</f>
        <v>22718486.78</v>
      </c>
      <c r="D5" s="239">
        <v>2835</v>
      </c>
      <c r="E5" s="239">
        <v>5090</v>
      </c>
      <c r="F5" s="239">
        <v>4945</v>
      </c>
      <c r="G5" s="106">
        <v>5442254.75</v>
      </c>
      <c r="H5" s="106">
        <v>4406232.03</v>
      </c>
      <c r="I5" s="106">
        <f>3545482.04+158817</f>
        <v>3704299.04</v>
      </c>
      <c r="J5" s="106">
        <f>11541960.33+200000</f>
        <v>11741960.33</v>
      </c>
      <c r="K5" s="106">
        <f>4939530.12+100000</f>
        <v>5039530.12</v>
      </c>
      <c r="L5" s="106">
        <v>4741212.3100000005</v>
      </c>
      <c r="M5" s="106"/>
      <c r="N5" s="1" t="s">
        <v>268</v>
      </c>
    </row>
    <row r="6" spans="1:13" ht="12.75">
      <c r="A6" s="83" t="s">
        <v>104</v>
      </c>
      <c r="B6" s="239">
        <v>2500</v>
      </c>
      <c r="C6" s="239">
        <f>SUM(D6:F6)*1000+SUM(G6:H6)</f>
        <v>13158998.75</v>
      </c>
      <c r="D6" s="239">
        <v>1905</v>
      </c>
      <c r="E6" s="239">
        <v>2370</v>
      </c>
      <c r="F6" s="239">
        <v>2485</v>
      </c>
      <c r="G6" s="106">
        <v>3145566.5</v>
      </c>
      <c r="H6" s="106">
        <v>3253432.25</v>
      </c>
      <c r="I6" s="106">
        <v>3673979.46</v>
      </c>
      <c r="J6" s="106">
        <v>2201668.64</v>
      </c>
      <c r="K6" s="106">
        <v>3936781.87</v>
      </c>
      <c r="L6" s="106">
        <v>5516406.45</v>
      </c>
      <c r="M6" s="106"/>
    </row>
    <row r="7" spans="1:13" ht="12.75">
      <c r="A7" s="83" t="s">
        <v>105</v>
      </c>
      <c r="B7" s="239">
        <v>5275</v>
      </c>
      <c r="C7" s="239">
        <f>SUM(D7:F7)*1000+SUM(G7:H7)</f>
        <v>17389146.04</v>
      </c>
      <c r="D7" s="239">
        <v>5167</v>
      </c>
      <c r="E7" s="239">
        <v>6895</v>
      </c>
      <c r="F7" s="239">
        <v>4370</v>
      </c>
      <c r="G7" s="106">
        <v>802960.57</v>
      </c>
      <c r="H7" s="106">
        <v>154185.47</v>
      </c>
      <c r="I7" s="106">
        <v>122772.31</v>
      </c>
      <c r="J7" s="106">
        <v>242772.31</v>
      </c>
      <c r="K7" s="106">
        <v>62562.78</v>
      </c>
      <c r="L7" s="106">
        <v>0</v>
      </c>
      <c r="M7" s="106"/>
    </row>
    <row r="8" spans="1:13" ht="12.75">
      <c r="A8" s="83" t="s">
        <v>361</v>
      </c>
      <c r="B8" s="465"/>
      <c r="C8" s="465"/>
      <c r="D8" s="465"/>
      <c r="E8" s="465"/>
      <c r="F8" s="465"/>
      <c r="G8" s="466"/>
      <c r="H8" s="466"/>
      <c r="I8" s="466"/>
      <c r="J8" s="106">
        <v>120000</v>
      </c>
      <c r="K8" s="106">
        <v>60000</v>
      </c>
      <c r="L8" s="106">
        <v>120000</v>
      </c>
      <c r="M8" s="106"/>
    </row>
    <row r="9" spans="1:13" ht="12.75">
      <c r="A9" s="83" t="s">
        <v>362</v>
      </c>
      <c r="B9" s="465"/>
      <c r="C9" s="465"/>
      <c r="D9" s="465"/>
      <c r="E9" s="465"/>
      <c r="F9" s="465"/>
      <c r="G9" s="466"/>
      <c r="H9" s="466"/>
      <c r="I9" s="466"/>
      <c r="J9" s="466"/>
      <c r="K9" s="106">
        <v>1250000</v>
      </c>
      <c r="L9" s="106">
        <v>0</v>
      </c>
      <c r="M9" s="106"/>
    </row>
    <row r="10" spans="1:13" ht="12.75">
      <c r="A10" s="55" t="s">
        <v>459</v>
      </c>
      <c r="B10" s="465"/>
      <c r="C10" s="465"/>
      <c r="D10" s="465"/>
      <c r="E10" s="465"/>
      <c r="F10" s="465"/>
      <c r="G10" s="466"/>
      <c r="H10" s="466"/>
      <c r="I10" s="466"/>
      <c r="J10" s="466"/>
      <c r="K10" s="466"/>
      <c r="L10" s="106">
        <v>0</v>
      </c>
      <c r="M10" s="106"/>
    </row>
    <row r="11" spans="1:13" ht="12.75">
      <c r="A11" s="73" t="s">
        <v>1</v>
      </c>
      <c r="B11" s="239">
        <f>SUM(B5:B7)</f>
        <v>10175</v>
      </c>
      <c r="C11" s="465"/>
      <c r="D11" s="239">
        <f>SUM(D5:D7)</f>
        <v>9907</v>
      </c>
      <c r="E11" s="239">
        <f>SUM(E5:E7)</f>
        <v>14355</v>
      </c>
      <c r="F11" s="239">
        <f>SUM(F5:F7)</f>
        <v>11800</v>
      </c>
      <c r="G11" s="466"/>
      <c r="H11" s="466"/>
      <c r="I11" s="466"/>
      <c r="J11" s="466"/>
      <c r="K11" s="466"/>
      <c r="L11" s="466"/>
      <c r="M11" s="106"/>
    </row>
    <row r="12" spans="1:13" ht="12.75">
      <c r="A12" s="189" t="s">
        <v>205</v>
      </c>
      <c r="B12" s="249">
        <f>B11*1000</f>
        <v>10175000</v>
      </c>
      <c r="C12" s="249">
        <f>SUM(C5:C10)</f>
        <v>53266631.57</v>
      </c>
      <c r="D12" s="249">
        <f>D11*1000</f>
        <v>9907000</v>
      </c>
      <c r="E12" s="249">
        <f>E11*1000</f>
        <v>14355000</v>
      </c>
      <c r="F12" s="249">
        <f>F11*1000</f>
        <v>11800000</v>
      </c>
      <c r="G12" s="234">
        <f>SUM(G5:G7)</f>
        <v>9390781.82</v>
      </c>
      <c r="H12" s="234">
        <f>SUM(H5:H7)</f>
        <v>7813849.75</v>
      </c>
      <c r="I12" s="234">
        <f>SUM(I5:I7)</f>
        <v>7501050.81</v>
      </c>
      <c r="J12" s="234">
        <f>SUM(J5:J7)</f>
        <v>14186401.280000001</v>
      </c>
      <c r="K12" s="234">
        <f>SUM(K5:K9)</f>
        <v>10348874.77</v>
      </c>
      <c r="L12" s="234">
        <f>SUM(L5:L9)</f>
        <v>10377618.760000002</v>
      </c>
      <c r="M12" s="234">
        <f>SUM(B12:L12)</f>
        <v>159122208.76</v>
      </c>
    </row>
    <row r="13" spans="1:13" ht="32.25" customHeight="1">
      <c r="A13" s="490" t="s">
        <v>282</v>
      </c>
      <c r="B13" s="490"/>
      <c r="C13" s="490"/>
      <c r="D13" s="490"/>
      <c r="E13" s="490"/>
      <c r="F13" s="490"/>
      <c r="G13" s="490"/>
      <c r="H13" s="490"/>
      <c r="I13" s="490"/>
      <c r="J13" s="490"/>
      <c r="K13" s="490"/>
      <c r="L13" s="490"/>
      <c r="M13" s="490"/>
    </row>
    <row r="14" spans="1:13" ht="12.75">
      <c r="A14" s="136"/>
      <c r="B14" s="136"/>
      <c r="C14" s="136"/>
      <c r="D14" s="136"/>
      <c r="E14" s="136"/>
      <c r="F14" s="136"/>
      <c r="G14" s="136"/>
      <c r="H14" s="136"/>
      <c r="I14" s="136"/>
      <c r="J14" s="136"/>
      <c r="K14" s="136"/>
      <c r="L14" s="136"/>
      <c r="M14" s="136"/>
    </row>
    <row r="15" spans="1:13" ht="25.5">
      <c r="A15" s="156" t="s">
        <v>207</v>
      </c>
      <c r="B15" s="190">
        <v>2005</v>
      </c>
      <c r="C15" s="469" t="str">
        <f>C4</f>
        <v>Summary 
2006 to 2010*</v>
      </c>
      <c r="D15" s="147">
        <v>2006</v>
      </c>
      <c r="E15" s="147">
        <v>2007</v>
      </c>
      <c r="F15" s="147">
        <v>2008</v>
      </c>
      <c r="G15" s="147">
        <v>2009</v>
      </c>
      <c r="H15" s="147">
        <v>2010</v>
      </c>
      <c r="I15" s="147">
        <v>2011</v>
      </c>
      <c r="J15" s="208" t="str">
        <f>J4</f>
        <v>(18 month)
2012-2013</v>
      </c>
      <c r="K15" s="208" t="str">
        <f>K4</f>
        <v>FY2014</v>
      </c>
      <c r="L15" s="208" t="str">
        <f>L4</f>
        <v>FY2015</v>
      </c>
      <c r="M15" s="208" t="str">
        <f>M4</f>
        <v>Total 
2005 ~ FY2015</v>
      </c>
    </row>
    <row r="16" spans="1:14" ht="12.75">
      <c r="A16" s="83" t="s">
        <v>103</v>
      </c>
      <c r="B16" s="239">
        <v>760</v>
      </c>
      <c r="C16" s="239">
        <f>SUM(D16:F16)*1000+SUM(G16:H16)</f>
        <v>13446829.88</v>
      </c>
      <c r="D16" s="239">
        <v>1580</v>
      </c>
      <c r="E16" s="239">
        <v>2115</v>
      </c>
      <c r="F16" s="239">
        <v>3170</v>
      </c>
      <c r="G16" s="106">
        <v>3354896.89</v>
      </c>
      <c r="H16" s="106">
        <v>3226932.99</v>
      </c>
      <c r="I16" s="106">
        <f>3265285.8+131196</f>
        <v>3396481.8</v>
      </c>
      <c r="J16" s="106">
        <f>8294767.6+0</f>
        <v>8294767.6</v>
      </c>
      <c r="K16" s="373">
        <f>3966239.66+83179.38</f>
        <v>4049419.04</v>
      </c>
      <c r="L16" s="373">
        <v>4018413.3000000003</v>
      </c>
      <c r="M16" s="106"/>
      <c r="N16" s="1" t="s">
        <v>268</v>
      </c>
    </row>
    <row r="17" spans="1:13" ht="12.75">
      <c r="A17" s="83" t="s">
        <v>104</v>
      </c>
      <c r="B17" s="239">
        <v>866</v>
      </c>
      <c r="C17" s="239">
        <f>SUM(D17:F17)*1000+SUM(G17:H17)</f>
        <v>4206887.89</v>
      </c>
      <c r="D17" s="239">
        <v>1292</v>
      </c>
      <c r="E17" s="239">
        <v>1035</v>
      </c>
      <c r="F17" s="239">
        <v>748</v>
      </c>
      <c r="G17" s="106">
        <v>872435.1</v>
      </c>
      <c r="H17" s="106">
        <v>259452.79</v>
      </c>
      <c r="I17" s="106">
        <v>935193.06</v>
      </c>
      <c r="J17" s="106">
        <v>753831.77</v>
      </c>
      <c r="K17" s="373">
        <v>620375.42</v>
      </c>
      <c r="L17" s="373">
        <v>928093.23</v>
      </c>
      <c r="M17" s="106"/>
    </row>
    <row r="18" spans="1:13" ht="12.75">
      <c r="A18" s="83" t="s">
        <v>105</v>
      </c>
      <c r="B18" s="239">
        <v>2028</v>
      </c>
      <c r="C18" s="239">
        <f>SUM(D18:F18)*1000+SUM(G18:H18)</f>
        <v>14379118.46</v>
      </c>
      <c r="D18" s="239">
        <v>4404</v>
      </c>
      <c r="E18" s="239">
        <v>5373</v>
      </c>
      <c r="F18" s="239">
        <v>4250</v>
      </c>
      <c r="G18" s="106">
        <v>300705.3</v>
      </c>
      <c r="H18" s="106">
        <v>51413.16</v>
      </c>
      <c r="I18" s="106">
        <v>0</v>
      </c>
      <c r="J18" s="106">
        <v>60209.53</v>
      </c>
      <c r="K18" s="106">
        <v>0</v>
      </c>
      <c r="L18" s="106">
        <v>0</v>
      </c>
      <c r="M18" s="106"/>
    </row>
    <row r="19" spans="1:13" ht="12.75">
      <c r="A19" s="83" t="s">
        <v>361</v>
      </c>
      <c r="B19" s="465"/>
      <c r="C19" s="465"/>
      <c r="D19" s="465"/>
      <c r="E19" s="465"/>
      <c r="F19" s="465"/>
      <c r="G19" s="466"/>
      <c r="H19" s="466"/>
      <c r="I19" s="466"/>
      <c r="J19" s="106">
        <v>0</v>
      </c>
      <c r="K19" s="106">
        <v>0</v>
      </c>
      <c r="L19" s="106">
        <v>59999.86</v>
      </c>
      <c r="M19" s="106"/>
    </row>
    <row r="20" spans="1:13" ht="12.75">
      <c r="A20" s="83" t="s">
        <v>362</v>
      </c>
      <c r="B20" s="465"/>
      <c r="C20" s="465"/>
      <c r="D20" s="465"/>
      <c r="E20" s="465"/>
      <c r="F20" s="465"/>
      <c r="G20" s="466"/>
      <c r="H20" s="466"/>
      <c r="I20" s="466"/>
      <c r="J20" s="466"/>
      <c r="K20" s="106">
        <v>0</v>
      </c>
      <c r="L20" s="106">
        <v>0</v>
      </c>
      <c r="M20" s="106"/>
    </row>
    <row r="21" spans="1:13" ht="12.75">
      <c r="A21" s="83" t="s">
        <v>458</v>
      </c>
      <c r="B21" s="465"/>
      <c r="C21" s="465"/>
      <c r="D21" s="465"/>
      <c r="E21" s="465"/>
      <c r="F21" s="465"/>
      <c r="G21" s="466"/>
      <c r="H21" s="466"/>
      <c r="I21" s="466"/>
      <c r="J21" s="106">
        <v>0</v>
      </c>
      <c r="K21" s="106">
        <v>83179.38</v>
      </c>
      <c r="L21" s="106">
        <v>7894.91</v>
      </c>
      <c r="M21" s="106"/>
    </row>
    <row r="22" spans="1:13" ht="14.25">
      <c r="A22" s="55" t="s">
        <v>462</v>
      </c>
      <c r="B22" s="465"/>
      <c r="C22" s="465"/>
      <c r="D22" s="465"/>
      <c r="E22" s="465"/>
      <c r="F22" s="465"/>
      <c r="G22" s="466"/>
      <c r="H22" s="466"/>
      <c r="I22" s="466"/>
      <c r="J22" s="466"/>
      <c r="K22" s="466"/>
      <c r="L22" s="106">
        <v>28420.22</v>
      </c>
      <c r="M22" s="106"/>
    </row>
    <row r="23" spans="1:13" ht="12.75">
      <c r="A23" s="73" t="s">
        <v>1</v>
      </c>
      <c r="B23" s="239">
        <f>SUM(B16:B18)</f>
        <v>3654</v>
      </c>
      <c r="C23" s="465"/>
      <c r="D23" s="239">
        <f>SUM(D16:D18)</f>
        <v>7276</v>
      </c>
      <c r="E23" s="239">
        <f>SUM(E16:E18)</f>
        <v>8523</v>
      </c>
      <c r="F23" s="239">
        <f>SUM(F16:F18)</f>
        <v>8168</v>
      </c>
      <c r="G23" s="466"/>
      <c r="H23" s="466"/>
      <c r="I23" s="466"/>
      <c r="J23" s="466"/>
      <c r="K23" s="466"/>
      <c r="L23" s="466"/>
      <c r="M23" s="106"/>
    </row>
    <row r="24" spans="1:13" ht="12.75">
      <c r="A24" s="16" t="s">
        <v>205</v>
      </c>
      <c r="B24" s="243">
        <f>B23*1000</f>
        <v>3654000</v>
      </c>
      <c r="C24" s="243">
        <f>SUM(C16:C22)</f>
        <v>32032836.23</v>
      </c>
      <c r="D24" s="243">
        <f>D23*1000</f>
        <v>7276000</v>
      </c>
      <c r="E24" s="243">
        <f>E23*1000</f>
        <v>8523000</v>
      </c>
      <c r="F24" s="243">
        <f>F23*1000</f>
        <v>8168000</v>
      </c>
      <c r="G24" s="212">
        <f>SUM(G16:G18)</f>
        <v>4528037.29</v>
      </c>
      <c r="H24" s="212">
        <f>SUM(H16:H18)</f>
        <v>3537798.9400000004</v>
      </c>
      <c r="I24" s="212">
        <f>SUM(I16:I18)</f>
        <v>4331674.859999999</v>
      </c>
      <c r="J24" s="212">
        <f>SUM(J16:J18)</f>
        <v>9108808.899999999</v>
      </c>
      <c r="K24" s="212">
        <f>SUM(K16:K20)</f>
        <v>4669794.46</v>
      </c>
      <c r="L24" s="212">
        <f>SUM(L16:L20)</f>
        <v>5006506.390000001</v>
      </c>
      <c r="M24" s="212">
        <f>SUM(B24:L24)</f>
        <v>90836457.07</v>
      </c>
    </row>
    <row r="25" spans="7:12" ht="12.75">
      <c r="G25" s="103"/>
      <c r="H25" s="103"/>
      <c r="I25" s="103"/>
      <c r="J25" s="103"/>
      <c r="K25" s="103"/>
      <c r="L25" s="103"/>
    </row>
    <row r="26" spans="1:13" ht="81.75" customHeight="1">
      <c r="A26" s="491" t="s">
        <v>465</v>
      </c>
      <c r="B26" s="491"/>
      <c r="C26" s="491"/>
      <c r="D26" s="491"/>
      <c r="E26" s="491"/>
      <c r="F26" s="491"/>
      <c r="G26" s="491"/>
      <c r="H26" s="491"/>
      <c r="I26" s="491"/>
      <c r="J26" s="491"/>
      <c r="K26" s="491"/>
      <c r="L26" s="491"/>
      <c r="M26" s="491"/>
    </row>
  </sheetData>
  <sheetProtection/>
  <mergeCells count="4">
    <mergeCell ref="A13:M13"/>
    <mergeCell ref="A2:M2"/>
    <mergeCell ref="A1:M1"/>
    <mergeCell ref="A26:M26"/>
  </mergeCells>
  <printOptions/>
  <pageMargins left="0.17" right="0.17" top="0.4" bottom="0.6" header="0.24" footer="0.24"/>
  <pageSetup fitToHeight="1" fitToWidth="1" horizontalDpi="600" verticalDpi="600" orientation="landscape" r:id="rId1"/>
  <headerFooter scaleWithDoc="0" alignWithMargins="0">
    <oddFooter>&amp;L&amp;6&amp;A - Results by Program Year&amp;R&amp;6printed &amp;D at &amp;T</oddFooter>
  </headerFooter>
  <ignoredErrors>
    <ignoredError sqref="D11:F11 D23:F23 G12:I12 B23 B11" formulaRange="1"/>
  </ignoredErrors>
</worksheet>
</file>

<file path=xl/worksheets/sheet26.xml><?xml version="1.0" encoding="utf-8"?>
<worksheet xmlns="http://schemas.openxmlformats.org/spreadsheetml/2006/main" xmlns:r="http://schemas.openxmlformats.org/officeDocument/2006/relationships">
  <sheetPr>
    <tabColor theme="6"/>
    <pageSetUpPr fitToPage="1"/>
  </sheetPr>
  <dimension ref="A1:L59"/>
  <sheetViews>
    <sheetView showGridLines="0" zoomScalePageLayoutView="0" workbookViewId="0" topLeftCell="A1">
      <selection activeCell="A1" sqref="A1:R1"/>
    </sheetView>
  </sheetViews>
  <sheetFormatPr defaultColWidth="9.140625" defaultRowHeight="12.75"/>
  <cols>
    <col min="1" max="1" width="28.140625" style="0" customWidth="1"/>
    <col min="2" max="8" width="16.140625" style="0" customWidth="1"/>
    <col min="9" max="9" width="17.140625" style="0" customWidth="1"/>
  </cols>
  <sheetData>
    <row r="1" spans="1:9" ht="12.75">
      <c r="A1" s="483" t="s">
        <v>393</v>
      </c>
      <c r="B1" s="483"/>
      <c r="C1" s="483"/>
      <c r="D1" s="483"/>
      <c r="E1" s="483"/>
      <c r="F1" s="483"/>
      <c r="G1" s="483"/>
      <c r="H1" s="483"/>
      <c r="I1" s="483"/>
    </row>
    <row r="2" spans="1:9" ht="12.75">
      <c r="A2" s="483" t="s">
        <v>303</v>
      </c>
      <c r="B2" s="483"/>
      <c r="C2" s="483"/>
      <c r="D2" s="483"/>
      <c r="E2" s="483"/>
      <c r="F2" s="483"/>
      <c r="G2" s="483"/>
      <c r="H2" s="483"/>
      <c r="I2" s="483"/>
    </row>
    <row r="3" spans="1:9" ht="15.75">
      <c r="A3" s="223"/>
      <c r="B3" s="223"/>
      <c r="C3" s="223"/>
      <c r="D3" s="224"/>
      <c r="E3" s="224"/>
      <c r="F3" s="224"/>
      <c r="G3" s="224"/>
      <c r="H3" s="224"/>
      <c r="I3" s="224"/>
    </row>
    <row r="4" spans="1:9" ht="15">
      <c r="A4" s="492" t="s">
        <v>188</v>
      </c>
      <c r="B4" s="492"/>
      <c r="C4" s="492"/>
      <c r="D4" s="492"/>
      <c r="E4" s="492"/>
      <c r="F4" s="492"/>
      <c r="G4" s="492"/>
      <c r="H4" s="492"/>
      <c r="I4" s="492"/>
    </row>
    <row r="5" spans="1:12" ht="25.5">
      <c r="A5" s="30" t="s">
        <v>206</v>
      </c>
      <c r="B5" s="105">
        <v>2008</v>
      </c>
      <c r="C5" s="105">
        <v>2009</v>
      </c>
      <c r="D5" s="105">
        <v>2010</v>
      </c>
      <c r="E5" s="105">
        <v>2011</v>
      </c>
      <c r="F5" s="213" t="s">
        <v>346</v>
      </c>
      <c r="G5" s="213" t="s">
        <v>351</v>
      </c>
      <c r="H5" s="213" t="s">
        <v>440</v>
      </c>
      <c r="I5" s="213" t="str">
        <f>"Total "&amp;CHAR(10)&amp;B5&amp;" ~ "&amp;H5</f>
        <v>Total 
2008 ~ FY2015</v>
      </c>
      <c r="J5" s="146"/>
      <c r="K5" s="136"/>
      <c r="L5" s="136"/>
    </row>
    <row r="6" spans="1:12" ht="12.75">
      <c r="A6" s="18" t="s">
        <v>241</v>
      </c>
      <c r="B6" s="247">
        <v>3000000</v>
      </c>
      <c r="C6" s="279">
        <v>24000000</v>
      </c>
      <c r="D6" s="279">
        <v>27731486.82</v>
      </c>
      <c r="E6" s="279">
        <v>35634153.38</v>
      </c>
      <c r="F6" s="279">
        <v>8364735.63</v>
      </c>
      <c r="G6" s="279">
        <v>9268556.05</v>
      </c>
      <c r="H6" s="279">
        <v>8536276.49</v>
      </c>
      <c r="I6" s="279">
        <f>SUM(B6:H6)</f>
        <v>116535208.36999999</v>
      </c>
      <c r="J6" s="136"/>
      <c r="K6" s="136"/>
      <c r="L6" s="136"/>
    </row>
    <row r="7" spans="1:12" ht="7.5" customHeight="1">
      <c r="A7" s="21"/>
      <c r="B7" s="157"/>
      <c r="C7" s="157"/>
      <c r="D7" s="158"/>
      <c r="E7" s="158"/>
      <c r="F7" s="158"/>
      <c r="G7" s="158"/>
      <c r="H7" s="158"/>
      <c r="I7" s="158"/>
      <c r="J7" s="136"/>
      <c r="K7" s="136"/>
      <c r="L7" s="136"/>
    </row>
    <row r="8" spans="1:12" ht="12.75">
      <c r="A8" s="30" t="s">
        <v>207</v>
      </c>
      <c r="B8" s="75"/>
      <c r="C8" s="75"/>
      <c r="D8" s="140"/>
      <c r="E8" s="140"/>
      <c r="F8" s="140"/>
      <c r="G8" s="140"/>
      <c r="H8" s="140"/>
      <c r="I8" s="158"/>
      <c r="J8" s="136"/>
      <c r="K8" s="136"/>
      <c r="L8" s="136"/>
    </row>
    <row r="9" spans="1:12" ht="12.75">
      <c r="A9" s="181" t="s">
        <v>20</v>
      </c>
      <c r="B9" s="247">
        <v>36033.34</v>
      </c>
      <c r="C9" s="279">
        <v>2480000</v>
      </c>
      <c r="D9" s="279">
        <v>3211000</v>
      </c>
      <c r="E9" s="279">
        <v>5915017</v>
      </c>
      <c r="F9" s="279">
        <v>2396179.58</v>
      </c>
      <c r="G9" s="279">
        <v>384220.38</v>
      </c>
      <c r="H9" s="279">
        <v>501711.61</v>
      </c>
      <c r="I9" s="279">
        <f>SUM(B9:H9)</f>
        <v>14924161.91</v>
      </c>
      <c r="J9" s="136"/>
      <c r="K9" s="136"/>
      <c r="L9" s="136"/>
    </row>
    <row r="10" spans="1:12" ht="12.75">
      <c r="A10" s="181" t="s">
        <v>19</v>
      </c>
      <c r="B10" s="247"/>
      <c r="C10" s="279">
        <v>8582000</v>
      </c>
      <c r="D10" s="279">
        <v>5551000</v>
      </c>
      <c r="E10" s="279">
        <v>6475983</v>
      </c>
      <c r="F10" s="279">
        <v>2942529.32</v>
      </c>
      <c r="G10" s="279">
        <v>2687219.38</v>
      </c>
      <c r="H10" s="279">
        <v>5900326.77</v>
      </c>
      <c r="I10" s="309"/>
      <c r="J10" s="136"/>
      <c r="K10" s="136"/>
      <c r="L10" s="136"/>
    </row>
    <row r="11" spans="1:12" ht="12.75">
      <c r="A11" s="16" t="s">
        <v>1</v>
      </c>
      <c r="B11" s="297">
        <f aca="true" t="shared" si="0" ref="B11:H11">SUM(B9:B10)</f>
        <v>36033.34</v>
      </c>
      <c r="C11" s="289">
        <f t="shared" si="0"/>
        <v>11062000</v>
      </c>
      <c r="D11" s="289">
        <f t="shared" si="0"/>
        <v>8762000</v>
      </c>
      <c r="E11" s="289">
        <f t="shared" si="0"/>
        <v>12391000</v>
      </c>
      <c r="F11" s="289">
        <f t="shared" si="0"/>
        <v>5338708.9</v>
      </c>
      <c r="G11" s="289">
        <f t="shared" si="0"/>
        <v>3071439.76</v>
      </c>
      <c r="H11" s="289">
        <f t="shared" si="0"/>
        <v>6402038.38</v>
      </c>
      <c r="I11" s="309"/>
      <c r="J11" s="136"/>
      <c r="K11" s="136"/>
      <c r="L11" s="136"/>
    </row>
    <row r="12" spans="1:12" ht="7.5" customHeight="1">
      <c r="A12" s="21"/>
      <c r="B12" s="157"/>
      <c r="C12" s="157"/>
      <c r="D12" s="63"/>
      <c r="E12" s="63"/>
      <c r="F12" s="63"/>
      <c r="G12" s="63"/>
      <c r="H12" s="63"/>
      <c r="I12" s="63"/>
      <c r="J12" s="136"/>
      <c r="K12" s="136"/>
      <c r="L12" s="136"/>
    </row>
    <row r="13" spans="1:12" ht="12.75">
      <c r="A13" s="43" t="s">
        <v>5</v>
      </c>
      <c r="B13" s="150"/>
      <c r="C13" s="150"/>
      <c r="D13" s="63"/>
      <c r="E13" s="63"/>
      <c r="F13" s="63"/>
      <c r="G13" s="63"/>
      <c r="H13" s="63"/>
      <c r="I13" s="63"/>
      <c r="J13" s="136"/>
      <c r="K13" s="136"/>
      <c r="L13" s="136"/>
    </row>
    <row r="14" spans="1:12" ht="12.75">
      <c r="A14" s="225" t="s">
        <v>20</v>
      </c>
      <c r="B14" s="252"/>
      <c r="C14" s="252">
        <v>0</v>
      </c>
      <c r="D14" s="252">
        <v>1</v>
      </c>
      <c r="E14" s="252">
        <v>3</v>
      </c>
      <c r="F14" s="252">
        <v>6</v>
      </c>
      <c r="G14" s="252">
        <v>0</v>
      </c>
      <c r="H14" s="252">
        <v>0</v>
      </c>
      <c r="I14" s="310">
        <f>SUM(B14:H14)</f>
        <v>10</v>
      </c>
      <c r="J14" s="130"/>
      <c r="K14" s="136"/>
      <c r="L14" s="136"/>
    </row>
    <row r="15" spans="1:12" ht="12.75">
      <c r="A15" s="225" t="s">
        <v>19</v>
      </c>
      <c r="B15" s="252"/>
      <c r="C15" s="252">
        <v>8</v>
      </c>
      <c r="D15" s="252">
        <v>0</v>
      </c>
      <c r="E15" s="252">
        <v>6</v>
      </c>
      <c r="F15" s="252">
        <v>3</v>
      </c>
      <c r="G15" s="252">
        <v>2</v>
      </c>
      <c r="H15" s="252">
        <v>4</v>
      </c>
      <c r="I15" s="311"/>
      <c r="J15" s="146"/>
      <c r="K15" s="136"/>
      <c r="L15" s="136"/>
    </row>
    <row r="16" spans="1:12" ht="12.75">
      <c r="A16" s="16" t="s">
        <v>1</v>
      </c>
      <c r="B16" s="254">
        <f aca="true" t="shared" si="1" ref="B16:H16">SUM(B14:B15)</f>
        <v>0</v>
      </c>
      <c r="C16" s="254">
        <f t="shared" si="1"/>
        <v>8</v>
      </c>
      <c r="D16" s="254">
        <f t="shared" si="1"/>
        <v>1</v>
      </c>
      <c r="E16" s="254">
        <f t="shared" si="1"/>
        <v>9</v>
      </c>
      <c r="F16" s="254">
        <f t="shared" si="1"/>
        <v>9</v>
      </c>
      <c r="G16" s="254">
        <f t="shared" si="1"/>
        <v>2</v>
      </c>
      <c r="H16" s="254">
        <f t="shared" si="1"/>
        <v>4</v>
      </c>
      <c r="I16" s="311"/>
      <c r="J16" s="146"/>
      <c r="K16" s="136"/>
      <c r="L16" s="136"/>
    </row>
    <row r="17" spans="1:9" ht="12.75">
      <c r="A17" s="21"/>
      <c r="B17" s="21"/>
      <c r="C17" s="21"/>
      <c r="D17" s="44"/>
      <c r="E17" s="44"/>
      <c r="F17" s="44"/>
      <c r="G17" s="44"/>
      <c r="H17" s="44"/>
      <c r="I17" s="44"/>
    </row>
    <row r="18" spans="1:9" ht="15">
      <c r="A18" s="492" t="s">
        <v>302</v>
      </c>
      <c r="B18" s="492"/>
      <c r="C18" s="492"/>
      <c r="D18" s="492"/>
      <c r="E18" s="492"/>
      <c r="F18" s="492"/>
      <c r="G18" s="492"/>
      <c r="H18" s="492"/>
      <c r="I18" s="492"/>
    </row>
    <row r="19" spans="1:9" ht="25.5">
      <c r="A19" s="30" t="s">
        <v>206</v>
      </c>
      <c r="B19" s="105">
        <f aca="true" t="shared" si="2" ref="B19:I19">B5</f>
        <v>2008</v>
      </c>
      <c r="C19" s="105">
        <f t="shared" si="2"/>
        <v>2009</v>
      </c>
      <c r="D19" s="105">
        <f t="shared" si="2"/>
        <v>2010</v>
      </c>
      <c r="E19" s="105">
        <f t="shared" si="2"/>
        <v>2011</v>
      </c>
      <c r="F19" s="213" t="str">
        <f t="shared" si="2"/>
        <v>(18 month)
2012-2013</v>
      </c>
      <c r="G19" s="213" t="str">
        <f t="shared" si="2"/>
        <v>FY2014</v>
      </c>
      <c r="H19" s="213"/>
      <c r="I19" s="213" t="str">
        <f t="shared" si="2"/>
        <v>Total 
2008 ~ FY2015</v>
      </c>
    </row>
    <row r="20" spans="1:9" ht="12.75">
      <c r="A20" s="18" t="s">
        <v>300</v>
      </c>
      <c r="B20" s="247"/>
      <c r="C20" s="279"/>
      <c r="D20" s="279"/>
      <c r="E20" s="279">
        <v>4000000</v>
      </c>
      <c r="F20" s="279">
        <v>3440545.29</v>
      </c>
      <c r="G20" s="279">
        <v>5696319.29</v>
      </c>
      <c r="H20" s="279">
        <v>5237408.95</v>
      </c>
      <c r="I20" s="279">
        <f>SUM(B20:H20)</f>
        <v>18374273.53</v>
      </c>
    </row>
    <row r="21" spans="1:9" ht="7.5" customHeight="1">
      <c r="A21" s="21"/>
      <c r="B21" s="21"/>
      <c r="C21" s="21"/>
      <c r="D21" s="102"/>
      <c r="E21" s="102"/>
      <c r="F21" s="158"/>
      <c r="G21" s="158"/>
      <c r="H21" s="158"/>
      <c r="I21" s="102"/>
    </row>
    <row r="22" spans="1:9" ht="12.75">
      <c r="A22" s="30" t="s">
        <v>207</v>
      </c>
      <c r="B22" s="30"/>
      <c r="C22" s="30"/>
      <c r="D22" s="121"/>
      <c r="E22" s="121"/>
      <c r="F22" s="140"/>
      <c r="G22" s="140"/>
      <c r="H22" s="140"/>
      <c r="I22" s="102"/>
    </row>
    <row r="23" spans="1:9" ht="12.75">
      <c r="A23" s="181" t="s">
        <v>20</v>
      </c>
      <c r="B23" s="247"/>
      <c r="C23" s="279"/>
      <c r="D23" s="279"/>
      <c r="E23" s="279">
        <v>60000</v>
      </c>
      <c r="F23" s="279">
        <v>1944226</v>
      </c>
      <c r="G23" s="279">
        <v>2658910.34</v>
      </c>
      <c r="H23" s="279">
        <v>394802</v>
      </c>
      <c r="I23" s="279">
        <f>SUM(B23:H23)</f>
        <v>5057938.34</v>
      </c>
    </row>
    <row r="24" spans="1:9" ht="12.75">
      <c r="A24" s="181" t="s">
        <v>19</v>
      </c>
      <c r="B24" s="247"/>
      <c r="C24" s="279"/>
      <c r="D24" s="279"/>
      <c r="E24" s="279">
        <v>0</v>
      </c>
      <c r="F24" s="279">
        <v>800000</v>
      </c>
      <c r="G24" s="279">
        <v>270000</v>
      </c>
      <c r="H24" s="279">
        <v>546000</v>
      </c>
      <c r="I24" s="309"/>
    </row>
    <row r="25" spans="1:9" ht="12.75">
      <c r="A25" s="16" t="s">
        <v>1</v>
      </c>
      <c r="B25" s="297"/>
      <c r="C25" s="289"/>
      <c r="D25" s="289"/>
      <c r="E25" s="289">
        <f>SUM(E23:E24)</f>
        <v>60000</v>
      </c>
      <c r="F25" s="289">
        <f>SUM(F23:F24)</f>
        <v>2744226</v>
      </c>
      <c r="G25" s="289">
        <f>SUM(G23:G24)</f>
        <v>2928910.34</v>
      </c>
      <c r="H25" s="289">
        <f>SUM(H23:H24)</f>
        <v>940802</v>
      </c>
      <c r="I25" s="309"/>
    </row>
    <row r="26" spans="1:9" ht="7.5" customHeight="1">
      <c r="A26" s="21"/>
      <c r="B26" s="21"/>
      <c r="C26" s="21"/>
      <c r="D26" s="40"/>
      <c r="E26" s="40"/>
      <c r="F26" s="40"/>
      <c r="G26" s="40"/>
      <c r="H26" s="40"/>
      <c r="I26" s="40"/>
    </row>
    <row r="27" spans="1:9" ht="12.75">
      <c r="A27" s="43" t="s">
        <v>5</v>
      </c>
      <c r="B27" s="43"/>
      <c r="C27" s="43"/>
      <c r="D27" s="40"/>
      <c r="E27" s="40"/>
      <c r="F27" s="40"/>
      <c r="G27" s="40"/>
      <c r="H27" s="40"/>
      <c r="I27" s="40"/>
    </row>
    <row r="28" spans="1:9" ht="12.75">
      <c r="A28" s="225" t="s">
        <v>20</v>
      </c>
      <c r="B28" s="252"/>
      <c r="C28" s="252"/>
      <c r="D28" s="252"/>
      <c r="E28" s="252">
        <v>0</v>
      </c>
      <c r="F28" s="252">
        <v>0</v>
      </c>
      <c r="G28" s="252">
        <v>2</v>
      </c>
      <c r="H28" s="252">
        <v>1</v>
      </c>
      <c r="I28" s="310">
        <f>SUM(B28:H28)</f>
        <v>3</v>
      </c>
    </row>
    <row r="29" spans="1:9" ht="12.75">
      <c r="A29" s="225" t="s">
        <v>19</v>
      </c>
      <c r="B29" s="252"/>
      <c r="C29" s="252"/>
      <c r="D29" s="252"/>
      <c r="E29" s="252">
        <v>0</v>
      </c>
      <c r="F29" s="252">
        <v>3</v>
      </c>
      <c r="G29" s="252">
        <v>1</v>
      </c>
      <c r="H29" s="252">
        <v>1</v>
      </c>
      <c r="I29" s="311"/>
    </row>
    <row r="30" spans="1:9" ht="12.75">
      <c r="A30" s="16" t="s">
        <v>1</v>
      </c>
      <c r="B30" s="254"/>
      <c r="C30" s="254"/>
      <c r="D30" s="254"/>
      <c r="E30" s="254">
        <f>SUM(E28:E29)</f>
        <v>0</v>
      </c>
      <c r="F30" s="254">
        <f>SUM(F28:F29)</f>
        <v>3</v>
      </c>
      <c r="G30" s="254">
        <f>SUM(G28:G29)</f>
        <v>3</v>
      </c>
      <c r="H30" s="254">
        <f>SUM(H28:H29)</f>
        <v>2</v>
      </c>
      <c r="I30" s="311"/>
    </row>
    <row r="32" spans="1:9" ht="15">
      <c r="A32" s="493" t="s">
        <v>356</v>
      </c>
      <c r="B32" s="493"/>
      <c r="C32" s="493"/>
      <c r="D32" s="493"/>
      <c r="E32" s="493"/>
      <c r="F32" s="493"/>
      <c r="G32" s="493"/>
      <c r="H32" s="493"/>
      <c r="I32" s="493"/>
    </row>
    <row r="33" spans="1:9" ht="25.5">
      <c r="A33" s="376" t="s">
        <v>206</v>
      </c>
      <c r="B33" s="450">
        <f aca="true" t="shared" si="3" ref="B33:I33">B5</f>
        <v>2008</v>
      </c>
      <c r="C33" s="450">
        <f t="shared" si="3"/>
        <v>2009</v>
      </c>
      <c r="D33" s="450">
        <f t="shared" si="3"/>
        <v>2010</v>
      </c>
      <c r="E33" s="450">
        <f t="shared" si="3"/>
        <v>2011</v>
      </c>
      <c r="F33" s="450" t="str">
        <f t="shared" si="3"/>
        <v>(18 month)
2012-2013</v>
      </c>
      <c r="G33" s="450" t="str">
        <f t="shared" si="3"/>
        <v>FY2014</v>
      </c>
      <c r="H33" s="450" t="str">
        <f t="shared" si="3"/>
        <v>FY2015</v>
      </c>
      <c r="I33" s="450" t="str">
        <f t="shared" si="3"/>
        <v>Total 
2008 ~ FY2015</v>
      </c>
    </row>
    <row r="34" spans="1:9" ht="12.75">
      <c r="A34" s="377" t="s">
        <v>301</v>
      </c>
      <c r="B34" s="378"/>
      <c r="C34" s="379"/>
      <c r="D34" s="379"/>
      <c r="E34" s="379">
        <v>18000000</v>
      </c>
      <c r="F34" s="379">
        <v>270000</v>
      </c>
      <c r="G34" s="379">
        <v>0</v>
      </c>
      <c r="H34" s="379">
        <v>0</v>
      </c>
      <c r="I34" s="379">
        <f>SUM(B34:H34)</f>
        <v>18270000</v>
      </c>
    </row>
    <row r="35" spans="1:9" ht="7.5" customHeight="1">
      <c r="A35" s="380"/>
      <c r="B35" s="380"/>
      <c r="C35" s="380"/>
      <c r="D35" s="381"/>
      <c r="E35" s="381"/>
      <c r="F35" s="381"/>
      <c r="G35" s="381"/>
      <c r="H35" s="381"/>
      <c r="I35" s="381"/>
    </row>
    <row r="36" spans="1:9" ht="12.75">
      <c r="A36" s="376" t="s">
        <v>207</v>
      </c>
      <c r="B36" s="376"/>
      <c r="C36" s="376"/>
      <c r="D36" s="382"/>
      <c r="E36" s="382"/>
      <c r="F36" s="382"/>
      <c r="G36" s="382"/>
      <c r="H36" s="382"/>
      <c r="I36" s="381"/>
    </row>
    <row r="37" spans="1:9" ht="12.75">
      <c r="A37" s="451" t="s">
        <v>20</v>
      </c>
      <c r="B37" s="378"/>
      <c r="C37" s="379"/>
      <c r="D37" s="379"/>
      <c r="E37" s="379">
        <v>360000</v>
      </c>
      <c r="F37" s="379">
        <v>270000</v>
      </c>
      <c r="G37" s="379">
        <v>0</v>
      </c>
      <c r="H37" s="379">
        <v>0</v>
      </c>
      <c r="I37" s="379">
        <f>SUM(B37:H37)</f>
        <v>630000</v>
      </c>
    </row>
    <row r="38" spans="1:9" ht="12.75">
      <c r="A38" s="451" t="s">
        <v>19</v>
      </c>
      <c r="B38" s="378"/>
      <c r="C38" s="379"/>
      <c r="D38" s="379"/>
      <c r="E38" s="379">
        <v>0</v>
      </c>
      <c r="F38" s="379">
        <v>0</v>
      </c>
      <c r="G38" s="379">
        <v>0</v>
      </c>
      <c r="H38" s="379">
        <v>0</v>
      </c>
      <c r="I38" s="383"/>
    </row>
    <row r="39" spans="1:9" ht="12.75">
      <c r="A39" s="445" t="s">
        <v>1</v>
      </c>
      <c r="B39" s="446"/>
      <c r="C39" s="447"/>
      <c r="D39" s="447"/>
      <c r="E39" s="447">
        <f>SUM(E37:E38)</f>
        <v>360000</v>
      </c>
      <c r="F39" s="447">
        <f>SUM(F37:F38)</f>
        <v>270000</v>
      </c>
      <c r="G39" s="447">
        <f>SUM(G37:G38)</f>
        <v>0</v>
      </c>
      <c r="H39" s="447">
        <f>SUM(H37:H38)</f>
        <v>0</v>
      </c>
      <c r="I39" s="383"/>
    </row>
    <row r="40" spans="1:9" ht="7.5" customHeight="1">
      <c r="A40" s="380"/>
      <c r="B40" s="380"/>
      <c r="C40" s="380"/>
      <c r="D40" s="384"/>
      <c r="E40" s="384"/>
      <c r="F40" s="384"/>
      <c r="G40" s="384"/>
      <c r="H40" s="384"/>
      <c r="I40" s="384"/>
    </row>
    <row r="41" spans="1:9" ht="12.75">
      <c r="A41" s="385" t="s">
        <v>5</v>
      </c>
      <c r="B41" s="385"/>
      <c r="C41" s="385"/>
      <c r="D41" s="384"/>
      <c r="E41" s="384"/>
      <c r="F41" s="384"/>
      <c r="G41" s="384"/>
      <c r="H41" s="384"/>
      <c r="I41" s="384"/>
    </row>
    <row r="42" spans="1:9" ht="12.75">
      <c r="A42" s="448" t="s">
        <v>20</v>
      </c>
      <c r="B42" s="386"/>
      <c r="C42" s="386"/>
      <c r="D42" s="386"/>
      <c r="E42" s="386">
        <v>0</v>
      </c>
      <c r="F42" s="386">
        <v>0</v>
      </c>
      <c r="G42" s="386">
        <v>0</v>
      </c>
      <c r="H42" s="386">
        <v>0</v>
      </c>
      <c r="I42" s="387">
        <f>SUM(B42:H42)</f>
        <v>0</v>
      </c>
    </row>
    <row r="43" spans="1:9" ht="12.75">
      <c r="A43" s="448" t="s">
        <v>19</v>
      </c>
      <c r="B43" s="386"/>
      <c r="C43" s="386"/>
      <c r="D43" s="386"/>
      <c r="E43" s="386">
        <v>0</v>
      </c>
      <c r="F43" s="386">
        <v>0</v>
      </c>
      <c r="G43" s="386">
        <v>0</v>
      </c>
      <c r="H43" s="386">
        <v>0</v>
      </c>
      <c r="I43" s="388"/>
    </row>
    <row r="44" spans="1:9" ht="12.75">
      <c r="A44" s="445" t="s">
        <v>1</v>
      </c>
      <c r="B44" s="449"/>
      <c r="C44" s="449"/>
      <c r="D44" s="449"/>
      <c r="E44" s="449">
        <f>SUM(E42:E43)</f>
        <v>0</v>
      </c>
      <c r="F44" s="449">
        <f>SUM(F42:F43)</f>
        <v>0</v>
      </c>
      <c r="G44" s="449">
        <f>SUM(G42:G43)</f>
        <v>0</v>
      </c>
      <c r="H44" s="449">
        <f>SUM(H42:H43)</f>
        <v>0</v>
      </c>
      <c r="I44" s="388"/>
    </row>
    <row r="47" spans="1:9" ht="15">
      <c r="A47" s="492" t="s">
        <v>360</v>
      </c>
      <c r="B47" s="492"/>
      <c r="C47" s="492"/>
      <c r="D47" s="492"/>
      <c r="E47" s="492"/>
      <c r="F47" s="492"/>
      <c r="G47" s="492"/>
      <c r="H47" s="492"/>
      <c r="I47" s="492"/>
    </row>
    <row r="48" spans="1:9" ht="25.5">
      <c r="A48" s="30" t="s">
        <v>206</v>
      </c>
      <c r="B48" s="105">
        <f aca="true" t="shared" si="4" ref="B48:I48">B5</f>
        <v>2008</v>
      </c>
      <c r="C48" s="105">
        <f t="shared" si="4"/>
        <v>2009</v>
      </c>
      <c r="D48" s="105">
        <f t="shared" si="4"/>
        <v>2010</v>
      </c>
      <c r="E48" s="105">
        <f t="shared" si="4"/>
        <v>2011</v>
      </c>
      <c r="F48" s="213" t="str">
        <f t="shared" si="4"/>
        <v>(18 month)
2012-2013</v>
      </c>
      <c r="G48" s="213" t="str">
        <f t="shared" si="4"/>
        <v>FY2014</v>
      </c>
      <c r="H48" s="213"/>
      <c r="I48" s="213" t="str">
        <f t="shared" si="4"/>
        <v>Total 
2008 ~ FY2015</v>
      </c>
    </row>
    <row r="49" spans="1:9" ht="12.75">
      <c r="A49" s="18" t="s">
        <v>360</v>
      </c>
      <c r="B49" s="247"/>
      <c r="C49" s="279"/>
      <c r="D49" s="279"/>
      <c r="E49" s="279"/>
      <c r="F49" s="279">
        <v>36970000</v>
      </c>
      <c r="G49" s="279">
        <v>16402510.01</v>
      </c>
      <c r="H49" s="279">
        <v>10921624.67</v>
      </c>
      <c r="I49" s="279">
        <f>SUM(B49:H49)</f>
        <v>64294134.68</v>
      </c>
    </row>
    <row r="50" spans="1:9" ht="12.75">
      <c r="A50" s="21"/>
      <c r="B50" s="21"/>
      <c r="C50" s="21"/>
      <c r="D50" s="102"/>
      <c r="E50" s="102"/>
      <c r="F50" s="158"/>
      <c r="G50" s="158"/>
      <c r="H50" s="158"/>
      <c r="I50" s="102"/>
    </row>
    <row r="51" spans="1:9" ht="12.75">
      <c r="A51" s="30" t="s">
        <v>207</v>
      </c>
      <c r="B51" s="30"/>
      <c r="C51" s="30"/>
      <c r="D51" s="121"/>
      <c r="E51" s="121"/>
      <c r="F51" s="140"/>
      <c r="G51" s="140"/>
      <c r="H51" s="140"/>
      <c r="I51" s="102"/>
    </row>
    <row r="52" spans="1:9" ht="12.75">
      <c r="A52" s="181" t="s">
        <v>20</v>
      </c>
      <c r="B52" s="247"/>
      <c r="C52" s="279"/>
      <c r="D52" s="279"/>
      <c r="E52" s="279"/>
      <c r="F52" s="279">
        <v>657723</v>
      </c>
      <c r="G52" s="279">
        <v>2480885.34</v>
      </c>
      <c r="H52" s="279">
        <v>1980960</v>
      </c>
      <c r="I52" s="279">
        <f>SUM(B52:H52)</f>
        <v>5119568.34</v>
      </c>
    </row>
    <row r="53" spans="1:9" ht="12.75">
      <c r="A53" s="181" t="s">
        <v>19</v>
      </c>
      <c r="B53" s="247"/>
      <c r="C53" s="279"/>
      <c r="D53" s="279"/>
      <c r="E53" s="279"/>
      <c r="F53" s="279">
        <v>4361060</v>
      </c>
      <c r="G53" s="279">
        <v>5148960</v>
      </c>
      <c r="H53" s="279">
        <v>6991680</v>
      </c>
      <c r="I53" s="309"/>
    </row>
    <row r="54" spans="1:9" ht="12.75">
      <c r="A54" s="16" t="s">
        <v>1</v>
      </c>
      <c r="B54" s="297"/>
      <c r="C54" s="289"/>
      <c r="D54" s="289"/>
      <c r="E54" s="289"/>
      <c r="F54" s="289">
        <f>SUM(F52:F53)</f>
        <v>5018783</v>
      </c>
      <c r="G54" s="289">
        <f>SUM(G52:G53)</f>
        <v>7629845.34</v>
      </c>
      <c r="H54" s="289">
        <f>SUM(H52:H53)</f>
        <v>8972640</v>
      </c>
      <c r="I54" s="309"/>
    </row>
    <row r="55" spans="1:9" ht="12.75">
      <c r="A55" s="21"/>
      <c r="B55" s="21"/>
      <c r="C55" s="21"/>
      <c r="D55" s="40"/>
      <c r="E55" s="40"/>
      <c r="F55" s="40"/>
      <c r="G55" s="40"/>
      <c r="H55" s="40"/>
      <c r="I55" s="40"/>
    </row>
    <row r="56" spans="1:9" ht="12.75">
      <c r="A56" s="43" t="s">
        <v>5</v>
      </c>
      <c r="B56" s="43"/>
      <c r="C56" s="43"/>
      <c r="D56" s="40"/>
      <c r="E56" s="40"/>
      <c r="F56" s="40"/>
      <c r="G56" s="40"/>
      <c r="H56" s="40"/>
      <c r="I56" s="40"/>
    </row>
    <row r="57" spans="1:9" ht="12.75">
      <c r="A57" s="225" t="s">
        <v>20</v>
      </c>
      <c r="B57" s="252"/>
      <c r="C57" s="252"/>
      <c r="D57" s="252"/>
      <c r="E57" s="252"/>
      <c r="F57" s="252"/>
      <c r="G57" s="252">
        <v>1</v>
      </c>
      <c r="H57" s="252">
        <v>1</v>
      </c>
      <c r="I57" s="310">
        <f>SUM(B57:H57)</f>
        <v>2</v>
      </c>
    </row>
    <row r="58" spans="1:9" ht="12.75">
      <c r="A58" s="225" t="s">
        <v>19</v>
      </c>
      <c r="B58" s="252"/>
      <c r="C58" s="252"/>
      <c r="D58" s="252"/>
      <c r="E58" s="252"/>
      <c r="F58" s="252"/>
      <c r="G58" s="252">
        <v>2</v>
      </c>
      <c r="H58" s="252">
        <v>4</v>
      </c>
      <c r="I58" s="311"/>
    </row>
    <row r="59" spans="1:9" ht="12.75">
      <c r="A59" s="16" t="s">
        <v>1</v>
      </c>
      <c r="B59" s="254"/>
      <c r="C59" s="254"/>
      <c r="D59" s="254"/>
      <c r="E59" s="254"/>
      <c r="F59" s="254"/>
      <c r="G59" s="254">
        <f>SUM(G57:G58)</f>
        <v>3</v>
      </c>
      <c r="H59" s="254">
        <f>SUM(H57:H58)</f>
        <v>5</v>
      </c>
      <c r="I59" s="311"/>
    </row>
  </sheetData>
  <sheetProtection/>
  <mergeCells count="6">
    <mergeCell ref="A2:I2"/>
    <mergeCell ref="A18:I18"/>
    <mergeCell ref="A32:I32"/>
    <mergeCell ref="A4:I4"/>
    <mergeCell ref="A47:I47"/>
    <mergeCell ref="A1:I1"/>
  </mergeCells>
  <printOptions/>
  <pageMargins left="0.17" right="0.17" top="0.4" bottom="0.6" header="0.24" footer="0.24"/>
  <pageSetup fitToHeight="1" fitToWidth="1" horizontalDpi="600" verticalDpi="600" orientation="landscape" scale="71" r:id="rId1"/>
  <headerFooter scaleWithDoc="0" alignWithMargins="0">
    <oddFooter>&amp;L&amp;6&amp;A - Results by Program Year&amp;R&amp;6printed &amp;D at &amp;T</oddFooter>
  </headerFooter>
</worksheet>
</file>

<file path=xl/worksheets/sheet27.xml><?xml version="1.0" encoding="utf-8"?>
<worksheet xmlns="http://schemas.openxmlformats.org/spreadsheetml/2006/main" xmlns:r="http://schemas.openxmlformats.org/officeDocument/2006/relationships">
  <sheetPr>
    <tabColor theme="6"/>
  </sheetPr>
  <dimension ref="A1:M17"/>
  <sheetViews>
    <sheetView showGridLines="0" zoomScalePageLayoutView="0" workbookViewId="0" topLeftCell="A1">
      <selection activeCell="A1" sqref="A1:R1"/>
    </sheetView>
  </sheetViews>
  <sheetFormatPr defaultColWidth="9.140625" defaultRowHeight="12.75"/>
  <cols>
    <col min="1" max="1" width="31.28125" style="0" customWidth="1"/>
    <col min="2" max="7" width="14.8515625" style="0" customWidth="1"/>
    <col min="8" max="8" width="15.8515625" style="0" customWidth="1"/>
  </cols>
  <sheetData>
    <row r="1" spans="1:13" ht="12.75">
      <c r="A1" s="483" t="s">
        <v>393</v>
      </c>
      <c r="B1" s="483"/>
      <c r="C1" s="483"/>
      <c r="D1" s="483"/>
      <c r="E1" s="483"/>
      <c r="F1" s="483"/>
      <c r="G1" s="483"/>
      <c r="H1" s="483"/>
      <c r="I1" s="435"/>
      <c r="J1" s="435"/>
      <c r="K1" s="435"/>
      <c r="L1" s="435"/>
      <c r="M1" s="435"/>
    </row>
    <row r="2" spans="1:8" ht="12.75">
      <c r="A2" s="483" t="s">
        <v>217</v>
      </c>
      <c r="B2" s="483"/>
      <c r="C2" s="483"/>
      <c r="D2" s="483"/>
      <c r="E2" s="483"/>
      <c r="F2" s="483"/>
      <c r="G2" s="483"/>
      <c r="H2" s="483"/>
    </row>
    <row r="3" spans="1:8" ht="12.75">
      <c r="A3" s="21"/>
      <c r="B3" s="6"/>
      <c r="C3" s="6"/>
      <c r="D3" s="6"/>
      <c r="E3" s="6"/>
      <c r="F3" s="6"/>
      <c r="G3" s="6"/>
      <c r="H3" s="6"/>
    </row>
    <row r="4" spans="1:8" ht="25.5">
      <c r="A4" s="30" t="s">
        <v>254</v>
      </c>
      <c r="B4" s="28">
        <v>2009</v>
      </c>
      <c r="C4" s="28">
        <v>2010</v>
      </c>
      <c r="D4" s="28">
        <v>2011</v>
      </c>
      <c r="E4" s="196" t="s">
        <v>346</v>
      </c>
      <c r="F4" s="196" t="s">
        <v>351</v>
      </c>
      <c r="G4" s="196" t="s">
        <v>440</v>
      </c>
      <c r="H4" s="196" t="str">
        <f>"Total "&amp;CHAR(10)&amp;B4&amp;" ~ "&amp;G4</f>
        <v>Total 
2009 ~ FY2015</v>
      </c>
    </row>
    <row r="5" spans="1:8" ht="12.75">
      <c r="A5" s="18" t="s">
        <v>202</v>
      </c>
      <c r="B5" s="278">
        <v>6000000</v>
      </c>
      <c r="C5" s="278">
        <v>5940000</v>
      </c>
      <c r="D5" s="278">
        <v>3655277</v>
      </c>
      <c r="E5" s="279">
        <v>1831042.4</v>
      </c>
      <c r="F5" s="279">
        <v>216198.42</v>
      </c>
      <c r="G5" s="279">
        <v>59747.24</v>
      </c>
      <c r="H5" s="278">
        <f>SUM(B5:G5)</f>
        <v>17702265.06</v>
      </c>
    </row>
    <row r="6" spans="1:8" ht="12.75">
      <c r="A6" s="21"/>
      <c r="B6" s="102"/>
      <c r="C6" s="102"/>
      <c r="D6" s="102"/>
      <c r="E6" s="158"/>
      <c r="F6" s="158"/>
      <c r="G6" s="158"/>
      <c r="H6" s="102"/>
    </row>
    <row r="7" spans="1:8" ht="12.75">
      <c r="A7" s="30" t="s">
        <v>207</v>
      </c>
      <c r="B7" s="121"/>
      <c r="C7" s="121"/>
      <c r="D7" s="121"/>
      <c r="E7" s="140"/>
      <c r="F7" s="140"/>
      <c r="G7" s="140"/>
      <c r="H7" s="102"/>
    </row>
    <row r="8" spans="1:8" ht="12.75">
      <c r="A8" s="225" t="s">
        <v>27</v>
      </c>
      <c r="B8" s="278">
        <v>60000</v>
      </c>
      <c r="C8" s="278">
        <v>839367</v>
      </c>
      <c r="D8" s="278">
        <v>1824234.6</v>
      </c>
      <c r="E8" s="279">
        <v>1602023.91</v>
      </c>
      <c r="F8" s="279">
        <v>0</v>
      </c>
      <c r="G8" s="279">
        <v>0</v>
      </c>
      <c r="H8" s="278">
        <f>SUM(B8:G8)</f>
        <v>4325625.51</v>
      </c>
    </row>
    <row r="9" spans="1:8" ht="12.75">
      <c r="A9" s="225" t="s">
        <v>17</v>
      </c>
      <c r="B9" s="278"/>
      <c r="C9" s="278">
        <v>2155276</v>
      </c>
      <c r="D9" s="278">
        <v>1831041.4</v>
      </c>
      <c r="E9" s="308">
        <v>229017.48</v>
      </c>
      <c r="F9" s="308">
        <v>46323.27</v>
      </c>
      <c r="G9" s="308">
        <v>0</v>
      </c>
      <c r="H9" s="295"/>
    </row>
    <row r="10" spans="1:8" ht="12.75">
      <c r="A10" s="16" t="s">
        <v>1</v>
      </c>
      <c r="B10" s="281">
        <f aca="true" t="shared" si="0" ref="B10:G10">SUM(B8:B9)</f>
        <v>60000</v>
      </c>
      <c r="C10" s="281">
        <f t="shared" si="0"/>
        <v>2994643</v>
      </c>
      <c r="D10" s="281">
        <f t="shared" si="0"/>
        <v>3655276</v>
      </c>
      <c r="E10" s="281">
        <f t="shared" si="0"/>
        <v>1831041.39</v>
      </c>
      <c r="F10" s="281">
        <f t="shared" si="0"/>
        <v>46323.27</v>
      </c>
      <c r="G10" s="281">
        <f t="shared" si="0"/>
        <v>0</v>
      </c>
      <c r="H10" s="295"/>
    </row>
    <row r="11" spans="1:8" ht="12.75">
      <c r="A11" s="21"/>
      <c r="B11" s="40"/>
      <c r="C11" s="40"/>
      <c r="D11" s="40"/>
      <c r="E11" s="40"/>
      <c r="F11" s="40"/>
      <c r="G11" s="40"/>
      <c r="H11" s="40"/>
    </row>
    <row r="12" spans="1:10" ht="12.75">
      <c r="A12" s="43" t="s">
        <v>5</v>
      </c>
      <c r="B12" s="63"/>
      <c r="C12" s="63"/>
      <c r="D12" s="63"/>
      <c r="E12" s="63"/>
      <c r="F12" s="63"/>
      <c r="G12" s="63"/>
      <c r="H12" s="63"/>
      <c r="I12" s="136"/>
      <c r="J12" s="136"/>
    </row>
    <row r="13" spans="1:10" ht="12.75">
      <c r="A13" s="225" t="s">
        <v>20</v>
      </c>
      <c r="B13" s="252">
        <v>0</v>
      </c>
      <c r="C13" s="252">
        <v>0</v>
      </c>
      <c r="D13" s="252">
        <v>1</v>
      </c>
      <c r="E13" s="252">
        <v>6</v>
      </c>
      <c r="F13" s="252">
        <v>0</v>
      </c>
      <c r="G13" s="252">
        <v>1</v>
      </c>
      <c r="H13" s="252">
        <f>SUM(B13:G13)</f>
        <v>8</v>
      </c>
      <c r="I13" s="130"/>
      <c r="J13" s="136"/>
    </row>
    <row r="14" spans="1:10" ht="12.75">
      <c r="A14" s="225" t="s">
        <v>19</v>
      </c>
      <c r="B14" s="252">
        <v>3</v>
      </c>
      <c r="C14" s="252">
        <v>6</v>
      </c>
      <c r="D14" s="252">
        <v>0</v>
      </c>
      <c r="E14" s="252">
        <v>2</v>
      </c>
      <c r="F14" s="252">
        <v>1</v>
      </c>
      <c r="G14" s="252">
        <v>0</v>
      </c>
      <c r="H14" s="252">
        <f>SUM(B14:G14)</f>
        <v>12</v>
      </c>
      <c r="I14" s="146"/>
      <c r="J14" s="136"/>
    </row>
    <row r="15" spans="1:10" ht="12.75">
      <c r="A15" s="16" t="s">
        <v>1</v>
      </c>
      <c r="B15" s="254">
        <f aca="true" t="shared" si="1" ref="B15:G15">SUM(B13:B14)</f>
        <v>3</v>
      </c>
      <c r="C15" s="254">
        <f t="shared" si="1"/>
        <v>6</v>
      </c>
      <c r="D15" s="254">
        <f t="shared" si="1"/>
        <v>1</v>
      </c>
      <c r="E15" s="254">
        <f t="shared" si="1"/>
        <v>8</v>
      </c>
      <c r="F15" s="254">
        <f t="shared" si="1"/>
        <v>1</v>
      </c>
      <c r="G15" s="254">
        <f t="shared" si="1"/>
        <v>1</v>
      </c>
      <c r="H15" s="254">
        <f>SUM(B15:G15)</f>
        <v>20</v>
      </c>
      <c r="I15" s="136"/>
      <c r="J15" s="136"/>
    </row>
    <row r="16" spans="1:10" ht="12.75">
      <c r="A16" s="21"/>
      <c r="B16" s="58"/>
      <c r="C16" s="58"/>
      <c r="D16" s="58"/>
      <c r="E16" s="58"/>
      <c r="F16" s="58"/>
      <c r="G16" s="58"/>
      <c r="H16" s="58"/>
      <c r="I16" s="136"/>
      <c r="J16" s="136"/>
    </row>
    <row r="17" spans="1:10" ht="12.75">
      <c r="A17" s="2"/>
      <c r="B17" s="64"/>
      <c r="C17" s="64"/>
      <c r="D17" s="64"/>
      <c r="E17" s="64"/>
      <c r="F17" s="64"/>
      <c r="G17" s="64"/>
      <c r="H17" s="64"/>
      <c r="I17" s="136"/>
      <c r="J17" s="136"/>
    </row>
  </sheetData>
  <sheetProtection/>
  <mergeCells count="2">
    <mergeCell ref="A2:H2"/>
    <mergeCell ref="A1:H1"/>
  </mergeCells>
  <printOptions/>
  <pageMargins left="0.17" right="0.17" top="0.4" bottom="0.6" header="0.24" footer="0.24"/>
  <pageSetup horizontalDpi="600" verticalDpi="600" orientation="landscape" r:id="rId1"/>
  <headerFooter scaleWithDoc="0" alignWithMargins="0">
    <oddFooter>&amp;L&amp;6&amp;A - Results by Program Year&amp;R&amp;6printed &amp;D at &amp;T</oddFooter>
  </headerFooter>
</worksheet>
</file>

<file path=xl/worksheets/sheet28.xml><?xml version="1.0" encoding="utf-8"?>
<worksheet xmlns="http://schemas.openxmlformats.org/spreadsheetml/2006/main" xmlns:r="http://schemas.openxmlformats.org/officeDocument/2006/relationships">
  <sheetPr>
    <tabColor theme="6"/>
    <pageSetUpPr fitToPage="1"/>
  </sheetPr>
  <dimension ref="A1:O32"/>
  <sheetViews>
    <sheetView showGridLines="0" zoomScalePageLayoutView="0" workbookViewId="0" topLeftCell="A1">
      <selection activeCell="A1" sqref="A1:R1"/>
    </sheetView>
  </sheetViews>
  <sheetFormatPr defaultColWidth="9.140625" defaultRowHeight="12.75"/>
  <cols>
    <col min="1" max="1" width="40.28125" style="0" customWidth="1"/>
    <col min="2" max="2" width="13.7109375" style="0" customWidth="1"/>
    <col min="3" max="3" width="12.57421875" style="0" customWidth="1"/>
    <col min="4" max="4" width="12.140625" style="0" customWidth="1"/>
    <col min="5" max="5" width="11.7109375" style="0" customWidth="1"/>
    <col min="6" max="6" width="10.28125" style="0" bestFit="1" customWidth="1"/>
    <col min="7" max="7" width="10.57421875" style="0" bestFit="1" customWidth="1"/>
  </cols>
  <sheetData>
    <row r="1" spans="1:11" ht="12.75">
      <c r="A1" s="483" t="s">
        <v>393</v>
      </c>
      <c r="B1" s="483"/>
      <c r="C1" s="483"/>
      <c r="D1" s="483"/>
      <c r="E1" s="483"/>
      <c r="F1" s="483"/>
      <c r="G1" s="435"/>
      <c r="H1" s="435"/>
      <c r="I1" s="435"/>
      <c r="J1" s="435"/>
      <c r="K1" s="435"/>
    </row>
    <row r="2" spans="1:6" ht="12.75">
      <c r="A2" s="483" t="s">
        <v>442</v>
      </c>
      <c r="B2" s="483"/>
      <c r="C2" s="483"/>
      <c r="D2" s="483"/>
      <c r="E2" s="483"/>
      <c r="F2" s="483"/>
    </row>
    <row r="3" spans="1:7" ht="15.75">
      <c r="A3" s="25"/>
      <c r="B3" s="25"/>
      <c r="C3" s="25"/>
      <c r="D3" s="25"/>
      <c r="E3" s="25"/>
      <c r="F3" s="25"/>
      <c r="G3" s="372" t="s">
        <v>354</v>
      </c>
    </row>
    <row r="4" spans="2:7" ht="12.75">
      <c r="B4" s="3" t="s">
        <v>127</v>
      </c>
      <c r="C4" s="3" t="s">
        <v>128</v>
      </c>
      <c r="D4" s="3" t="s">
        <v>129</v>
      </c>
      <c r="E4" s="40" t="s">
        <v>130</v>
      </c>
      <c r="F4" s="100" t="s">
        <v>204</v>
      </c>
      <c r="G4" s="365" t="s">
        <v>204</v>
      </c>
    </row>
    <row r="5" spans="1:13" ht="12.75">
      <c r="A5" s="1" t="s">
        <v>153</v>
      </c>
      <c r="B5" s="23"/>
      <c r="C5" s="23"/>
      <c r="D5" s="23"/>
      <c r="E5" s="23"/>
      <c r="F5" s="26" t="s">
        <v>179</v>
      </c>
      <c r="G5" s="366" t="s">
        <v>353</v>
      </c>
      <c r="H5" s="146"/>
      <c r="I5" s="453" t="s">
        <v>447</v>
      </c>
      <c r="J5" s="453"/>
      <c r="K5" s="113"/>
      <c r="L5" s="453" t="s">
        <v>375</v>
      </c>
      <c r="M5" s="136"/>
    </row>
    <row r="6" spans="1:15" ht="12.75">
      <c r="A6" s="22" t="s">
        <v>190</v>
      </c>
      <c r="B6" s="256">
        <v>239520</v>
      </c>
      <c r="C6" s="256">
        <v>205</v>
      </c>
      <c r="D6" s="256">
        <v>476</v>
      </c>
      <c r="E6" s="456">
        <f>F6*2204.62</f>
        <v>2.20462</v>
      </c>
      <c r="F6" s="362">
        <f>0.000001*G6</f>
        <v>0.001</v>
      </c>
      <c r="G6" s="367">
        <v>1000</v>
      </c>
      <c r="I6" s="454" t="s">
        <v>448</v>
      </c>
      <c r="J6" s="136"/>
      <c r="L6" s="454" t="s">
        <v>449</v>
      </c>
      <c r="M6" s="136"/>
      <c r="O6" s="396"/>
    </row>
    <row r="7" spans="1:15" ht="12.75">
      <c r="A7" s="22" t="s">
        <v>191</v>
      </c>
      <c r="B7" s="256">
        <v>43203</v>
      </c>
      <c r="C7" s="256">
        <v>34</v>
      </c>
      <c r="D7" s="256"/>
      <c r="E7" s="456">
        <f>F7*2204.62</f>
        <v>0</v>
      </c>
      <c r="F7" s="363">
        <f>0.000001*G7</f>
        <v>0</v>
      </c>
      <c r="G7" s="368">
        <v>0</v>
      </c>
      <c r="O7" s="396"/>
    </row>
    <row r="8" spans="1:15" ht="12.75">
      <c r="A8" s="22" t="s">
        <v>352</v>
      </c>
      <c r="B8" s="256">
        <v>2248</v>
      </c>
      <c r="C8" s="256">
        <v>18</v>
      </c>
      <c r="D8" s="256">
        <v>45</v>
      </c>
      <c r="E8" s="456">
        <f>F8*2204.62</f>
        <v>0.21164352</v>
      </c>
      <c r="F8" s="362">
        <f>0.000001*G8</f>
        <v>9.6E-05</v>
      </c>
      <c r="G8" s="369">
        <v>96</v>
      </c>
      <c r="H8" s="86" t="s">
        <v>242</v>
      </c>
      <c r="O8" s="396"/>
    </row>
    <row r="9" spans="1:15" ht="12.75">
      <c r="A9" s="22" t="s">
        <v>145</v>
      </c>
      <c r="B9" s="256">
        <v>110098</v>
      </c>
      <c r="C9" s="256">
        <v>94</v>
      </c>
      <c r="D9" s="256">
        <v>219</v>
      </c>
      <c r="E9" s="456">
        <f>F9*2204.62</f>
        <v>1.0141251999999998</v>
      </c>
      <c r="F9" s="362">
        <f>0.000001*G9</f>
        <v>0.00045999999999999996</v>
      </c>
      <c r="G9" s="367">
        <v>460</v>
      </c>
      <c r="O9" s="396"/>
    </row>
    <row r="10" spans="1:15" ht="12.75">
      <c r="A10" s="14" t="s">
        <v>131</v>
      </c>
      <c r="B10" s="267">
        <f aca="true" t="shared" si="0" ref="B10:G10">SUM(B6:B9)</f>
        <v>395069</v>
      </c>
      <c r="C10" s="267">
        <f t="shared" si="0"/>
        <v>351</v>
      </c>
      <c r="D10" s="267">
        <f t="shared" si="0"/>
        <v>740</v>
      </c>
      <c r="E10" s="457">
        <f t="shared" si="0"/>
        <v>3.43038872</v>
      </c>
      <c r="F10" s="362">
        <f t="shared" si="0"/>
        <v>0.0015559999999999999</v>
      </c>
      <c r="G10" s="367">
        <f t="shared" si="0"/>
        <v>1556</v>
      </c>
      <c r="O10" s="396"/>
    </row>
    <row r="11" spans="2:15" ht="12.75">
      <c r="B11" s="138"/>
      <c r="C11" s="138"/>
      <c r="D11" s="138"/>
      <c r="E11" s="138"/>
      <c r="F11" s="362"/>
      <c r="G11" s="370"/>
      <c r="O11" s="396"/>
    </row>
    <row r="12" spans="1:15" ht="12.75">
      <c r="A12" s="1" t="s">
        <v>154</v>
      </c>
      <c r="B12" s="138"/>
      <c r="C12" s="138"/>
      <c r="D12" s="138"/>
      <c r="E12" s="138"/>
      <c r="F12" s="362"/>
      <c r="G12" s="370"/>
      <c r="O12" s="396"/>
    </row>
    <row r="13" spans="1:15" ht="12.75">
      <c r="A13" s="22" t="s">
        <v>190</v>
      </c>
      <c r="B13" s="256">
        <v>3354408</v>
      </c>
      <c r="C13" s="256">
        <v>2866</v>
      </c>
      <c r="D13" s="256">
        <v>6668</v>
      </c>
      <c r="E13" s="455">
        <f>F13*2200</f>
        <v>30.811</v>
      </c>
      <c r="F13" s="362">
        <f>0.000001*G13</f>
        <v>0.014005</v>
      </c>
      <c r="G13" s="369">
        <v>14005</v>
      </c>
      <c r="O13" s="396"/>
    </row>
    <row r="14" spans="1:15" ht="12.75">
      <c r="A14" s="22" t="s">
        <v>191</v>
      </c>
      <c r="B14" s="256">
        <v>811346</v>
      </c>
      <c r="C14" s="256">
        <v>638</v>
      </c>
      <c r="D14" s="256"/>
      <c r="E14" s="455">
        <f>F14*2200</f>
        <v>0</v>
      </c>
      <c r="F14" s="363">
        <f>0.000001*G14</f>
        <v>0</v>
      </c>
      <c r="G14" s="371"/>
      <c r="O14" s="396"/>
    </row>
    <row r="15" spans="1:15" ht="12.75">
      <c r="A15" s="22" t="s">
        <v>352</v>
      </c>
      <c r="B15" s="256">
        <v>36259</v>
      </c>
      <c r="C15" s="256">
        <v>196</v>
      </c>
      <c r="D15" s="256">
        <v>485</v>
      </c>
      <c r="E15" s="455">
        <f>F15*2200</f>
        <v>2.2748</v>
      </c>
      <c r="F15" s="363">
        <f>0.000001*G15</f>
        <v>0.001034</v>
      </c>
      <c r="G15" s="369">
        <v>1034</v>
      </c>
      <c r="H15" s="86" t="s">
        <v>242</v>
      </c>
      <c r="O15" s="396"/>
    </row>
    <row r="16" spans="1:15" ht="12.75">
      <c r="A16" s="22" t="s">
        <v>145</v>
      </c>
      <c r="B16" s="256">
        <v>2201951</v>
      </c>
      <c r="C16" s="256">
        <v>1882</v>
      </c>
      <c r="D16" s="256">
        <v>4377</v>
      </c>
      <c r="E16" s="455">
        <f>F16*2200</f>
        <v>20.226799999999997</v>
      </c>
      <c r="F16" s="362">
        <f>0.000001*G16</f>
        <v>0.009193999999999999</v>
      </c>
      <c r="G16" s="369">
        <v>9194</v>
      </c>
      <c r="O16" s="396"/>
    </row>
    <row r="17" spans="1:15" ht="12.75">
      <c r="A17" s="14" t="s">
        <v>446</v>
      </c>
      <c r="B17" s="245">
        <f aca="true" t="shared" si="1" ref="B17:G17">SUM(B13:B16)</f>
        <v>6403964</v>
      </c>
      <c r="C17" s="245">
        <f t="shared" si="1"/>
        <v>5582</v>
      </c>
      <c r="D17" s="245">
        <f t="shared" si="1"/>
        <v>11530</v>
      </c>
      <c r="E17" s="458">
        <f t="shared" si="1"/>
        <v>53.312599999999996</v>
      </c>
      <c r="F17" s="364">
        <f t="shared" si="1"/>
        <v>0.024232999999999998</v>
      </c>
      <c r="G17" s="367">
        <f t="shared" si="1"/>
        <v>24233</v>
      </c>
      <c r="O17" s="396"/>
    </row>
    <row r="18" spans="2:5" ht="12.75">
      <c r="B18" s="23"/>
      <c r="C18" s="23"/>
      <c r="D18" s="23"/>
      <c r="E18" s="23"/>
    </row>
    <row r="19" ht="12.75">
      <c r="A19" s="1" t="s">
        <v>175</v>
      </c>
    </row>
    <row r="20" spans="1:5" ht="12.75">
      <c r="A20" s="22"/>
      <c r="B20" s="20" t="s">
        <v>127</v>
      </c>
      <c r="C20" s="20" t="s">
        <v>128</v>
      </c>
      <c r="D20" s="20" t="s">
        <v>129</v>
      </c>
      <c r="E20" s="20" t="s">
        <v>130</v>
      </c>
    </row>
    <row r="21" spans="1:5" ht="27.75" customHeight="1">
      <c r="A21" s="85" t="s">
        <v>443</v>
      </c>
      <c r="B21" s="312">
        <f>B10</f>
        <v>395069</v>
      </c>
      <c r="C21" s="312">
        <f>C10</f>
        <v>351</v>
      </c>
      <c r="D21" s="312">
        <f>D10</f>
        <v>740</v>
      </c>
      <c r="E21" s="312">
        <f>E10</f>
        <v>3.43038872</v>
      </c>
    </row>
    <row r="22" spans="1:5" ht="25.5">
      <c r="A22" s="85" t="s">
        <v>444</v>
      </c>
      <c r="B22" s="312">
        <f>B17</f>
        <v>6403964</v>
      </c>
      <c r="C22" s="312">
        <f>C17</f>
        <v>5582</v>
      </c>
      <c r="D22" s="312">
        <f>D17</f>
        <v>11530</v>
      </c>
      <c r="E22" s="312">
        <f>E17</f>
        <v>53.312599999999996</v>
      </c>
    </row>
    <row r="23" spans="1:5" ht="25.5">
      <c r="A23" s="85" t="s">
        <v>445</v>
      </c>
      <c r="B23" s="312">
        <f>'emmission reductions'!R39</f>
        <v>81711903.18562658</v>
      </c>
      <c r="C23" s="312">
        <f>'emmission reductions'!R46</f>
        <v>241512.1317570709</v>
      </c>
      <c r="D23" s="312">
        <f>'emmission reductions'!R53</f>
        <v>257972.9937</v>
      </c>
      <c r="E23" s="312">
        <f>'emmission reductions'!R60</f>
        <v>3238.5526</v>
      </c>
    </row>
    <row r="25" ht="12.75">
      <c r="A25" s="75" t="s">
        <v>441</v>
      </c>
    </row>
    <row r="32" ht="12.75">
      <c r="A32" s="86"/>
    </row>
  </sheetData>
  <sheetProtection/>
  <mergeCells count="2">
    <mergeCell ref="A2:F2"/>
    <mergeCell ref="A1:F1"/>
  </mergeCells>
  <printOptions/>
  <pageMargins left="0.17" right="0.17" top="0.4" bottom="0.6" header="0.24" footer="0.24"/>
  <pageSetup fitToHeight="1" fitToWidth="1" horizontalDpi="600" verticalDpi="600" orientation="landscape" r:id="rId1"/>
  <headerFooter scaleWithDoc="0" alignWithMargins="0">
    <oddFooter>&amp;L&amp;6&amp;A&amp;R&amp;6printed &amp;D at &amp;T</oddFooter>
  </headerFooter>
</worksheet>
</file>

<file path=xl/worksheets/sheet29.xml><?xml version="1.0" encoding="utf-8"?>
<worksheet xmlns="http://schemas.openxmlformats.org/spreadsheetml/2006/main" xmlns:r="http://schemas.openxmlformats.org/officeDocument/2006/relationships">
  <sheetPr>
    <tabColor theme="6"/>
    <outlinePr summaryRight="0"/>
    <pageSetUpPr fitToPage="1"/>
  </sheetPr>
  <dimension ref="A1:V856"/>
  <sheetViews>
    <sheetView showGridLines="0" zoomScalePageLayoutView="0" workbookViewId="0" topLeftCell="A1">
      <selection activeCell="A1" sqref="A1:R1"/>
    </sheetView>
  </sheetViews>
  <sheetFormatPr defaultColWidth="9.140625" defaultRowHeight="12.75" outlineLevelCol="1"/>
  <cols>
    <col min="1" max="1" width="24.00390625" style="0" customWidth="1"/>
    <col min="2" max="2" width="15.8515625" style="0" bestFit="1" customWidth="1"/>
    <col min="3" max="3" width="15.8515625" style="0" customWidth="1" collapsed="1"/>
    <col min="4" max="4" width="11.8515625" style="0" hidden="1" customWidth="1" outlineLevel="1"/>
    <col min="5" max="5" width="13.00390625" style="0" hidden="1" customWidth="1" outlineLevel="1"/>
    <col min="6" max="6" width="12.28125" style="0" hidden="1" customWidth="1" outlineLevel="1"/>
    <col min="7" max="7" width="12.57421875" style="0" hidden="1" customWidth="1" outlineLevel="1"/>
    <col min="8" max="8" width="12.140625" style="0" hidden="1" customWidth="1" outlineLevel="1"/>
    <col min="9" max="9" width="12.57421875" style="0" hidden="1" customWidth="1" outlineLevel="1"/>
    <col min="10" max="10" width="12.8515625" style="0" hidden="1" customWidth="1" outlineLevel="1"/>
    <col min="11" max="11" width="12.140625" style="0" hidden="1" customWidth="1" outlineLevel="1"/>
    <col min="12" max="13" width="11.57421875" style="0" hidden="1" customWidth="1" outlineLevel="1"/>
    <col min="14" max="17" width="11.57421875" style="0" customWidth="1"/>
    <col min="18" max="18" width="23.7109375" style="0" customWidth="1"/>
  </cols>
  <sheetData>
    <row r="1" spans="1:18" ht="12.75">
      <c r="A1" s="483" t="s">
        <v>393</v>
      </c>
      <c r="B1" s="483"/>
      <c r="C1" s="483"/>
      <c r="D1" s="483"/>
      <c r="E1" s="483"/>
      <c r="F1" s="483"/>
      <c r="G1" s="483"/>
      <c r="H1" s="483"/>
      <c r="I1" s="483"/>
      <c r="J1" s="483"/>
      <c r="K1" s="483"/>
      <c r="L1" s="483"/>
      <c r="M1" s="483"/>
      <c r="N1" s="483"/>
      <c r="O1" s="483"/>
      <c r="P1" s="483"/>
      <c r="Q1" s="483"/>
      <c r="R1" s="483"/>
    </row>
    <row r="2" spans="1:18" ht="12.75">
      <c r="A2" s="483" t="s">
        <v>337</v>
      </c>
      <c r="B2" s="483"/>
      <c r="C2" s="483"/>
      <c r="D2" s="483"/>
      <c r="E2" s="483"/>
      <c r="F2" s="483"/>
      <c r="G2" s="483"/>
      <c r="H2" s="483"/>
      <c r="I2" s="483"/>
      <c r="J2" s="483"/>
      <c r="K2" s="483"/>
      <c r="L2" s="483"/>
      <c r="M2" s="483"/>
      <c r="N2" s="483"/>
      <c r="O2" s="483"/>
      <c r="P2" s="483"/>
      <c r="Q2" s="483"/>
      <c r="R2" s="483"/>
    </row>
    <row r="3" spans="1:18" ht="12.75">
      <c r="A3" s="25"/>
      <c r="B3" s="25"/>
      <c r="C3" s="25"/>
      <c r="D3" s="25"/>
      <c r="E3" s="25"/>
      <c r="F3" s="25"/>
      <c r="G3" s="25"/>
      <c r="H3" s="25"/>
      <c r="I3" s="25"/>
      <c r="J3" s="25"/>
      <c r="K3" s="25"/>
      <c r="L3" s="25"/>
      <c r="M3" s="25"/>
      <c r="N3" s="25"/>
      <c r="O3" s="25"/>
      <c r="P3" s="25"/>
      <c r="Q3" s="25"/>
      <c r="R3" s="25"/>
    </row>
    <row r="4" spans="1:19" ht="31.5">
      <c r="A4" s="109"/>
      <c r="B4" s="194" t="s">
        <v>289</v>
      </c>
      <c r="C4" s="194" t="s">
        <v>461</v>
      </c>
      <c r="D4" s="125">
        <v>2001</v>
      </c>
      <c r="E4" s="125">
        <v>2002</v>
      </c>
      <c r="F4" s="125">
        <v>2003</v>
      </c>
      <c r="G4" s="125">
        <v>2004</v>
      </c>
      <c r="H4" s="125">
        <v>2005</v>
      </c>
      <c r="I4" s="125">
        <v>2006</v>
      </c>
      <c r="J4" s="125">
        <v>2007</v>
      </c>
      <c r="K4" s="125">
        <v>2008</v>
      </c>
      <c r="L4" s="125">
        <v>2009</v>
      </c>
      <c r="M4" s="125">
        <v>2010</v>
      </c>
      <c r="N4" s="110">
        <v>2011</v>
      </c>
      <c r="O4" s="126" t="s">
        <v>346</v>
      </c>
      <c r="P4" s="110" t="s">
        <v>351</v>
      </c>
      <c r="Q4" s="110" t="s">
        <v>440</v>
      </c>
      <c r="S4" s="110"/>
    </row>
    <row r="5" spans="1:17" ht="18">
      <c r="A5" s="494" t="s">
        <v>218</v>
      </c>
      <c r="B5" s="494"/>
      <c r="C5" s="494"/>
      <c r="D5" s="495"/>
      <c r="E5" s="495"/>
      <c r="F5" s="495"/>
      <c r="G5" s="495"/>
      <c r="H5" s="495"/>
      <c r="I5" s="495"/>
      <c r="J5" s="495"/>
      <c r="K5" s="495"/>
      <c r="L5" s="495"/>
      <c r="M5" s="114"/>
      <c r="N5" s="114"/>
      <c r="O5" s="114"/>
      <c r="P5" s="114"/>
      <c r="Q5" s="114"/>
    </row>
    <row r="6" spans="1:18" ht="12.75">
      <c r="A6" s="18" t="s">
        <v>314</v>
      </c>
      <c r="B6" s="246">
        <f>SUM(D6:H6)</f>
        <v>832420.7908999999</v>
      </c>
      <c r="C6" s="246">
        <f>SUM(H6:M6)</f>
        <v>1376096.8402</v>
      </c>
      <c r="D6" s="246">
        <v>27478.8487</v>
      </c>
      <c r="E6" s="246">
        <v>116152.0073</v>
      </c>
      <c r="F6" s="246">
        <v>197306.8784</v>
      </c>
      <c r="G6" s="246">
        <v>226972.2163</v>
      </c>
      <c r="H6" s="246">
        <v>264510.8402</v>
      </c>
      <c r="I6" s="246">
        <v>87137</v>
      </c>
      <c r="J6" s="246">
        <v>233311</v>
      </c>
      <c r="K6" s="246">
        <v>231454</v>
      </c>
      <c r="L6" s="246">
        <v>319312</v>
      </c>
      <c r="M6" s="246">
        <v>240372</v>
      </c>
      <c r="N6" s="246">
        <v>374080</v>
      </c>
      <c r="O6" s="246">
        <v>526721</v>
      </c>
      <c r="P6" s="246">
        <v>358453</v>
      </c>
      <c r="Q6" s="246">
        <f>'emision reductions FY2015'!B6</f>
        <v>239520</v>
      </c>
      <c r="R6" s="128"/>
    </row>
    <row r="7" spans="1:18" ht="12.75">
      <c r="A7" s="18" t="s">
        <v>315</v>
      </c>
      <c r="B7" s="246">
        <f>SUM(D7:H7)</f>
        <v>110511.53966000001</v>
      </c>
      <c r="C7" s="246">
        <f>SUM(H7:M7)</f>
        <v>201483.0568</v>
      </c>
      <c r="D7" s="246">
        <v>0</v>
      </c>
      <c r="E7" s="246">
        <v>32926.03936</v>
      </c>
      <c r="F7" s="246">
        <v>21743.5701</v>
      </c>
      <c r="G7" s="246">
        <v>23014.8734</v>
      </c>
      <c r="H7" s="246">
        <v>32827.0568</v>
      </c>
      <c r="I7" s="246">
        <v>34046</v>
      </c>
      <c r="J7" s="246">
        <v>25008</v>
      </c>
      <c r="K7" s="246">
        <v>26044</v>
      </c>
      <c r="L7" s="246">
        <v>33842</v>
      </c>
      <c r="M7" s="246">
        <v>49716</v>
      </c>
      <c r="N7" s="246">
        <v>41617.78842163091</v>
      </c>
      <c r="O7" s="246">
        <v>60943</v>
      </c>
      <c r="P7" s="246">
        <v>46587</v>
      </c>
      <c r="Q7" s="246">
        <f>'emision reductions FY2015'!B7</f>
        <v>43203</v>
      </c>
      <c r="R7" s="98"/>
    </row>
    <row r="8" spans="1:18" ht="12.75">
      <c r="A8" s="18" t="s">
        <v>352</v>
      </c>
      <c r="B8" s="246">
        <f>SUM(D8:H8)</f>
        <v>0</v>
      </c>
      <c r="C8" s="246">
        <f>SUM(H8:M8)</f>
        <v>0</v>
      </c>
      <c r="D8" s="246"/>
      <c r="E8" s="246"/>
      <c r="F8" s="246"/>
      <c r="G8" s="246"/>
      <c r="H8" s="246"/>
      <c r="I8" s="246"/>
      <c r="J8" s="246"/>
      <c r="K8" s="246"/>
      <c r="L8" s="246"/>
      <c r="M8" s="246"/>
      <c r="N8" s="246"/>
      <c r="O8" s="246">
        <v>6560</v>
      </c>
      <c r="P8" s="246">
        <v>29260</v>
      </c>
      <c r="Q8" s="246">
        <f>'emision reductions FY2015'!B8</f>
        <v>2248</v>
      </c>
      <c r="R8" s="98"/>
    </row>
    <row r="9" spans="1:18" ht="12.75">
      <c r="A9" s="22" t="s">
        <v>219</v>
      </c>
      <c r="B9" s="246">
        <f>SUM(D9:H9)</f>
        <v>30686.2691</v>
      </c>
      <c r="C9" s="246">
        <f>SUM(H9:M9)</f>
        <v>756409.3273</v>
      </c>
      <c r="D9" s="246">
        <v>5.7035</v>
      </c>
      <c r="E9" s="246">
        <v>958.6693</v>
      </c>
      <c r="F9" s="246">
        <v>5090.2963</v>
      </c>
      <c r="G9" s="246">
        <v>4501.2727</v>
      </c>
      <c r="H9" s="246">
        <v>20130.3273</v>
      </c>
      <c r="I9" s="246">
        <v>32252</v>
      </c>
      <c r="J9" s="246">
        <v>138231</v>
      </c>
      <c r="K9" s="246">
        <v>160965</v>
      </c>
      <c r="L9" s="246">
        <v>230314</v>
      </c>
      <c r="M9" s="246">
        <v>174517</v>
      </c>
      <c r="N9" s="246">
        <v>315031</v>
      </c>
      <c r="O9" s="246">
        <v>528233</v>
      </c>
      <c r="P9" s="246">
        <v>180783</v>
      </c>
      <c r="Q9" s="246">
        <f>'emision reductions FY2015'!B9</f>
        <v>110098</v>
      </c>
      <c r="R9" s="98"/>
    </row>
    <row r="10" spans="1:18" ht="12.75">
      <c r="A10" s="14" t="s">
        <v>173</v>
      </c>
      <c r="B10" s="245">
        <f aca="true" t="shared" si="0" ref="B10:P10">SUM(B6:B9)</f>
        <v>973618.59966</v>
      </c>
      <c r="C10" s="245">
        <f t="shared" si="0"/>
        <v>2333989.2243</v>
      </c>
      <c r="D10" s="245">
        <f t="shared" si="0"/>
        <v>27484.5522</v>
      </c>
      <c r="E10" s="245">
        <f t="shared" si="0"/>
        <v>150036.71596</v>
      </c>
      <c r="F10" s="245">
        <f t="shared" si="0"/>
        <v>224140.7448</v>
      </c>
      <c r="G10" s="245">
        <f t="shared" si="0"/>
        <v>254488.3624</v>
      </c>
      <c r="H10" s="245">
        <f t="shared" si="0"/>
        <v>317468.2243</v>
      </c>
      <c r="I10" s="245">
        <f t="shared" si="0"/>
        <v>153435</v>
      </c>
      <c r="J10" s="245">
        <f t="shared" si="0"/>
        <v>396550</v>
      </c>
      <c r="K10" s="245">
        <f t="shared" si="0"/>
        <v>418463</v>
      </c>
      <c r="L10" s="245">
        <f t="shared" si="0"/>
        <v>583468</v>
      </c>
      <c r="M10" s="245">
        <f t="shared" si="0"/>
        <v>464605</v>
      </c>
      <c r="N10" s="245">
        <f t="shared" si="0"/>
        <v>730728.7884216309</v>
      </c>
      <c r="O10" s="245">
        <f t="shared" si="0"/>
        <v>1122457</v>
      </c>
      <c r="P10" s="245">
        <f t="shared" si="0"/>
        <v>615083</v>
      </c>
      <c r="Q10" s="245">
        <f>SUM(Q6:Q9)</f>
        <v>395069</v>
      </c>
      <c r="R10" s="98"/>
    </row>
    <row r="11" spans="1:18" ht="12.75">
      <c r="A11" s="111"/>
      <c r="B11" s="111"/>
      <c r="C11" s="111"/>
      <c r="D11" s="112"/>
      <c r="E11" s="112"/>
      <c r="F11" s="112"/>
      <c r="G11" s="112"/>
      <c r="H11" s="112"/>
      <c r="I11" s="112"/>
      <c r="J11" s="112"/>
      <c r="K11" s="112"/>
      <c r="L11" s="112"/>
      <c r="M11" s="112"/>
      <c r="N11" s="112"/>
      <c r="O11" s="112"/>
      <c r="P11" s="112"/>
      <c r="Q11" s="112"/>
      <c r="R11" s="98"/>
    </row>
    <row r="12" spans="1:18" ht="18">
      <c r="A12" s="494" t="s">
        <v>220</v>
      </c>
      <c r="B12" s="494"/>
      <c r="C12" s="494"/>
      <c r="D12" s="495"/>
      <c r="E12" s="495"/>
      <c r="F12" s="495"/>
      <c r="G12" s="495"/>
      <c r="H12" s="495"/>
      <c r="I12" s="495"/>
      <c r="J12" s="495"/>
      <c r="K12" s="495"/>
      <c r="L12" s="495"/>
      <c r="M12" s="114"/>
      <c r="N12" s="114"/>
      <c r="O12" s="114"/>
      <c r="P12" s="114"/>
      <c r="Q12" s="114"/>
      <c r="R12" s="98"/>
    </row>
    <row r="13" spans="1:18" ht="12.75">
      <c r="A13" s="18" t="s">
        <v>314</v>
      </c>
      <c r="B13" s="246">
        <f>SUM(D13:H13)</f>
        <v>1562.976</v>
      </c>
      <c r="C13" s="246">
        <f>SUM(H13:M13)</f>
        <v>11470.2568</v>
      </c>
      <c r="D13" s="246">
        <v>80.1883</v>
      </c>
      <c r="E13" s="246">
        <v>213.9642</v>
      </c>
      <c r="F13" s="246">
        <v>363.46</v>
      </c>
      <c r="G13" s="246">
        <v>418.1067</v>
      </c>
      <c r="H13" s="246">
        <v>487.2568</v>
      </c>
      <c r="I13" s="246">
        <v>161</v>
      </c>
      <c r="J13" s="246">
        <v>430</v>
      </c>
      <c r="K13" s="246">
        <v>426</v>
      </c>
      <c r="L13" s="246">
        <v>9523</v>
      </c>
      <c r="M13" s="246">
        <v>443</v>
      </c>
      <c r="N13" s="246">
        <v>309</v>
      </c>
      <c r="O13" s="246">
        <v>436</v>
      </c>
      <c r="P13" s="246">
        <v>660</v>
      </c>
      <c r="Q13" s="246">
        <f>'emision reductions FY2015'!C6</f>
        <v>205</v>
      </c>
      <c r="R13" s="98"/>
    </row>
    <row r="14" spans="1:18" ht="12.75">
      <c r="A14" s="18" t="s">
        <v>315</v>
      </c>
      <c r="B14" s="246">
        <f>SUM(D14:H14)</f>
        <v>86.89796086000001</v>
      </c>
      <c r="C14" s="246">
        <f>SUM(H14:M14)</f>
        <v>158.8127</v>
      </c>
      <c r="D14" s="246">
        <v>0</v>
      </c>
      <c r="E14" s="246">
        <v>25.89056086</v>
      </c>
      <c r="F14" s="246">
        <v>17.0975</v>
      </c>
      <c r="G14" s="246">
        <v>18.0972</v>
      </c>
      <c r="H14" s="246">
        <v>25.8127</v>
      </c>
      <c r="I14" s="246">
        <v>27</v>
      </c>
      <c r="J14" s="246">
        <v>20</v>
      </c>
      <c r="K14" s="246">
        <v>20</v>
      </c>
      <c r="L14" s="246">
        <v>27</v>
      </c>
      <c r="M14" s="246">
        <v>39</v>
      </c>
      <c r="N14" s="246">
        <v>32.72509858794909</v>
      </c>
      <c r="O14" s="246">
        <v>48</v>
      </c>
      <c r="P14" s="246">
        <v>37</v>
      </c>
      <c r="Q14" s="246">
        <f>'emision reductions FY2015'!C7</f>
        <v>34</v>
      </c>
      <c r="R14" s="98"/>
    </row>
    <row r="15" spans="1:18" ht="12.75">
      <c r="A15" s="18" t="s">
        <v>352</v>
      </c>
      <c r="B15" s="246">
        <f>SUM(D15:H15)</f>
        <v>0</v>
      </c>
      <c r="C15" s="246">
        <f>SUM(H15:M15)</f>
        <v>0</v>
      </c>
      <c r="D15" s="246"/>
      <c r="E15" s="246"/>
      <c r="F15" s="246"/>
      <c r="G15" s="246"/>
      <c r="H15" s="246"/>
      <c r="I15" s="246"/>
      <c r="J15" s="246"/>
      <c r="K15" s="246"/>
      <c r="L15" s="246"/>
      <c r="M15" s="246"/>
      <c r="N15" s="246"/>
      <c r="O15" s="246">
        <v>11</v>
      </c>
      <c r="P15" s="246">
        <v>97</v>
      </c>
      <c r="Q15" s="246">
        <f>'emision reductions FY2015'!C8</f>
        <v>18</v>
      </c>
      <c r="R15" s="98"/>
    </row>
    <row r="16" spans="1:18" ht="12.75">
      <c r="A16" s="22" t="s">
        <v>219</v>
      </c>
      <c r="B16" s="246">
        <f>SUM(D16:H16)</f>
        <v>56.2063</v>
      </c>
      <c r="C16" s="246">
        <f>SUM(H16:M16)</f>
        <v>1393.0822</v>
      </c>
      <c r="D16" s="246">
        <v>0.0166</v>
      </c>
      <c r="E16" s="246">
        <v>1.5323</v>
      </c>
      <c r="F16" s="246">
        <v>9.2834</v>
      </c>
      <c r="G16" s="246">
        <v>8.2918</v>
      </c>
      <c r="H16" s="246">
        <v>37.0822</v>
      </c>
      <c r="I16" s="246">
        <v>59</v>
      </c>
      <c r="J16" s="246">
        <v>255</v>
      </c>
      <c r="K16" s="246">
        <v>297</v>
      </c>
      <c r="L16" s="246">
        <v>424</v>
      </c>
      <c r="M16" s="246">
        <v>321</v>
      </c>
      <c r="N16" s="246">
        <v>260</v>
      </c>
      <c r="O16" s="246">
        <v>437</v>
      </c>
      <c r="P16" s="246">
        <v>333</v>
      </c>
      <c r="Q16" s="246">
        <f>'emision reductions FY2015'!C9</f>
        <v>94</v>
      </c>
      <c r="R16" s="98"/>
    </row>
    <row r="17" spans="1:18" ht="12.75">
      <c r="A17" s="14" t="s">
        <v>173</v>
      </c>
      <c r="B17" s="245">
        <f aca="true" t="shared" si="1" ref="B17:P17">SUM(B13:B16)</f>
        <v>1706.0802608600002</v>
      </c>
      <c r="C17" s="245">
        <f t="shared" si="1"/>
        <v>13022.1517</v>
      </c>
      <c r="D17" s="245">
        <f t="shared" si="1"/>
        <v>80.2049</v>
      </c>
      <c r="E17" s="245">
        <f t="shared" si="1"/>
        <v>241.38706086</v>
      </c>
      <c r="F17" s="245">
        <f t="shared" si="1"/>
        <v>389.84090000000003</v>
      </c>
      <c r="G17" s="245">
        <f t="shared" si="1"/>
        <v>444.4957</v>
      </c>
      <c r="H17" s="245">
        <f t="shared" si="1"/>
        <v>550.1516999999999</v>
      </c>
      <c r="I17" s="245">
        <f t="shared" si="1"/>
        <v>247</v>
      </c>
      <c r="J17" s="245">
        <f t="shared" si="1"/>
        <v>705</v>
      </c>
      <c r="K17" s="245">
        <f t="shared" si="1"/>
        <v>743</v>
      </c>
      <c r="L17" s="245">
        <f t="shared" si="1"/>
        <v>9974</v>
      </c>
      <c r="M17" s="245">
        <f t="shared" si="1"/>
        <v>803</v>
      </c>
      <c r="N17" s="245">
        <f t="shared" si="1"/>
        <v>601.7250985879491</v>
      </c>
      <c r="O17" s="245">
        <f t="shared" si="1"/>
        <v>932</v>
      </c>
      <c r="P17" s="245">
        <f t="shared" si="1"/>
        <v>1127</v>
      </c>
      <c r="Q17" s="245">
        <f>SUM(Q13:Q16)</f>
        <v>351</v>
      </c>
      <c r="R17" s="98"/>
    </row>
    <row r="18" spans="1:18" ht="12.75">
      <c r="A18" s="111"/>
      <c r="B18" s="111"/>
      <c r="C18" s="111"/>
      <c r="D18" s="112"/>
      <c r="E18" s="112"/>
      <c r="F18" s="112"/>
      <c r="G18" s="112"/>
      <c r="H18" s="112"/>
      <c r="I18" s="112"/>
      <c r="J18" s="112"/>
      <c r="K18" s="112"/>
      <c r="L18" s="112"/>
      <c r="M18" s="112"/>
      <c r="N18" s="112"/>
      <c r="O18" s="112"/>
      <c r="P18" s="112"/>
      <c r="Q18" s="112"/>
      <c r="R18" s="98"/>
    </row>
    <row r="19" spans="1:18" ht="18">
      <c r="A19" s="494" t="s">
        <v>221</v>
      </c>
      <c r="B19" s="494"/>
      <c r="C19" s="494"/>
      <c r="D19" s="495"/>
      <c r="E19" s="495"/>
      <c r="F19" s="495"/>
      <c r="G19" s="495"/>
      <c r="H19" s="495"/>
      <c r="I19" s="495"/>
      <c r="J19" s="495"/>
      <c r="K19" s="495"/>
      <c r="L19" s="495"/>
      <c r="M19" s="114"/>
      <c r="N19" s="114"/>
      <c r="O19" s="114"/>
      <c r="P19" s="114"/>
      <c r="Q19" s="114"/>
      <c r="R19" s="98"/>
    </row>
    <row r="20" spans="1:18" ht="12.75">
      <c r="A20" s="18" t="s">
        <v>314</v>
      </c>
      <c r="B20" s="246">
        <f>SUM(D20:H20)</f>
        <v>3570.3392000000003</v>
      </c>
      <c r="C20" s="246">
        <f>SUM(H20:M20)</f>
        <v>5885.1319</v>
      </c>
      <c r="D20" s="246">
        <v>128.1514</v>
      </c>
      <c r="E20" s="246">
        <v>496.7027</v>
      </c>
      <c r="F20" s="246">
        <v>843.7465</v>
      </c>
      <c r="G20" s="246">
        <v>970.6067</v>
      </c>
      <c r="H20" s="246">
        <v>1131.1319</v>
      </c>
      <c r="I20" s="246">
        <v>373</v>
      </c>
      <c r="J20" s="246">
        <v>998</v>
      </c>
      <c r="K20" s="246">
        <v>990</v>
      </c>
      <c r="L20" s="246">
        <v>1365</v>
      </c>
      <c r="M20" s="246">
        <v>1028</v>
      </c>
      <c r="N20" s="246">
        <v>969</v>
      </c>
      <c r="O20" s="246">
        <v>1365</v>
      </c>
      <c r="P20" s="246">
        <v>1533</v>
      </c>
      <c r="Q20" s="246">
        <f>'emision reductions FY2015'!D6</f>
        <v>476</v>
      </c>
      <c r="R20" s="98"/>
    </row>
    <row r="21" spans="1:18" ht="12.75">
      <c r="A21" s="18" t="s">
        <v>315</v>
      </c>
      <c r="B21" s="246">
        <f>SUM(D21:H21)</f>
        <v>0</v>
      </c>
      <c r="C21" s="246">
        <f>SUM(H21:M21)</f>
        <v>0</v>
      </c>
      <c r="D21" s="246">
        <v>0</v>
      </c>
      <c r="E21" s="246">
        <v>0</v>
      </c>
      <c r="F21" s="246">
        <v>0</v>
      </c>
      <c r="G21" s="246">
        <v>0</v>
      </c>
      <c r="H21" s="246">
        <v>0</v>
      </c>
      <c r="I21" s="246">
        <v>0</v>
      </c>
      <c r="J21" s="246">
        <v>0</v>
      </c>
      <c r="K21" s="246">
        <v>0</v>
      </c>
      <c r="L21" s="246">
        <v>0</v>
      </c>
      <c r="M21" s="246">
        <v>0</v>
      </c>
      <c r="N21" s="246">
        <v>0</v>
      </c>
      <c r="O21" s="246">
        <v>0</v>
      </c>
      <c r="P21" s="246">
        <v>0</v>
      </c>
      <c r="Q21" s="246">
        <f>'emision reductions FY2015'!D7</f>
        <v>0</v>
      </c>
      <c r="R21" s="98"/>
    </row>
    <row r="22" spans="1:18" ht="12.75">
      <c r="A22" s="18" t="s">
        <v>352</v>
      </c>
      <c r="B22" s="246">
        <f>SUM(D22:H22)</f>
        <v>0</v>
      </c>
      <c r="C22" s="246">
        <f>SUM(H22:M22)</f>
        <v>0</v>
      </c>
      <c r="D22" s="246"/>
      <c r="E22" s="246"/>
      <c r="F22" s="246"/>
      <c r="G22" s="246"/>
      <c r="H22" s="246"/>
      <c r="I22" s="246"/>
      <c r="J22" s="246"/>
      <c r="K22" s="246"/>
      <c r="L22" s="246"/>
      <c r="M22" s="246"/>
      <c r="N22" s="246"/>
      <c r="O22" s="246">
        <v>37</v>
      </c>
      <c r="P22" s="246">
        <v>177</v>
      </c>
      <c r="Q22" s="246">
        <f>'emision reductions FY2015'!D8</f>
        <v>45</v>
      </c>
      <c r="R22" s="98"/>
    </row>
    <row r="23" spans="1:18" ht="12.75">
      <c r="A23" s="22" t="s">
        <v>219</v>
      </c>
      <c r="B23" s="246">
        <f>SUM(D23:H23)</f>
        <v>129.9017</v>
      </c>
      <c r="C23" s="246">
        <f>SUM(H23:M23)</f>
        <v>3234.0836</v>
      </c>
      <c r="D23" s="246">
        <v>0.0266</v>
      </c>
      <c r="E23" s="246">
        <v>3.1533</v>
      </c>
      <c r="F23" s="246">
        <v>21.3893</v>
      </c>
      <c r="G23" s="246">
        <v>19.2489</v>
      </c>
      <c r="H23" s="246">
        <v>86.0836</v>
      </c>
      <c r="I23" s="246">
        <v>138</v>
      </c>
      <c r="J23" s="246">
        <v>591</v>
      </c>
      <c r="K23" s="246">
        <v>688</v>
      </c>
      <c r="L23" s="246">
        <v>985</v>
      </c>
      <c r="M23" s="246">
        <v>746</v>
      </c>
      <c r="N23" s="246">
        <v>816</v>
      </c>
      <c r="O23" s="246">
        <v>1355</v>
      </c>
      <c r="P23" s="246">
        <v>773</v>
      </c>
      <c r="Q23" s="246">
        <f>'emision reductions FY2015'!D9</f>
        <v>219</v>
      </c>
      <c r="R23" s="98"/>
    </row>
    <row r="24" spans="1:18" ht="12.75">
      <c r="A24" s="14" t="s">
        <v>173</v>
      </c>
      <c r="B24" s="245">
        <f aca="true" t="shared" si="2" ref="B24:P24">SUM(B20:B23)</f>
        <v>3700.2409000000002</v>
      </c>
      <c r="C24" s="245">
        <f t="shared" si="2"/>
        <v>9119.2155</v>
      </c>
      <c r="D24" s="245">
        <f t="shared" si="2"/>
        <v>128.178</v>
      </c>
      <c r="E24" s="245">
        <f t="shared" si="2"/>
        <v>499.856</v>
      </c>
      <c r="F24" s="245">
        <f t="shared" si="2"/>
        <v>865.1358</v>
      </c>
      <c r="G24" s="245">
        <f t="shared" si="2"/>
        <v>989.8556000000001</v>
      </c>
      <c r="H24" s="245">
        <f t="shared" si="2"/>
        <v>1217.2155</v>
      </c>
      <c r="I24" s="245">
        <f t="shared" si="2"/>
        <v>511</v>
      </c>
      <c r="J24" s="245">
        <f t="shared" si="2"/>
        <v>1589</v>
      </c>
      <c r="K24" s="245">
        <f t="shared" si="2"/>
        <v>1678</v>
      </c>
      <c r="L24" s="245">
        <f t="shared" si="2"/>
        <v>2350</v>
      </c>
      <c r="M24" s="245">
        <f t="shared" si="2"/>
        <v>1774</v>
      </c>
      <c r="N24" s="245">
        <f t="shared" si="2"/>
        <v>1785</v>
      </c>
      <c r="O24" s="245">
        <f t="shared" si="2"/>
        <v>2757</v>
      </c>
      <c r="P24" s="245">
        <f t="shared" si="2"/>
        <v>2483</v>
      </c>
      <c r="Q24" s="245">
        <f>SUM(Q20:Q23)</f>
        <v>740</v>
      </c>
      <c r="R24" s="98"/>
    </row>
    <row r="25" spans="1:18" ht="12.75">
      <c r="A25" s="113"/>
      <c r="B25" s="113"/>
      <c r="C25" s="113"/>
      <c r="D25" s="98"/>
      <c r="E25" s="98"/>
      <c r="F25" s="98"/>
      <c r="G25" s="98"/>
      <c r="H25" s="98"/>
      <c r="I25" s="98"/>
      <c r="J25" s="98"/>
      <c r="K25" s="98"/>
      <c r="L25" s="98"/>
      <c r="M25" s="98"/>
      <c r="N25" s="98"/>
      <c r="O25" s="98"/>
      <c r="P25" s="98"/>
      <c r="Q25" s="98"/>
      <c r="R25" s="98"/>
    </row>
    <row r="26" spans="1:18" ht="18">
      <c r="A26" s="494" t="s">
        <v>222</v>
      </c>
      <c r="B26" s="494"/>
      <c r="C26" s="494"/>
      <c r="D26" s="495"/>
      <c r="E26" s="495"/>
      <c r="F26" s="495"/>
      <c r="G26" s="495"/>
      <c r="H26" s="495"/>
      <c r="I26" s="495"/>
      <c r="J26" s="495"/>
      <c r="K26" s="495"/>
      <c r="L26" s="495"/>
      <c r="M26" s="114"/>
      <c r="N26" s="114"/>
      <c r="O26" s="114"/>
      <c r="P26" s="114"/>
      <c r="Q26" s="114"/>
      <c r="R26" s="98"/>
    </row>
    <row r="27" spans="1:19" ht="12.75">
      <c r="A27" s="18" t="s">
        <v>314</v>
      </c>
      <c r="B27" s="246">
        <f>SUM(D27:H27)</f>
        <v>42.68</v>
      </c>
      <c r="C27" s="246">
        <f>SUM(H27:M27)</f>
        <v>70.84</v>
      </c>
      <c r="D27" s="246">
        <v>1.32</v>
      </c>
      <c r="E27" s="246">
        <v>5.94</v>
      </c>
      <c r="F27" s="246">
        <v>10.12</v>
      </c>
      <c r="G27" s="246">
        <v>11.66</v>
      </c>
      <c r="H27" s="246">
        <v>13.64</v>
      </c>
      <c r="I27" s="246">
        <v>4.4</v>
      </c>
      <c r="J27" s="246">
        <v>12.1</v>
      </c>
      <c r="K27" s="246">
        <v>11.88</v>
      </c>
      <c r="L27" s="246">
        <v>16.5</v>
      </c>
      <c r="M27" s="246">
        <v>12.32</v>
      </c>
      <c r="N27" s="246">
        <v>16.06</v>
      </c>
      <c r="O27" s="246">
        <v>22.66</v>
      </c>
      <c r="P27" s="246">
        <v>18.48</v>
      </c>
      <c r="Q27" s="459">
        <f>'emision reductions FY2015'!E6</f>
        <v>2.20462</v>
      </c>
      <c r="R27" s="98"/>
      <c r="S27" s="86" t="s">
        <v>450</v>
      </c>
    </row>
    <row r="28" spans="1:18" ht="12.75">
      <c r="A28" s="18" t="s">
        <v>315</v>
      </c>
      <c r="B28" s="246">
        <f>SUM(D28:H28)</f>
        <v>0</v>
      </c>
      <c r="C28" s="246">
        <f>SUM(H28:M28)</f>
        <v>0</v>
      </c>
      <c r="D28" s="246">
        <v>0</v>
      </c>
      <c r="E28" s="246">
        <v>0</v>
      </c>
      <c r="F28" s="246">
        <v>0</v>
      </c>
      <c r="G28" s="246">
        <v>0</v>
      </c>
      <c r="H28" s="246">
        <v>0</v>
      </c>
      <c r="I28" s="246">
        <v>0</v>
      </c>
      <c r="J28" s="246">
        <v>0</v>
      </c>
      <c r="K28" s="246">
        <v>0</v>
      </c>
      <c r="L28" s="246">
        <v>0</v>
      </c>
      <c r="M28" s="246">
        <v>0</v>
      </c>
      <c r="N28" s="246">
        <v>0</v>
      </c>
      <c r="O28" s="246">
        <v>0</v>
      </c>
      <c r="P28" s="246">
        <v>0</v>
      </c>
      <c r="Q28" s="459">
        <f>'emision reductions FY2015'!E7</f>
        <v>0</v>
      </c>
      <c r="R28" s="98"/>
    </row>
    <row r="29" spans="1:18" ht="12.75">
      <c r="A29" s="18" t="s">
        <v>352</v>
      </c>
      <c r="B29" s="246">
        <f>SUM(D29:H29)</f>
        <v>0</v>
      </c>
      <c r="C29" s="246">
        <f>SUM(H29:M29)</f>
        <v>0</v>
      </c>
      <c r="D29" s="246"/>
      <c r="E29" s="246"/>
      <c r="F29" s="246"/>
      <c r="G29" s="246"/>
      <c r="H29" s="246"/>
      <c r="I29" s="246"/>
      <c r="J29" s="246"/>
      <c r="K29" s="246"/>
      <c r="L29" s="246"/>
      <c r="M29" s="246"/>
      <c r="N29" s="246"/>
      <c r="O29" s="246">
        <v>0.66</v>
      </c>
      <c r="P29" s="246">
        <v>2.2</v>
      </c>
      <c r="Q29" s="459">
        <f>'emision reductions FY2015'!E8</f>
        <v>0.21164352</v>
      </c>
      <c r="R29" s="98"/>
    </row>
    <row r="30" spans="1:18" ht="12.75">
      <c r="A30" s="22" t="s">
        <v>219</v>
      </c>
      <c r="B30" s="246">
        <f>SUM(D30:H30)</f>
        <v>1.54</v>
      </c>
      <c r="C30" s="246">
        <f>SUM(H30:M30)</f>
        <v>39.160000000000004</v>
      </c>
      <c r="D30" s="246">
        <v>0</v>
      </c>
      <c r="E30" s="246">
        <v>0</v>
      </c>
      <c r="F30" s="246">
        <v>0.22</v>
      </c>
      <c r="G30" s="246">
        <v>0.22</v>
      </c>
      <c r="H30" s="246">
        <v>1.1</v>
      </c>
      <c r="I30" s="246">
        <v>1.76</v>
      </c>
      <c r="J30" s="246">
        <v>7.04</v>
      </c>
      <c r="K30" s="246">
        <v>8.36</v>
      </c>
      <c r="L30" s="246">
        <v>11.88</v>
      </c>
      <c r="M30" s="246">
        <v>9.020000000000001</v>
      </c>
      <c r="N30" s="246">
        <v>13.639999999999999</v>
      </c>
      <c r="O30" s="246">
        <v>22.88</v>
      </c>
      <c r="P30" s="246">
        <v>9.24</v>
      </c>
      <c r="Q30" s="459">
        <f>'emision reductions FY2015'!E9</f>
        <v>1.0141251999999998</v>
      </c>
      <c r="R30" s="98"/>
    </row>
    <row r="31" spans="1:18" ht="12.75">
      <c r="A31" s="14" t="s">
        <v>173</v>
      </c>
      <c r="B31" s="245">
        <f aca="true" t="shared" si="3" ref="B31:P31">SUM(B27:B30)</f>
        <v>44.22</v>
      </c>
      <c r="C31" s="245">
        <f t="shared" si="3"/>
        <v>110</v>
      </c>
      <c r="D31" s="245">
        <f t="shared" si="3"/>
        <v>1.32</v>
      </c>
      <c r="E31" s="245">
        <f t="shared" si="3"/>
        <v>5.94</v>
      </c>
      <c r="F31" s="245">
        <f t="shared" si="3"/>
        <v>10.34</v>
      </c>
      <c r="G31" s="245">
        <f t="shared" si="3"/>
        <v>11.88</v>
      </c>
      <c r="H31" s="245">
        <f t="shared" si="3"/>
        <v>14.74</v>
      </c>
      <c r="I31" s="245">
        <f t="shared" si="3"/>
        <v>6.16</v>
      </c>
      <c r="J31" s="245">
        <f t="shared" si="3"/>
        <v>19.14</v>
      </c>
      <c r="K31" s="245">
        <f t="shared" si="3"/>
        <v>20.240000000000002</v>
      </c>
      <c r="L31" s="245">
        <f t="shared" si="3"/>
        <v>28.380000000000003</v>
      </c>
      <c r="M31" s="245">
        <f t="shared" si="3"/>
        <v>21.340000000000003</v>
      </c>
      <c r="N31" s="245">
        <f t="shared" si="3"/>
        <v>29.699999999999996</v>
      </c>
      <c r="O31" s="245">
        <f t="shared" si="3"/>
        <v>46.2</v>
      </c>
      <c r="P31" s="245">
        <f t="shared" si="3"/>
        <v>29.92</v>
      </c>
      <c r="Q31" s="458">
        <f>SUM(Q27:Q30)</f>
        <v>3.43038872</v>
      </c>
      <c r="R31" s="98"/>
    </row>
    <row r="32" spans="1:18" ht="12.75">
      <c r="A32" s="195" t="s">
        <v>291</v>
      </c>
      <c r="B32" s="24"/>
      <c r="C32" s="24"/>
      <c r="D32" s="62"/>
      <c r="E32" s="62"/>
      <c r="F32" s="62"/>
      <c r="G32" s="62"/>
      <c r="H32" s="62"/>
      <c r="I32" s="62"/>
      <c r="J32" s="62"/>
      <c r="K32" s="62"/>
      <c r="L32" s="62"/>
      <c r="M32" s="62"/>
      <c r="N32" s="62"/>
      <c r="O32" s="62"/>
      <c r="P32" s="62"/>
      <c r="Q32" s="62"/>
      <c r="R32" s="98"/>
    </row>
    <row r="33" spans="2:18" ht="31.5">
      <c r="B33" s="194" t="str">
        <f>B4</f>
        <v>Summary 
2001 to 2005*</v>
      </c>
      <c r="C33" s="194" t="str">
        <f>C4</f>
        <v>Summary 
2006 to 2010*</v>
      </c>
      <c r="D33" s="125">
        <f aca="true" t="shared" si="4" ref="D33:O33">D4</f>
        <v>2001</v>
      </c>
      <c r="E33" s="125">
        <f t="shared" si="4"/>
        <v>2002</v>
      </c>
      <c r="F33" s="125">
        <f t="shared" si="4"/>
        <v>2003</v>
      </c>
      <c r="G33" s="125">
        <f t="shared" si="4"/>
        <v>2004</v>
      </c>
      <c r="H33" s="125">
        <f t="shared" si="4"/>
        <v>2005</v>
      </c>
      <c r="I33" s="125">
        <f t="shared" si="4"/>
        <v>2006</v>
      </c>
      <c r="J33" s="125">
        <f t="shared" si="4"/>
        <v>2007</v>
      </c>
      <c r="K33" s="125">
        <f t="shared" si="4"/>
        <v>2008</v>
      </c>
      <c r="L33" s="125">
        <f t="shared" si="4"/>
        <v>2009</v>
      </c>
      <c r="M33" s="125">
        <f t="shared" si="4"/>
        <v>2010</v>
      </c>
      <c r="N33" s="110">
        <f t="shared" si="4"/>
        <v>2011</v>
      </c>
      <c r="O33" s="126" t="str">
        <f t="shared" si="4"/>
        <v>(18 month)
2012-2013</v>
      </c>
      <c r="P33" s="110" t="str">
        <f>P4</f>
        <v>FY2014</v>
      </c>
      <c r="Q33" s="110" t="str">
        <f>Q4</f>
        <v>FY2015</v>
      </c>
      <c r="R33" s="98"/>
    </row>
    <row r="34" spans="1:18" ht="24.75">
      <c r="A34" s="494" t="s">
        <v>223</v>
      </c>
      <c r="B34" s="494"/>
      <c r="C34" s="494"/>
      <c r="D34" s="495"/>
      <c r="E34" s="495"/>
      <c r="F34" s="495"/>
      <c r="G34" s="495"/>
      <c r="H34" s="495"/>
      <c r="I34" s="495"/>
      <c r="J34" s="495"/>
      <c r="K34" s="495"/>
      <c r="L34" s="495"/>
      <c r="M34" s="114"/>
      <c r="N34" s="114"/>
      <c r="O34" s="114"/>
      <c r="P34" s="114"/>
      <c r="Q34" s="114"/>
      <c r="R34" s="126" t="s">
        <v>228</v>
      </c>
    </row>
    <row r="35" spans="1:18" ht="12.75">
      <c r="A35" s="18" t="s">
        <v>314</v>
      </c>
      <c r="B35" s="246">
        <f>SUM(D35:H35)</f>
        <v>10163119.8469</v>
      </c>
      <c r="C35" s="246">
        <f>SUM(H35:M35)</f>
        <v>13291600.3225</v>
      </c>
      <c r="D35" s="246">
        <v>431476.4815</v>
      </c>
      <c r="E35" s="246">
        <v>1757180.6351</v>
      </c>
      <c r="F35" s="246">
        <v>2583422.3795</v>
      </c>
      <c r="G35" s="246">
        <v>2976969.0283</v>
      </c>
      <c r="H35" s="246">
        <v>2414071.3225</v>
      </c>
      <c r="I35" s="246">
        <v>1331361</v>
      </c>
      <c r="J35" s="246">
        <v>2251871</v>
      </c>
      <c r="K35" s="246">
        <v>2180995</v>
      </c>
      <c r="L35" s="313">
        <v>2754296</v>
      </c>
      <c r="M35" s="313">
        <v>2359006</v>
      </c>
      <c r="N35" s="313">
        <v>4024594</v>
      </c>
      <c r="O35" s="313">
        <v>5632033</v>
      </c>
      <c r="P35" s="313">
        <v>4173312</v>
      </c>
      <c r="Q35" s="313">
        <f>'emision reductions FY2015'!B13</f>
        <v>3354408</v>
      </c>
      <c r="R35" s="246">
        <f>SUM(D35:Q35)</f>
        <v>38224995.8469</v>
      </c>
    </row>
    <row r="36" spans="1:18" ht="12.75">
      <c r="A36" s="18" t="s">
        <v>315</v>
      </c>
      <c r="B36" s="246">
        <f>SUM(D36:H36)</f>
        <v>2111666.5382</v>
      </c>
      <c r="C36" s="246">
        <f>SUM(H36:M36)</f>
        <v>3375137.3833</v>
      </c>
      <c r="D36" s="246">
        <v>0</v>
      </c>
      <c r="E36" s="246">
        <v>649611.7158</v>
      </c>
      <c r="F36" s="246">
        <v>409841.9099</v>
      </c>
      <c r="G36" s="246">
        <v>431187.5292</v>
      </c>
      <c r="H36" s="246">
        <v>621025.3833</v>
      </c>
      <c r="I36" s="246">
        <v>485934</v>
      </c>
      <c r="J36" s="246">
        <v>409698</v>
      </c>
      <c r="K36" s="246">
        <v>422582</v>
      </c>
      <c r="L36" s="313">
        <v>559689</v>
      </c>
      <c r="M36" s="313">
        <v>876209</v>
      </c>
      <c r="N36" s="313">
        <v>770773.3050265772</v>
      </c>
      <c r="O36" s="313">
        <v>1140435</v>
      </c>
      <c r="P36" s="313">
        <v>856659</v>
      </c>
      <c r="Q36" s="313">
        <f>'emision reductions FY2015'!B14</f>
        <v>811346</v>
      </c>
      <c r="R36" s="246">
        <f>SUM(D36:Q36)</f>
        <v>8444991.843226578</v>
      </c>
    </row>
    <row r="37" spans="1:18" ht="12.75">
      <c r="A37" s="18" t="s">
        <v>352</v>
      </c>
      <c r="B37" s="246">
        <f>SUM(D37:H37)</f>
        <v>0</v>
      </c>
      <c r="C37" s="246">
        <f>SUM(H37:M37)</f>
        <v>0</v>
      </c>
      <c r="D37" s="246"/>
      <c r="E37" s="246"/>
      <c r="F37" s="246"/>
      <c r="G37" s="246"/>
      <c r="H37" s="246"/>
      <c r="I37" s="246"/>
      <c r="J37" s="246"/>
      <c r="K37" s="246"/>
      <c r="L37" s="313"/>
      <c r="M37" s="313"/>
      <c r="N37" s="313"/>
      <c r="O37" s="313">
        <v>78723</v>
      </c>
      <c r="P37" s="313">
        <v>780457</v>
      </c>
      <c r="Q37" s="313">
        <f>'emision reductions FY2015'!B15</f>
        <v>36259</v>
      </c>
      <c r="R37" s="246">
        <f>SUM(D37:Q37)</f>
        <v>895439</v>
      </c>
    </row>
    <row r="38" spans="1:18" ht="12.75">
      <c r="A38" s="22" t="s">
        <v>219</v>
      </c>
      <c r="B38" s="246">
        <f>SUM(D38:H38)</f>
        <v>525598.4955</v>
      </c>
      <c r="C38" s="246">
        <f>SUM(H38:M38)</f>
        <v>11310331.0364</v>
      </c>
      <c r="D38" s="246">
        <v>86.5</v>
      </c>
      <c r="E38" s="246">
        <v>18068.5046</v>
      </c>
      <c r="F38" s="246">
        <v>77756.7636</v>
      </c>
      <c r="G38" s="246">
        <v>57342.6909</v>
      </c>
      <c r="H38" s="246">
        <v>372344.0364</v>
      </c>
      <c r="I38" s="246">
        <v>561398</v>
      </c>
      <c r="J38" s="246">
        <v>1602106</v>
      </c>
      <c r="K38" s="246">
        <v>2439211</v>
      </c>
      <c r="L38" s="313">
        <v>2983580</v>
      </c>
      <c r="M38" s="313">
        <v>3351692</v>
      </c>
      <c r="N38" s="313">
        <v>6300609</v>
      </c>
      <c r="O38" s="313">
        <v>10564668</v>
      </c>
      <c r="P38" s="313">
        <v>3615663</v>
      </c>
      <c r="Q38" s="313">
        <f>'emision reductions FY2015'!B16</f>
        <v>2201951</v>
      </c>
      <c r="R38" s="246">
        <f>SUM(D38:Q38)</f>
        <v>34146476.4955</v>
      </c>
    </row>
    <row r="39" spans="1:18" ht="12.75">
      <c r="A39" s="14" t="s">
        <v>173</v>
      </c>
      <c r="B39" s="245">
        <f aca="true" t="shared" si="5" ref="B39:P39">SUM(B35:B38)</f>
        <v>12800384.8806</v>
      </c>
      <c r="C39" s="245">
        <f t="shared" si="5"/>
        <v>27977068.742200002</v>
      </c>
      <c r="D39" s="245">
        <f t="shared" si="5"/>
        <v>431562.9815</v>
      </c>
      <c r="E39" s="245">
        <f t="shared" si="5"/>
        <v>2424860.8555</v>
      </c>
      <c r="F39" s="245">
        <f t="shared" si="5"/>
        <v>3071021.053</v>
      </c>
      <c r="G39" s="245">
        <f t="shared" si="5"/>
        <v>3465499.2484</v>
      </c>
      <c r="H39" s="245">
        <f t="shared" si="5"/>
        <v>3407440.7421999997</v>
      </c>
      <c r="I39" s="245">
        <f t="shared" si="5"/>
        <v>2378693</v>
      </c>
      <c r="J39" s="245">
        <f t="shared" si="5"/>
        <v>4263675</v>
      </c>
      <c r="K39" s="245">
        <f t="shared" si="5"/>
        <v>5042788</v>
      </c>
      <c r="L39" s="314">
        <f t="shared" si="5"/>
        <v>6297565</v>
      </c>
      <c r="M39" s="314">
        <f t="shared" si="5"/>
        <v>6586907</v>
      </c>
      <c r="N39" s="314">
        <f t="shared" si="5"/>
        <v>11095976.305026576</v>
      </c>
      <c r="O39" s="314">
        <f t="shared" si="5"/>
        <v>17415859</v>
      </c>
      <c r="P39" s="314">
        <f t="shared" si="5"/>
        <v>9426091</v>
      </c>
      <c r="Q39" s="314">
        <f>SUM(Q35:Q38)</f>
        <v>6403964</v>
      </c>
      <c r="R39" s="245">
        <f>SUM(R35:R38)</f>
        <v>81711903.18562658</v>
      </c>
    </row>
    <row r="40" spans="1:18" ht="12.75">
      <c r="A40" s="113"/>
      <c r="B40" s="113"/>
      <c r="C40" s="113"/>
      <c r="D40" s="98"/>
      <c r="E40" s="98"/>
      <c r="F40" s="98"/>
      <c r="G40" s="98"/>
      <c r="H40" s="98"/>
      <c r="I40" s="98"/>
      <c r="J40" s="98"/>
      <c r="K40" s="98"/>
      <c r="L40" s="98"/>
      <c r="M40" s="98"/>
      <c r="N40" s="98"/>
      <c r="O40" s="98"/>
      <c r="P40" s="98"/>
      <c r="Q40" s="98"/>
      <c r="R40" s="62"/>
    </row>
    <row r="41" spans="1:18" ht="18">
      <c r="A41" s="494" t="s">
        <v>224</v>
      </c>
      <c r="B41" s="494"/>
      <c r="C41" s="494"/>
      <c r="D41" s="495"/>
      <c r="E41" s="495"/>
      <c r="F41" s="495"/>
      <c r="G41" s="495"/>
      <c r="H41" s="495"/>
      <c r="I41" s="495"/>
      <c r="J41" s="495"/>
      <c r="K41" s="495"/>
      <c r="L41" s="495"/>
      <c r="M41" s="114"/>
      <c r="N41" s="114"/>
      <c r="O41" s="114"/>
      <c r="P41" s="114"/>
      <c r="Q41" s="114"/>
      <c r="R41" s="62"/>
    </row>
    <row r="42" spans="1:18" ht="12.75">
      <c r="A42" s="18" t="s">
        <v>314</v>
      </c>
      <c r="B42" s="246">
        <f>SUM(D42:H42)</f>
        <v>19185.8383</v>
      </c>
      <c r="C42" s="246">
        <f>SUM(H42:M42)</f>
        <v>156068.9735</v>
      </c>
      <c r="D42" s="246">
        <v>1259.1268</v>
      </c>
      <c r="E42" s="246">
        <v>3236.9117</v>
      </c>
      <c r="F42" s="246">
        <v>4758.936</v>
      </c>
      <c r="G42" s="246">
        <v>5483.8903</v>
      </c>
      <c r="H42" s="246">
        <v>4446.9735</v>
      </c>
      <c r="I42" s="246">
        <v>2453</v>
      </c>
      <c r="J42" s="246">
        <v>4148</v>
      </c>
      <c r="K42" s="246">
        <v>4018</v>
      </c>
      <c r="L42" s="313">
        <v>136657</v>
      </c>
      <c r="M42" s="313">
        <v>4346</v>
      </c>
      <c r="N42" s="313">
        <v>3328</v>
      </c>
      <c r="O42" s="313">
        <v>4657</v>
      </c>
      <c r="P42" s="313">
        <v>7688</v>
      </c>
      <c r="Q42" s="313">
        <f>'emision reductions FY2015'!C13</f>
        <v>2866</v>
      </c>
      <c r="R42" s="246">
        <f>SUM(D42:Q42)</f>
        <v>189346.8383</v>
      </c>
    </row>
    <row r="43" spans="1:18" ht="12.75">
      <c r="A43" s="18" t="s">
        <v>315</v>
      </c>
      <c r="B43" s="246">
        <f>SUM(D43:H43)</f>
        <v>1660.4557936</v>
      </c>
      <c r="C43" s="246">
        <f>SUM(H43:M43)</f>
        <v>2653.3277</v>
      </c>
      <c r="D43" s="246">
        <v>0</v>
      </c>
      <c r="E43" s="246">
        <v>510.8057936</v>
      </c>
      <c r="F43" s="246">
        <v>322.2689</v>
      </c>
      <c r="G43" s="246">
        <v>339.0534</v>
      </c>
      <c r="H43" s="246">
        <v>488.3277</v>
      </c>
      <c r="I43" s="246">
        <v>382</v>
      </c>
      <c r="J43" s="246">
        <v>322</v>
      </c>
      <c r="K43" s="246">
        <v>332</v>
      </c>
      <c r="L43" s="313">
        <v>440</v>
      </c>
      <c r="M43" s="313">
        <v>689</v>
      </c>
      <c r="N43" s="313">
        <v>606.0781543798727</v>
      </c>
      <c r="O43" s="313">
        <v>362</v>
      </c>
      <c r="P43" s="313">
        <v>674</v>
      </c>
      <c r="Q43" s="313">
        <f>'emision reductions FY2015'!C14</f>
        <v>638</v>
      </c>
      <c r="R43" s="246">
        <f>SUM(D43:Q43)</f>
        <v>6105.533947979873</v>
      </c>
    </row>
    <row r="44" spans="1:18" ht="12.75">
      <c r="A44" s="18" t="s">
        <v>352</v>
      </c>
      <c r="B44" s="246">
        <f>SUM(D44:H44)</f>
        <v>0</v>
      </c>
      <c r="C44" s="246">
        <f>SUM(H44:M44)</f>
        <v>0</v>
      </c>
      <c r="D44" s="246"/>
      <c r="E44" s="246"/>
      <c r="F44" s="246"/>
      <c r="G44" s="246"/>
      <c r="H44" s="246"/>
      <c r="I44" s="246"/>
      <c r="J44" s="246"/>
      <c r="K44" s="246"/>
      <c r="L44" s="313"/>
      <c r="M44" s="313"/>
      <c r="N44" s="313"/>
      <c r="O44" s="313">
        <v>136</v>
      </c>
      <c r="P44" s="313">
        <v>2130</v>
      </c>
      <c r="Q44" s="313">
        <f>'emision reductions FY2015'!C15</f>
        <v>196</v>
      </c>
      <c r="R44" s="246">
        <f>SUM(D44:Q44)</f>
        <v>2462</v>
      </c>
    </row>
    <row r="45" spans="1:18" ht="12.75">
      <c r="A45" s="22" t="s">
        <v>219</v>
      </c>
      <c r="B45" s="246">
        <f>SUM(D45:H45)</f>
        <v>961.7595090909999</v>
      </c>
      <c r="C45" s="246">
        <f>SUM(H45:M45)</f>
        <v>20833.8969</v>
      </c>
      <c r="D45" s="246">
        <v>0.2524</v>
      </c>
      <c r="E45" s="246">
        <v>28.611409091</v>
      </c>
      <c r="F45" s="246">
        <v>141.3675</v>
      </c>
      <c r="G45" s="246">
        <v>105.6313</v>
      </c>
      <c r="H45" s="246">
        <v>685.8969</v>
      </c>
      <c r="I45" s="246">
        <v>1034</v>
      </c>
      <c r="J45" s="246">
        <v>2951</v>
      </c>
      <c r="K45" s="246">
        <v>4493</v>
      </c>
      <c r="L45" s="313">
        <v>5496</v>
      </c>
      <c r="M45" s="313">
        <v>6174</v>
      </c>
      <c r="N45" s="313">
        <v>5210</v>
      </c>
      <c r="O45" s="313">
        <v>8736</v>
      </c>
      <c r="P45" s="313">
        <v>6660</v>
      </c>
      <c r="Q45" s="313">
        <f>'emision reductions FY2015'!C16</f>
        <v>1882</v>
      </c>
      <c r="R45" s="246">
        <f>SUM(D45:Q45)</f>
        <v>43597.759509091</v>
      </c>
    </row>
    <row r="46" spans="1:18" ht="12.75">
      <c r="A46" s="14" t="s">
        <v>173</v>
      </c>
      <c r="B46" s="245">
        <f aca="true" t="shared" si="6" ref="B46:P46">SUM(B42:B45)</f>
        <v>21808.053602691</v>
      </c>
      <c r="C46" s="245">
        <f t="shared" si="6"/>
        <v>179556.19809999998</v>
      </c>
      <c r="D46" s="245">
        <f t="shared" si="6"/>
        <v>1259.3792</v>
      </c>
      <c r="E46" s="245">
        <f t="shared" si="6"/>
        <v>3776.328902691</v>
      </c>
      <c r="F46" s="245">
        <f t="shared" si="6"/>
        <v>5222.5724</v>
      </c>
      <c r="G46" s="245">
        <f t="shared" si="6"/>
        <v>5928.575</v>
      </c>
      <c r="H46" s="245">
        <f t="shared" si="6"/>
        <v>5621.1981</v>
      </c>
      <c r="I46" s="245">
        <f t="shared" si="6"/>
        <v>3869</v>
      </c>
      <c r="J46" s="245">
        <f t="shared" si="6"/>
        <v>7421</v>
      </c>
      <c r="K46" s="245">
        <f t="shared" si="6"/>
        <v>8843</v>
      </c>
      <c r="L46" s="314">
        <f t="shared" si="6"/>
        <v>142593</v>
      </c>
      <c r="M46" s="314">
        <f t="shared" si="6"/>
        <v>11209</v>
      </c>
      <c r="N46" s="314">
        <f t="shared" si="6"/>
        <v>9144.078154379873</v>
      </c>
      <c r="O46" s="314">
        <f t="shared" si="6"/>
        <v>13891</v>
      </c>
      <c r="P46" s="314">
        <f t="shared" si="6"/>
        <v>17152</v>
      </c>
      <c r="Q46" s="314">
        <f>SUM(Q42:Q45)</f>
        <v>5582</v>
      </c>
      <c r="R46" s="245">
        <f>SUM(R42:R45)</f>
        <v>241512.1317570709</v>
      </c>
    </row>
    <row r="47" spans="1:18" ht="12.75">
      <c r="A47" s="113"/>
      <c r="B47" s="113"/>
      <c r="C47" s="113"/>
      <c r="D47" s="98"/>
      <c r="E47" s="98"/>
      <c r="F47" s="98"/>
      <c r="G47" s="98"/>
      <c r="H47" s="98"/>
      <c r="I47" s="98"/>
      <c r="J47" s="98"/>
      <c r="K47" s="98"/>
      <c r="L47" s="98"/>
      <c r="M47" s="98"/>
      <c r="N47" s="98"/>
      <c r="O47" s="98"/>
      <c r="P47" s="98"/>
      <c r="Q47" s="98"/>
      <c r="R47" s="62"/>
    </row>
    <row r="48" spans="1:18" ht="18">
      <c r="A48" s="494" t="s">
        <v>225</v>
      </c>
      <c r="B48" s="494"/>
      <c r="C48" s="494"/>
      <c r="D48" s="495"/>
      <c r="E48" s="495"/>
      <c r="F48" s="495"/>
      <c r="G48" s="495"/>
      <c r="H48" s="495"/>
      <c r="I48" s="495"/>
      <c r="J48" s="495"/>
      <c r="K48" s="495"/>
      <c r="L48" s="495"/>
      <c r="M48" s="114"/>
      <c r="N48" s="114"/>
      <c r="O48" s="114"/>
      <c r="P48" s="114"/>
      <c r="Q48" s="114"/>
      <c r="R48" s="62"/>
    </row>
    <row r="49" spans="1:18" ht="12.75">
      <c r="A49" s="18" t="s">
        <v>314</v>
      </c>
      <c r="B49" s="246">
        <f>SUM(D49:H49)</f>
        <v>43627.8296</v>
      </c>
      <c r="C49" s="246">
        <f>SUM(H49:M49)</f>
        <v>56839.3313</v>
      </c>
      <c r="D49" s="246">
        <v>2012.2494</v>
      </c>
      <c r="E49" s="246">
        <v>7514.2593</v>
      </c>
      <c r="F49" s="246">
        <v>11047.5299</v>
      </c>
      <c r="G49" s="246">
        <v>12730.4597</v>
      </c>
      <c r="H49" s="246">
        <v>10323.3313</v>
      </c>
      <c r="I49" s="246">
        <v>5693</v>
      </c>
      <c r="J49" s="246">
        <v>9630</v>
      </c>
      <c r="K49" s="256">
        <v>9327</v>
      </c>
      <c r="L49" s="313">
        <v>11778</v>
      </c>
      <c r="M49" s="313">
        <v>10088</v>
      </c>
      <c r="N49" s="313">
        <v>10428</v>
      </c>
      <c r="O49" s="313">
        <v>14592</v>
      </c>
      <c r="P49" s="313">
        <v>17846</v>
      </c>
      <c r="Q49" s="313">
        <f>'emision reductions FY2015'!D13</f>
        <v>6668</v>
      </c>
      <c r="R49" s="246">
        <f>SUM(D49:Q49)</f>
        <v>139677.8296</v>
      </c>
    </row>
    <row r="50" spans="1:18" ht="12.75">
      <c r="A50" s="18" t="s">
        <v>315</v>
      </c>
      <c r="B50" s="246">
        <f>SUM(D50:H50)</f>
        <v>0</v>
      </c>
      <c r="C50" s="246">
        <f>SUM(H50:M50)</f>
        <v>0</v>
      </c>
      <c r="D50" s="246">
        <v>0</v>
      </c>
      <c r="E50" s="246">
        <v>0</v>
      </c>
      <c r="F50" s="246">
        <v>0</v>
      </c>
      <c r="G50" s="246">
        <v>0</v>
      </c>
      <c r="H50" s="246">
        <v>0</v>
      </c>
      <c r="I50" s="246">
        <v>0</v>
      </c>
      <c r="J50" s="246">
        <v>0</v>
      </c>
      <c r="K50" s="256">
        <v>0</v>
      </c>
      <c r="L50" s="313">
        <v>0</v>
      </c>
      <c r="M50" s="313">
        <v>0</v>
      </c>
      <c r="N50" s="313">
        <v>0</v>
      </c>
      <c r="O50" s="313">
        <v>0</v>
      </c>
      <c r="P50" s="313">
        <v>0</v>
      </c>
      <c r="Q50" s="313">
        <f>'emision reductions FY2015'!D14</f>
        <v>0</v>
      </c>
      <c r="R50" s="246">
        <f>SUM(D50:Q50)</f>
        <v>0</v>
      </c>
    </row>
    <row r="51" spans="1:18" ht="12.75">
      <c r="A51" s="18" t="s">
        <v>352</v>
      </c>
      <c r="B51" s="246">
        <f>SUM(D51:H51)</f>
        <v>0</v>
      </c>
      <c r="C51" s="246">
        <f>SUM(H51:M51)</f>
        <v>0</v>
      </c>
      <c r="D51" s="246"/>
      <c r="E51" s="246"/>
      <c r="F51" s="246"/>
      <c r="G51" s="246"/>
      <c r="H51" s="246"/>
      <c r="I51" s="246"/>
      <c r="J51" s="246"/>
      <c r="K51" s="256"/>
      <c r="L51" s="313"/>
      <c r="M51" s="313"/>
      <c r="N51" s="313"/>
      <c r="O51" s="313">
        <v>449</v>
      </c>
      <c r="P51" s="313">
        <v>4828</v>
      </c>
      <c r="Q51" s="313">
        <f>'emision reductions FY2015'!D15</f>
        <v>485</v>
      </c>
      <c r="R51" s="246">
        <f>SUM(D51:Q51)</f>
        <v>5762</v>
      </c>
    </row>
    <row r="52" spans="1:18" ht="12.75">
      <c r="A52" s="22" t="s">
        <v>219</v>
      </c>
      <c r="B52" s="246">
        <f>SUM(D52:H52)</f>
        <v>2221.1641</v>
      </c>
      <c r="C52" s="246">
        <f>SUM(H52:M52)</f>
        <v>48367.2607</v>
      </c>
      <c r="D52" s="246">
        <v>0.4034</v>
      </c>
      <c r="E52" s="246">
        <v>58.3406</v>
      </c>
      <c r="F52" s="246">
        <v>324.9439</v>
      </c>
      <c r="G52" s="246">
        <v>245.2155</v>
      </c>
      <c r="H52" s="246">
        <v>1592.2607</v>
      </c>
      <c r="I52" s="246">
        <v>2401</v>
      </c>
      <c r="J52" s="246">
        <v>6851</v>
      </c>
      <c r="K52" s="256">
        <v>10431</v>
      </c>
      <c r="L52" s="313">
        <v>12759</v>
      </c>
      <c r="M52" s="313">
        <v>14333</v>
      </c>
      <c r="N52" s="313">
        <v>16325</v>
      </c>
      <c r="O52" s="313">
        <v>27373</v>
      </c>
      <c r="P52" s="313">
        <v>15462</v>
      </c>
      <c r="Q52" s="313">
        <f>'emision reductions FY2015'!D16</f>
        <v>4377</v>
      </c>
      <c r="R52" s="246">
        <f>SUM(D52:Q52)</f>
        <v>112533.1641</v>
      </c>
    </row>
    <row r="53" spans="1:22" ht="12.75">
      <c r="A53" s="14" t="s">
        <v>173</v>
      </c>
      <c r="B53" s="245">
        <f aca="true" t="shared" si="7" ref="B53:P53">SUM(B49:B52)</f>
        <v>45848.9937</v>
      </c>
      <c r="C53" s="245">
        <f t="shared" si="7"/>
        <v>105206.592</v>
      </c>
      <c r="D53" s="245">
        <f t="shared" si="7"/>
        <v>2012.6527999999998</v>
      </c>
      <c r="E53" s="245">
        <f t="shared" si="7"/>
        <v>7572.5999</v>
      </c>
      <c r="F53" s="245">
        <f t="shared" si="7"/>
        <v>11372.4738</v>
      </c>
      <c r="G53" s="245">
        <f t="shared" si="7"/>
        <v>12975.6752</v>
      </c>
      <c r="H53" s="245">
        <f t="shared" si="7"/>
        <v>11915.592</v>
      </c>
      <c r="I53" s="245">
        <f t="shared" si="7"/>
        <v>8094</v>
      </c>
      <c r="J53" s="245">
        <f t="shared" si="7"/>
        <v>16481</v>
      </c>
      <c r="K53" s="245">
        <f t="shared" si="7"/>
        <v>19758</v>
      </c>
      <c r="L53" s="314">
        <f t="shared" si="7"/>
        <v>24537</v>
      </c>
      <c r="M53" s="314">
        <f t="shared" si="7"/>
        <v>24421</v>
      </c>
      <c r="N53" s="314">
        <f t="shared" si="7"/>
        <v>26753</v>
      </c>
      <c r="O53" s="314">
        <f t="shared" si="7"/>
        <v>42414</v>
      </c>
      <c r="P53" s="314">
        <f t="shared" si="7"/>
        <v>38136</v>
      </c>
      <c r="Q53" s="314">
        <f>SUM(Q49:Q52)</f>
        <v>11530</v>
      </c>
      <c r="R53" s="245">
        <f>SUM(R49:R52)</f>
        <v>257972.9937</v>
      </c>
      <c r="S53" s="98"/>
      <c r="T53" s="98"/>
      <c r="U53" s="98"/>
      <c r="V53" s="98"/>
    </row>
    <row r="54" spans="1:22" ht="12.75">
      <c r="A54" s="113"/>
      <c r="B54" s="113"/>
      <c r="C54" s="113"/>
      <c r="D54" s="98"/>
      <c r="E54" s="98"/>
      <c r="F54" s="98"/>
      <c r="G54" s="98"/>
      <c r="H54" s="98"/>
      <c r="I54" s="98"/>
      <c r="J54" s="98"/>
      <c r="K54" s="98"/>
      <c r="L54" s="98"/>
      <c r="M54" s="98"/>
      <c r="N54" s="98"/>
      <c r="O54" s="98"/>
      <c r="P54" s="98"/>
      <c r="Q54" s="98"/>
      <c r="R54" s="62"/>
      <c r="S54" s="98"/>
      <c r="T54" s="98"/>
      <c r="U54" s="98"/>
      <c r="V54" s="98"/>
    </row>
    <row r="55" spans="1:22" ht="18">
      <c r="A55" s="494" t="s">
        <v>226</v>
      </c>
      <c r="B55" s="494"/>
      <c r="C55" s="494"/>
      <c r="D55" s="495"/>
      <c r="E55" s="495"/>
      <c r="F55" s="495"/>
      <c r="G55" s="495"/>
      <c r="H55" s="495"/>
      <c r="I55" s="495"/>
      <c r="J55" s="495"/>
      <c r="K55" s="495"/>
      <c r="L55" s="495"/>
      <c r="M55" s="114"/>
      <c r="N55" s="114"/>
      <c r="O55" s="114"/>
      <c r="P55" s="114"/>
      <c r="Q55" s="114"/>
      <c r="R55" s="62"/>
      <c r="S55" s="98"/>
      <c r="T55" s="98"/>
      <c r="U55" s="98"/>
      <c r="V55" s="98"/>
    </row>
    <row r="56" spans="1:22" ht="12.75">
      <c r="A56" s="18" t="s">
        <v>314</v>
      </c>
      <c r="B56" s="246">
        <f>SUM(D56:H56)</f>
        <v>522.9399999999999</v>
      </c>
      <c r="C56" s="246">
        <f>SUM(H56:M56)</f>
        <v>583.4399999999999</v>
      </c>
      <c r="D56" s="246">
        <v>21.56</v>
      </c>
      <c r="E56" s="246">
        <v>90.64</v>
      </c>
      <c r="F56" s="246">
        <v>133.1</v>
      </c>
      <c r="G56" s="246">
        <v>153.34</v>
      </c>
      <c r="H56" s="246">
        <v>124.3</v>
      </c>
      <c r="I56" s="246">
        <v>68.64</v>
      </c>
      <c r="J56" s="246">
        <v>115.94</v>
      </c>
      <c r="K56" s="246">
        <v>11</v>
      </c>
      <c r="L56" s="313">
        <v>141.9</v>
      </c>
      <c r="M56" s="313">
        <v>121.66000000000001</v>
      </c>
      <c r="N56" s="313">
        <v>173.8</v>
      </c>
      <c r="O56" s="313">
        <v>243.1</v>
      </c>
      <c r="P56" s="313">
        <v>214.94</v>
      </c>
      <c r="Q56" s="313">
        <f>'emision reductions FY2015'!E13</f>
        <v>30.811</v>
      </c>
      <c r="R56" s="246">
        <f>SUM(D56:Q56)</f>
        <v>1644.7309999999998</v>
      </c>
      <c r="S56" s="98"/>
      <c r="T56" s="98"/>
      <c r="U56" s="98"/>
      <c r="V56" s="98"/>
    </row>
    <row r="57" spans="1:22" ht="12.75">
      <c r="A57" s="18" t="s">
        <v>315</v>
      </c>
      <c r="B57" s="246">
        <f>SUM(D57:H57)</f>
        <v>0</v>
      </c>
      <c r="C57" s="246">
        <f>SUM(H57:M57)</f>
        <v>0</v>
      </c>
      <c r="D57" s="246">
        <v>0</v>
      </c>
      <c r="E57" s="246">
        <v>0</v>
      </c>
      <c r="F57" s="246">
        <v>0</v>
      </c>
      <c r="G57" s="246">
        <v>0</v>
      </c>
      <c r="H57" s="246">
        <v>0</v>
      </c>
      <c r="I57" s="246">
        <v>0</v>
      </c>
      <c r="J57" s="246">
        <v>0</v>
      </c>
      <c r="K57" s="246">
        <v>0</v>
      </c>
      <c r="L57" s="313">
        <v>0</v>
      </c>
      <c r="M57" s="313">
        <v>0</v>
      </c>
      <c r="N57" s="313">
        <v>0</v>
      </c>
      <c r="O57" s="313">
        <v>0</v>
      </c>
      <c r="P57" s="313">
        <v>0</v>
      </c>
      <c r="Q57" s="313">
        <f>'emision reductions FY2015'!E14</f>
        <v>0</v>
      </c>
      <c r="R57" s="246">
        <f>SUM(D57:Q57)</f>
        <v>0</v>
      </c>
      <c r="S57" s="98"/>
      <c r="T57" s="98"/>
      <c r="U57" s="98"/>
      <c r="V57" s="98"/>
    </row>
    <row r="58" spans="1:22" ht="12.75">
      <c r="A58" s="18" t="s">
        <v>352</v>
      </c>
      <c r="B58" s="246">
        <f>SUM(D58:H58)</f>
        <v>0</v>
      </c>
      <c r="C58" s="246">
        <f>SUM(H58:M58)</f>
        <v>0</v>
      </c>
      <c r="D58" s="246"/>
      <c r="E58" s="246"/>
      <c r="F58" s="246"/>
      <c r="G58" s="246"/>
      <c r="H58" s="246"/>
      <c r="I58" s="246"/>
      <c r="J58" s="246"/>
      <c r="K58" s="246"/>
      <c r="L58" s="313"/>
      <c r="M58" s="313"/>
      <c r="N58" s="313"/>
      <c r="O58" s="313">
        <v>7.5</v>
      </c>
      <c r="P58" s="313">
        <v>58.86</v>
      </c>
      <c r="Q58" s="313">
        <f>'emision reductions FY2015'!E15</f>
        <v>2.2748</v>
      </c>
      <c r="R58" s="246">
        <f>SUM(D58:Q58)</f>
        <v>68.6348</v>
      </c>
      <c r="S58" s="98"/>
      <c r="T58" s="98"/>
      <c r="U58" s="98"/>
      <c r="V58" s="98"/>
    </row>
    <row r="59" spans="1:22" ht="12.75">
      <c r="A59" s="22" t="s">
        <v>219</v>
      </c>
      <c r="B59" s="246">
        <f>SUM(D59:H59)</f>
        <v>26.62</v>
      </c>
      <c r="C59" s="246">
        <f>SUM(H59:M59)</f>
        <v>582.94</v>
      </c>
      <c r="D59" s="246">
        <v>0</v>
      </c>
      <c r="E59" s="246">
        <v>0.66</v>
      </c>
      <c r="F59" s="246">
        <v>3.96</v>
      </c>
      <c r="G59" s="246">
        <v>2.86</v>
      </c>
      <c r="H59" s="246">
        <v>19.14</v>
      </c>
      <c r="I59" s="246">
        <v>28.82</v>
      </c>
      <c r="J59" s="246">
        <v>82.5</v>
      </c>
      <c r="K59" s="246">
        <v>126</v>
      </c>
      <c r="L59" s="313">
        <v>153.78</v>
      </c>
      <c r="M59" s="313">
        <v>172.7</v>
      </c>
      <c r="N59" s="313">
        <v>272.14</v>
      </c>
      <c r="O59" s="313">
        <v>456.06</v>
      </c>
      <c r="P59" s="313">
        <v>186.34</v>
      </c>
      <c r="Q59" s="313">
        <f>'emision reductions FY2015'!E16</f>
        <v>20.226799999999997</v>
      </c>
      <c r="R59" s="246">
        <f>SUM(D59:Q59)</f>
        <v>1525.1868</v>
      </c>
      <c r="S59" s="98"/>
      <c r="T59" s="98"/>
      <c r="U59" s="98"/>
      <c r="V59" s="98"/>
    </row>
    <row r="60" spans="1:22" ht="12.75">
      <c r="A60" s="14" t="s">
        <v>173</v>
      </c>
      <c r="B60" s="245">
        <f aca="true" t="shared" si="8" ref="B60:P60">SUM(B56:B59)</f>
        <v>549.56</v>
      </c>
      <c r="C60" s="245">
        <f t="shared" si="8"/>
        <v>1166.38</v>
      </c>
      <c r="D60" s="245">
        <f t="shared" si="8"/>
        <v>21.56</v>
      </c>
      <c r="E60" s="245">
        <f t="shared" si="8"/>
        <v>91.3</v>
      </c>
      <c r="F60" s="245">
        <f t="shared" si="8"/>
        <v>137.06</v>
      </c>
      <c r="G60" s="245">
        <f t="shared" si="8"/>
        <v>156.20000000000002</v>
      </c>
      <c r="H60" s="245">
        <f t="shared" si="8"/>
        <v>143.44</v>
      </c>
      <c r="I60" s="245">
        <f t="shared" si="8"/>
        <v>97.46000000000001</v>
      </c>
      <c r="J60" s="245">
        <f t="shared" si="8"/>
        <v>198.44</v>
      </c>
      <c r="K60" s="245">
        <f t="shared" si="8"/>
        <v>137</v>
      </c>
      <c r="L60" s="314">
        <f t="shared" si="8"/>
        <v>295.68</v>
      </c>
      <c r="M60" s="314">
        <f t="shared" si="8"/>
        <v>294.36</v>
      </c>
      <c r="N60" s="314">
        <f t="shared" si="8"/>
        <v>445.94</v>
      </c>
      <c r="O60" s="314">
        <f t="shared" si="8"/>
        <v>706.66</v>
      </c>
      <c r="P60" s="314">
        <f t="shared" si="8"/>
        <v>460.14</v>
      </c>
      <c r="Q60" s="314">
        <f>SUM(Q56:Q59)</f>
        <v>53.312599999999996</v>
      </c>
      <c r="R60" s="245">
        <f>SUM(R56:R59)</f>
        <v>3238.5526</v>
      </c>
      <c r="S60" s="98"/>
      <c r="T60" s="98"/>
      <c r="U60" s="98"/>
      <c r="V60" s="98"/>
    </row>
    <row r="61" spans="1:22" ht="12.75">
      <c r="A61" s="195" t="str">
        <f>A32</f>
        <v>* These columns/years have been hidden in this worksheet for viewing &amp; printing purposes</v>
      </c>
      <c r="B61" s="113"/>
      <c r="C61" s="113"/>
      <c r="D61" s="98"/>
      <c r="E61" s="98"/>
      <c r="F61" s="98"/>
      <c r="G61" s="98"/>
      <c r="H61" s="98"/>
      <c r="I61" s="98"/>
      <c r="J61" s="98"/>
      <c r="K61" s="98"/>
      <c r="L61" s="98"/>
      <c r="M61" s="98"/>
      <c r="N61" s="98"/>
      <c r="O61" s="98"/>
      <c r="P61" s="98"/>
      <c r="Q61" s="98"/>
      <c r="R61" s="23"/>
      <c r="S61" s="98"/>
      <c r="T61" s="98"/>
      <c r="U61" s="98"/>
      <c r="V61" s="98"/>
    </row>
    <row r="62" spans="4:22" ht="12.75">
      <c r="D62" s="98"/>
      <c r="E62" s="98"/>
      <c r="F62" s="98"/>
      <c r="G62" s="98"/>
      <c r="H62" s="98"/>
      <c r="I62" s="98"/>
      <c r="J62" s="98"/>
      <c r="K62" s="98"/>
      <c r="L62" s="98"/>
      <c r="M62" s="98"/>
      <c r="N62" s="98"/>
      <c r="O62" s="98"/>
      <c r="P62" s="98"/>
      <c r="Q62" s="98"/>
      <c r="R62" s="98"/>
      <c r="S62" s="98"/>
      <c r="T62" s="98"/>
      <c r="U62" s="98"/>
      <c r="V62" s="98"/>
    </row>
    <row r="63" spans="4:22" ht="12.75">
      <c r="D63" s="98"/>
      <c r="E63" s="98"/>
      <c r="F63" s="98"/>
      <c r="G63" s="98"/>
      <c r="H63" s="98"/>
      <c r="I63" s="98"/>
      <c r="J63" s="98"/>
      <c r="K63" s="98"/>
      <c r="L63" s="98"/>
      <c r="M63" s="98"/>
      <c r="N63" s="98"/>
      <c r="O63" s="98"/>
      <c r="P63" s="98"/>
      <c r="Q63" s="98"/>
      <c r="R63" s="98"/>
      <c r="S63" s="98"/>
      <c r="T63" s="98"/>
      <c r="U63" s="98"/>
      <c r="V63" s="98"/>
    </row>
    <row r="64" spans="4:22" ht="12.75">
      <c r="D64" s="98"/>
      <c r="E64" s="98"/>
      <c r="F64" s="98"/>
      <c r="G64" s="98"/>
      <c r="H64" s="98"/>
      <c r="I64" s="98"/>
      <c r="J64" s="98"/>
      <c r="K64" s="98"/>
      <c r="L64" s="98"/>
      <c r="M64" s="98"/>
      <c r="N64" s="98"/>
      <c r="O64" s="98"/>
      <c r="P64" s="98"/>
      <c r="Q64" s="98"/>
      <c r="R64" s="98"/>
      <c r="S64" s="98"/>
      <c r="T64" s="98"/>
      <c r="U64" s="98"/>
      <c r="V64" s="98"/>
    </row>
    <row r="65" spans="4:22" ht="12.75">
      <c r="D65" s="98"/>
      <c r="E65" s="98"/>
      <c r="F65" s="98"/>
      <c r="G65" s="98"/>
      <c r="H65" s="98"/>
      <c r="I65" s="98"/>
      <c r="J65" s="98"/>
      <c r="K65" s="98"/>
      <c r="L65" s="98"/>
      <c r="M65" s="98"/>
      <c r="N65" s="98"/>
      <c r="O65" s="98"/>
      <c r="P65" s="98"/>
      <c r="Q65" s="98"/>
      <c r="R65" s="98"/>
      <c r="S65" s="98"/>
      <c r="T65" s="98"/>
      <c r="U65" s="98"/>
      <c r="V65" s="98"/>
    </row>
    <row r="66" spans="4:22" ht="12.75">
      <c r="D66" s="98"/>
      <c r="E66" s="98"/>
      <c r="F66" s="98"/>
      <c r="G66" s="98"/>
      <c r="H66" s="98"/>
      <c r="I66" s="98"/>
      <c r="J66" s="98"/>
      <c r="K66" s="98"/>
      <c r="L66" s="98"/>
      <c r="M66" s="98"/>
      <c r="N66" s="98"/>
      <c r="O66" s="98"/>
      <c r="P66" s="98"/>
      <c r="Q66" s="98"/>
      <c r="R66" s="98"/>
      <c r="S66" s="98"/>
      <c r="T66" s="98"/>
      <c r="U66" s="98"/>
      <c r="V66" s="98"/>
    </row>
    <row r="67" spans="4:22" ht="12.75">
      <c r="D67" s="98"/>
      <c r="E67" s="98"/>
      <c r="F67" s="98"/>
      <c r="G67" s="98"/>
      <c r="H67" s="98"/>
      <c r="I67" s="98"/>
      <c r="J67" s="98"/>
      <c r="K67" s="98"/>
      <c r="L67" s="98"/>
      <c r="M67" s="98"/>
      <c r="N67" s="98"/>
      <c r="O67" s="98"/>
      <c r="P67" s="98"/>
      <c r="Q67" s="98"/>
      <c r="R67" s="98"/>
      <c r="S67" s="98"/>
      <c r="T67" s="98"/>
      <c r="U67" s="98"/>
      <c r="V67" s="98"/>
    </row>
    <row r="68" spans="4:22" ht="12.75">
      <c r="D68" s="98"/>
      <c r="E68" s="98"/>
      <c r="F68" s="98"/>
      <c r="G68" s="98"/>
      <c r="H68" s="98"/>
      <c r="I68" s="98"/>
      <c r="J68" s="98"/>
      <c r="K68" s="98"/>
      <c r="L68" s="98"/>
      <c r="M68" s="98"/>
      <c r="N68" s="98"/>
      <c r="O68" s="98"/>
      <c r="P68" s="98"/>
      <c r="Q68" s="98"/>
      <c r="R68" s="98"/>
      <c r="S68" s="98"/>
      <c r="T68" s="98"/>
      <c r="U68" s="98"/>
      <c r="V68" s="98"/>
    </row>
    <row r="69" spans="4:22" ht="12.75">
      <c r="D69" s="98"/>
      <c r="E69" s="98"/>
      <c r="F69" s="98"/>
      <c r="G69" s="98"/>
      <c r="H69" s="98"/>
      <c r="I69" s="98"/>
      <c r="J69" s="98"/>
      <c r="K69" s="98"/>
      <c r="L69" s="98"/>
      <c r="M69" s="98"/>
      <c r="N69" s="98"/>
      <c r="O69" s="98"/>
      <c r="P69" s="98"/>
      <c r="Q69" s="98"/>
      <c r="R69" s="98"/>
      <c r="S69" s="98"/>
      <c r="T69" s="98"/>
      <c r="U69" s="98"/>
      <c r="V69" s="98"/>
    </row>
    <row r="70" spans="4:22" ht="12.75">
      <c r="D70" s="98"/>
      <c r="E70" s="98"/>
      <c r="F70" s="98"/>
      <c r="G70" s="98"/>
      <c r="H70" s="98"/>
      <c r="I70" s="98"/>
      <c r="J70" s="98"/>
      <c r="K70" s="98"/>
      <c r="L70" s="98"/>
      <c r="M70" s="98"/>
      <c r="N70" s="98"/>
      <c r="O70" s="98"/>
      <c r="P70" s="98"/>
      <c r="Q70" s="98"/>
      <c r="R70" s="98"/>
      <c r="S70" s="98"/>
      <c r="T70" s="98"/>
      <c r="U70" s="98"/>
      <c r="V70" s="98"/>
    </row>
    <row r="71" spans="4:22" ht="12.75">
      <c r="D71" s="98"/>
      <c r="E71" s="98"/>
      <c r="F71" s="98"/>
      <c r="G71" s="98"/>
      <c r="H71" s="98"/>
      <c r="I71" s="98"/>
      <c r="J71" s="98"/>
      <c r="K71" s="98"/>
      <c r="L71" s="98"/>
      <c r="M71" s="98"/>
      <c r="N71" s="98"/>
      <c r="O71" s="98"/>
      <c r="P71" s="98"/>
      <c r="Q71" s="98"/>
      <c r="R71" s="98"/>
      <c r="S71" s="98"/>
      <c r="T71" s="98"/>
      <c r="U71" s="98"/>
      <c r="V71" s="98"/>
    </row>
    <row r="72" spans="4:22" ht="12.75">
      <c r="D72" s="98"/>
      <c r="E72" s="98"/>
      <c r="F72" s="98"/>
      <c r="G72" s="98"/>
      <c r="H72" s="98"/>
      <c r="I72" s="98"/>
      <c r="J72" s="98"/>
      <c r="K72" s="98"/>
      <c r="L72" s="98"/>
      <c r="M72" s="98"/>
      <c r="N72" s="98"/>
      <c r="O72" s="98"/>
      <c r="P72" s="98"/>
      <c r="Q72" s="98"/>
      <c r="R72" s="98"/>
      <c r="S72" s="98"/>
      <c r="T72" s="98"/>
      <c r="U72" s="98"/>
      <c r="V72" s="98"/>
    </row>
    <row r="73" spans="4:22" ht="12.75">
      <c r="D73" s="98"/>
      <c r="E73" s="98"/>
      <c r="F73" s="98"/>
      <c r="G73" s="98"/>
      <c r="H73" s="98"/>
      <c r="I73" s="98"/>
      <c r="J73" s="98"/>
      <c r="K73" s="98"/>
      <c r="L73" s="98"/>
      <c r="M73" s="98"/>
      <c r="N73" s="98"/>
      <c r="O73" s="98"/>
      <c r="P73" s="98"/>
      <c r="Q73" s="98"/>
      <c r="R73" s="98"/>
      <c r="S73" s="98"/>
      <c r="T73" s="98"/>
      <c r="U73" s="98"/>
      <c r="V73" s="98"/>
    </row>
    <row r="74" spans="4:22" ht="12.75">
      <c r="D74" s="98"/>
      <c r="E74" s="98"/>
      <c r="F74" s="98"/>
      <c r="G74" s="98"/>
      <c r="H74" s="98"/>
      <c r="I74" s="98"/>
      <c r="J74" s="98"/>
      <c r="K74" s="98"/>
      <c r="L74" s="98"/>
      <c r="M74" s="98"/>
      <c r="N74" s="98"/>
      <c r="O74" s="98"/>
      <c r="P74" s="98"/>
      <c r="Q74" s="98"/>
      <c r="R74" s="98"/>
      <c r="S74" s="98"/>
      <c r="T74" s="98"/>
      <c r="U74" s="98"/>
      <c r="V74" s="98"/>
    </row>
    <row r="75" spans="4:22" ht="12.75">
      <c r="D75" s="98"/>
      <c r="E75" s="98"/>
      <c r="F75" s="98"/>
      <c r="G75" s="98"/>
      <c r="H75" s="98"/>
      <c r="I75" s="98"/>
      <c r="J75" s="98"/>
      <c r="K75" s="98"/>
      <c r="L75" s="98"/>
      <c r="M75" s="98"/>
      <c r="N75" s="98"/>
      <c r="O75" s="98"/>
      <c r="P75" s="98"/>
      <c r="Q75" s="98"/>
      <c r="R75" s="98"/>
      <c r="S75" s="98"/>
      <c r="T75" s="98"/>
      <c r="U75" s="98"/>
      <c r="V75" s="98"/>
    </row>
    <row r="76" spans="4:22" ht="12.75">
      <c r="D76" s="98"/>
      <c r="E76" s="98"/>
      <c r="F76" s="98"/>
      <c r="G76" s="98"/>
      <c r="H76" s="98"/>
      <c r="I76" s="98"/>
      <c r="J76" s="98"/>
      <c r="K76" s="98"/>
      <c r="L76" s="98"/>
      <c r="M76" s="98"/>
      <c r="N76" s="98"/>
      <c r="O76" s="98"/>
      <c r="P76" s="98"/>
      <c r="Q76" s="98"/>
      <c r="R76" s="98"/>
      <c r="S76" s="98"/>
      <c r="T76" s="98"/>
      <c r="U76" s="98"/>
      <c r="V76" s="98"/>
    </row>
    <row r="77" spans="4:22" ht="12.75">
      <c r="D77" s="98"/>
      <c r="E77" s="98"/>
      <c r="F77" s="98"/>
      <c r="G77" s="98"/>
      <c r="H77" s="98"/>
      <c r="I77" s="98"/>
      <c r="J77" s="98"/>
      <c r="K77" s="98"/>
      <c r="L77" s="98"/>
      <c r="M77" s="98"/>
      <c r="N77" s="98"/>
      <c r="O77" s="98"/>
      <c r="P77" s="98"/>
      <c r="Q77" s="98"/>
      <c r="R77" s="98"/>
      <c r="S77" s="98"/>
      <c r="T77" s="98"/>
      <c r="U77" s="98"/>
      <c r="V77" s="98"/>
    </row>
    <row r="78" spans="4:22" ht="12.75">
      <c r="D78" s="98"/>
      <c r="E78" s="98"/>
      <c r="F78" s="98"/>
      <c r="G78" s="98"/>
      <c r="H78" s="98"/>
      <c r="I78" s="98"/>
      <c r="J78" s="98"/>
      <c r="K78" s="98"/>
      <c r="L78" s="98"/>
      <c r="M78" s="98"/>
      <c r="N78" s="98"/>
      <c r="O78" s="98"/>
      <c r="P78" s="98"/>
      <c r="Q78" s="98"/>
      <c r="R78" s="98"/>
      <c r="S78" s="98"/>
      <c r="T78" s="98"/>
      <c r="U78" s="98"/>
      <c r="V78" s="98"/>
    </row>
    <row r="79" spans="4:22" ht="12.75">
      <c r="D79" s="98"/>
      <c r="E79" s="98"/>
      <c r="F79" s="98"/>
      <c r="G79" s="98"/>
      <c r="H79" s="98"/>
      <c r="I79" s="98"/>
      <c r="J79" s="98"/>
      <c r="K79" s="98"/>
      <c r="L79" s="98"/>
      <c r="M79" s="98"/>
      <c r="N79" s="98"/>
      <c r="O79" s="98"/>
      <c r="P79" s="98"/>
      <c r="Q79" s="98"/>
      <c r="R79" s="98"/>
      <c r="S79" s="98"/>
      <c r="T79" s="98"/>
      <c r="U79" s="98"/>
      <c r="V79" s="98"/>
    </row>
    <row r="80" spans="4:22" ht="12.75">
      <c r="D80" s="98"/>
      <c r="E80" s="98"/>
      <c r="F80" s="98"/>
      <c r="G80" s="98"/>
      <c r="H80" s="98"/>
      <c r="I80" s="98"/>
      <c r="J80" s="98"/>
      <c r="K80" s="98"/>
      <c r="L80" s="98"/>
      <c r="M80" s="98"/>
      <c r="N80" s="98"/>
      <c r="O80" s="98"/>
      <c r="P80" s="98"/>
      <c r="Q80" s="98"/>
      <c r="R80" s="98"/>
      <c r="S80" s="98"/>
      <c r="T80" s="98"/>
      <c r="U80" s="98"/>
      <c r="V80" s="98"/>
    </row>
    <row r="81" spans="4:22" ht="12.75">
      <c r="D81" s="98"/>
      <c r="E81" s="98"/>
      <c r="F81" s="98"/>
      <c r="G81" s="98"/>
      <c r="H81" s="98"/>
      <c r="I81" s="98"/>
      <c r="J81" s="98"/>
      <c r="K81" s="98"/>
      <c r="L81" s="98"/>
      <c r="M81" s="98"/>
      <c r="N81" s="98"/>
      <c r="O81" s="98"/>
      <c r="P81" s="98"/>
      <c r="Q81" s="98"/>
      <c r="R81" s="98"/>
      <c r="S81" s="98"/>
      <c r="T81" s="98"/>
      <c r="U81" s="98"/>
      <c r="V81" s="98"/>
    </row>
    <row r="82" spans="4:22" ht="12.75">
      <c r="D82" s="98"/>
      <c r="E82" s="98"/>
      <c r="F82" s="98"/>
      <c r="G82" s="98"/>
      <c r="H82" s="98"/>
      <c r="I82" s="98"/>
      <c r="J82" s="98"/>
      <c r="K82" s="98"/>
      <c r="L82" s="98"/>
      <c r="M82" s="98"/>
      <c r="N82" s="98"/>
      <c r="O82" s="98"/>
      <c r="P82" s="98"/>
      <c r="Q82" s="98"/>
      <c r="R82" s="98"/>
      <c r="S82" s="98"/>
      <c r="T82" s="98"/>
      <c r="U82" s="98"/>
      <c r="V82" s="98"/>
    </row>
    <row r="83" spans="4:22" ht="12.75">
      <c r="D83" s="98"/>
      <c r="E83" s="98"/>
      <c r="F83" s="98"/>
      <c r="G83" s="98"/>
      <c r="H83" s="98"/>
      <c r="I83" s="98"/>
      <c r="J83" s="98"/>
      <c r="K83" s="98"/>
      <c r="L83" s="98"/>
      <c r="M83" s="98"/>
      <c r="N83" s="98"/>
      <c r="O83" s="98"/>
      <c r="P83" s="98"/>
      <c r="Q83" s="98"/>
      <c r="R83" s="98"/>
      <c r="S83" s="98"/>
      <c r="T83" s="98"/>
      <c r="U83" s="98"/>
      <c r="V83" s="98"/>
    </row>
    <row r="84" spans="4:22" ht="12.75">
      <c r="D84" s="98"/>
      <c r="E84" s="98"/>
      <c r="F84" s="98"/>
      <c r="G84" s="98"/>
      <c r="H84" s="98"/>
      <c r="I84" s="98"/>
      <c r="J84" s="98"/>
      <c r="K84" s="98"/>
      <c r="L84" s="98"/>
      <c r="M84" s="98"/>
      <c r="N84" s="98"/>
      <c r="O84" s="98"/>
      <c r="P84" s="98"/>
      <c r="Q84" s="98"/>
      <c r="R84" s="98"/>
      <c r="S84" s="98"/>
      <c r="T84" s="98"/>
      <c r="U84" s="98"/>
      <c r="V84" s="98"/>
    </row>
    <row r="85" spans="4:22" ht="12.75">
      <c r="D85" s="98"/>
      <c r="E85" s="98"/>
      <c r="F85" s="98"/>
      <c r="G85" s="98"/>
      <c r="H85" s="98"/>
      <c r="I85" s="98"/>
      <c r="J85" s="98"/>
      <c r="K85" s="98"/>
      <c r="L85" s="98"/>
      <c r="M85" s="98"/>
      <c r="N85" s="98"/>
      <c r="O85" s="98"/>
      <c r="P85" s="98"/>
      <c r="Q85" s="98"/>
      <c r="R85" s="98"/>
      <c r="S85" s="98"/>
      <c r="T85" s="98"/>
      <c r="U85" s="98"/>
      <c r="V85" s="98"/>
    </row>
    <row r="86" spans="4:22" ht="12.75">
      <c r="D86" s="98"/>
      <c r="E86" s="98"/>
      <c r="F86" s="98"/>
      <c r="G86" s="98"/>
      <c r="H86" s="98"/>
      <c r="I86" s="98"/>
      <c r="J86" s="98"/>
      <c r="K86" s="98"/>
      <c r="L86" s="98"/>
      <c r="M86" s="98"/>
      <c r="N86" s="98"/>
      <c r="O86" s="98"/>
      <c r="P86" s="98"/>
      <c r="Q86" s="98"/>
      <c r="R86" s="98"/>
      <c r="S86" s="98"/>
      <c r="T86" s="98"/>
      <c r="U86" s="98"/>
      <c r="V86" s="98"/>
    </row>
    <row r="87" spans="4:22" ht="12.75">
      <c r="D87" s="98"/>
      <c r="E87" s="98"/>
      <c r="F87" s="98"/>
      <c r="G87" s="98"/>
      <c r="H87" s="98"/>
      <c r="I87" s="98"/>
      <c r="J87" s="98"/>
      <c r="K87" s="98"/>
      <c r="L87" s="98"/>
      <c r="M87" s="98"/>
      <c r="N87" s="98"/>
      <c r="O87" s="98"/>
      <c r="P87" s="98"/>
      <c r="Q87" s="98"/>
      <c r="R87" s="98"/>
      <c r="S87" s="98"/>
      <c r="T87" s="98"/>
      <c r="U87" s="98"/>
      <c r="V87" s="98"/>
    </row>
    <row r="88" spans="4:22" ht="12.75">
      <c r="D88" s="98"/>
      <c r="E88" s="98"/>
      <c r="F88" s="98"/>
      <c r="G88" s="98"/>
      <c r="H88" s="98"/>
      <c r="I88" s="98"/>
      <c r="J88" s="98"/>
      <c r="K88" s="98"/>
      <c r="L88" s="98"/>
      <c r="M88" s="98"/>
      <c r="N88" s="98"/>
      <c r="O88" s="98"/>
      <c r="P88" s="98"/>
      <c r="Q88" s="98"/>
      <c r="R88" s="98"/>
      <c r="S88" s="98"/>
      <c r="T88" s="98"/>
      <c r="U88" s="98"/>
      <c r="V88" s="98"/>
    </row>
    <row r="89" spans="4:22" ht="12.75">
      <c r="D89" s="98"/>
      <c r="E89" s="98"/>
      <c r="F89" s="98"/>
      <c r="G89" s="98"/>
      <c r="H89" s="98"/>
      <c r="I89" s="98"/>
      <c r="J89" s="98"/>
      <c r="K89" s="98"/>
      <c r="L89" s="98"/>
      <c r="M89" s="98"/>
      <c r="N89" s="98"/>
      <c r="O89" s="98"/>
      <c r="P89" s="98"/>
      <c r="Q89" s="98"/>
      <c r="R89" s="98"/>
      <c r="S89" s="98"/>
      <c r="T89" s="98"/>
      <c r="U89" s="98"/>
      <c r="V89" s="98"/>
    </row>
    <row r="90" spans="4:22" ht="12.75">
      <c r="D90" s="98"/>
      <c r="E90" s="98"/>
      <c r="F90" s="98"/>
      <c r="G90" s="98"/>
      <c r="H90" s="98"/>
      <c r="I90" s="98"/>
      <c r="J90" s="98"/>
      <c r="K90" s="98"/>
      <c r="L90" s="98"/>
      <c r="M90" s="98"/>
      <c r="N90" s="98"/>
      <c r="O90" s="98"/>
      <c r="P90" s="98"/>
      <c r="Q90" s="98"/>
      <c r="R90" s="98"/>
      <c r="S90" s="98"/>
      <c r="T90" s="98"/>
      <c r="U90" s="98"/>
      <c r="V90" s="98"/>
    </row>
    <row r="91" spans="4:22" ht="12.75">
      <c r="D91" s="98"/>
      <c r="E91" s="98"/>
      <c r="F91" s="98"/>
      <c r="G91" s="98"/>
      <c r="H91" s="98"/>
      <c r="I91" s="98"/>
      <c r="J91" s="98"/>
      <c r="K91" s="98"/>
      <c r="L91" s="98"/>
      <c r="M91" s="98"/>
      <c r="N91" s="98"/>
      <c r="O91" s="98"/>
      <c r="P91" s="98"/>
      <c r="Q91" s="98"/>
      <c r="R91" s="98"/>
      <c r="S91" s="98"/>
      <c r="T91" s="98"/>
      <c r="U91" s="98"/>
      <c r="V91" s="98"/>
    </row>
    <row r="92" spans="4:22" ht="12.75">
      <c r="D92" s="98"/>
      <c r="E92" s="98"/>
      <c r="F92" s="98"/>
      <c r="G92" s="98"/>
      <c r="H92" s="98"/>
      <c r="I92" s="98"/>
      <c r="J92" s="98"/>
      <c r="K92" s="98"/>
      <c r="L92" s="98"/>
      <c r="M92" s="98"/>
      <c r="N92" s="98"/>
      <c r="O92" s="98"/>
      <c r="P92" s="98"/>
      <c r="Q92" s="98"/>
      <c r="R92" s="98"/>
      <c r="S92" s="98"/>
      <c r="T92" s="98"/>
      <c r="U92" s="98"/>
      <c r="V92" s="98"/>
    </row>
    <row r="93" spans="4:22" ht="12.75">
      <c r="D93" s="98"/>
      <c r="E93" s="98"/>
      <c r="F93" s="98"/>
      <c r="G93" s="98"/>
      <c r="H93" s="98"/>
      <c r="I93" s="98"/>
      <c r="J93" s="98"/>
      <c r="K93" s="98"/>
      <c r="L93" s="98"/>
      <c r="M93" s="98"/>
      <c r="N93" s="98"/>
      <c r="O93" s="98"/>
      <c r="P93" s="98"/>
      <c r="Q93" s="98"/>
      <c r="R93" s="98"/>
      <c r="S93" s="98"/>
      <c r="T93" s="98"/>
      <c r="U93" s="98"/>
      <c r="V93" s="98"/>
    </row>
    <row r="94" spans="4:22" ht="12.75">
      <c r="D94" s="98"/>
      <c r="E94" s="98"/>
      <c r="F94" s="98"/>
      <c r="G94" s="98"/>
      <c r="H94" s="98"/>
      <c r="I94" s="98"/>
      <c r="J94" s="98"/>
      <c r="K94" s="98"/>
      <c r="L94" s="98"/>
      <c r="M94" s="98"/>
      <c r="N94" s="98"/>
      <c r="O94" s="98"/>
      <c r="P94" s="98"/>
      <c r="Q94" s="98"/>
      <c r="R94" s="98"/>
      <c r="S94" s="98"/>
      <c r="T94" s="98"/>
      <c r="U94" s="98"/>
      <c r="V94" s="98"/>
    </row>
    <row r="95" spans="4:22" ht="12.75">
      <c r="D95" s="98"/>
      <c r="E95" s="98"/>
      <c r="F95" s="98"/>
      <c r="G95" s="98"/>
      <c r="H95" s="98"/>
      <c r="I95" s="98"/>
      <c r="J95" s="98"/>
      <c r="K95" s="98"/>
      <c r="L95" s="98"/>
      <c r="M95" s="98"/>
      <c r="N95" s="98"/>
      <c r="O95" s="98"/>
      <c r="P95" s="98"/>
      <c r="Q95" s="98"/>
      <c r="R95" s="98"/>
      <c r="S95" s="98"/>
      <c r="T95" s="98"/>
      <c r="U95" s="98"/>
      <c r="V95" s="98"/>
    </row>
    <row r="96" spans="4:22" ht="12.75">
      <c r="D96" s="98"/>
      <c r="E96" s="98"/>
      <c r="F96" s="98"/>
      <c r="G96" s="98"/>
      <c r="H96" s="98"/>
      <c r="I96" s="98"/>
      <c r="J96" s="98"/>
      <c r="K96" s="98"/>
      <c r="L96" s="98"/>
      <c r="M96" s="98"/>
      <c r="N96" s="98"/>
      <c r="O96" s="98"/>
      <c r="P96" s="98"/>
      <c r="Q96" s="98"/>
      <c r="R96" s="98"/>
      <c r="S96" s="98"/>
      <c r="T96" s="98"/>
      <c r="U96" s="98"/>
      <c r="V96" s="98"/>
    </row>
    <row r="97" spans="4:22" ht="12.75">
      <c r="D97" s="98"/>
      <c r="E97" s="98"/>
      <c r="F97" s="98"/>
      <c r="G97" s="98"/>
      <c r="H97" s="98"/>
      <c r="I97" s="98"/>
      <c r="J97" s="98"/>
      <c r="K97" s="98"/>
      <c r="L97" s="98"/>
      <c r="M97" s="98"/>
      <c r="N97" s="98"/>
      <c r="O97" s="98"/>
      <c r="P97" s="98"/>
      <c r="Q97" s="98"/>
      <c r="R97" s="98"/>
      <c r="S97" s="98"/>
      <c r="T97" s="98"/>
      <c r="U97" s="98"/>
      <c r="V97" s="98"/>
    </row>
    <row r="98" spans="4:22" ht="12.75">
      <c r="D98" s="98"/>
      <c r="E98" s="98"/>
      <c r="F98" s="98"/>
      <c r="G98" s="98"/>
      <c r="H98" s="98"/>
      <c r="I98" s="98"/>
      <c r="J98" s="98"/>
      <c r="K98" s="98"/>
      <c r="L98" s="98"/>
      <c r="M98" s="98"/>
      <c r="N98" s="98"/>
      <c r="O98" s="98"/>
      <c r="P98" s="98"/>
      <c r="Q98" s="98"/>
      <c r="R98" s="98"/>
      <c r="S98" s="98"/>
      <c r="T98" s="98"/>
      <c r="U98" s="98"/>
      <c r="V98" s="98"/>
    </row>
    <row r="99" spans="4:22" ht="12.75">
      <c r="D99" s="98"/>
      <c r="E99" s="98"/>
      <c r="F99" s="98"/>
      <c r="G99" s="98"/>
      <c r="H99" s="98"/>
      <c r="I99" s="98"/>
      <c r="J99" s="98"/>
      <c r="K99" s="98"/>
      <c r="L99" s="98"/>
      <c r="M99" s="98"/>
      <c r="N99" s="98"/>
      <c r="O99" s="98"/>
      <c r="P99" s="98"/>
      <c r="Q99" s="98"/>
      <c r="R99" s="98"/>
      <c r="S99" s="98"/>
      <c r="T99" s="98"/>
      <c r="U99" s="98"/>
      <c r="V99" s="98"/>
    </row>
    <row r="100" spans="4:22" ht="12.75">
      <c r="D100" s="98"/>
      <c r="E100" s="98"/>
      <c r="F100" s="98"/>
      <c r="G100" s="98"/>
      <c r="H100" s="98"/>
      <c r="I100" s="98"/>
      <c r="J100" s="98"/>
      <c r="K100" s="98"/>
      <c r="L100" s="98"/>
      <c r="M100" s="98"/>
      <c r="N100" s="98"/>
      <c r="O100" s="98"/>
      <c r="P100" s="98"/>
      <c r="Q100" s="98"/>
      <c r="R100" s="98"/>
      <c r="S100" s="98"/>
      <c r="T100" s="98"/>
      <c r="U100" s="98"/>
      <c r="V100" s="98"/>
    </row>
    <row r="101" spans="4:22" ht="12.75">
      <c r="D101" s="98"/>
      <c r="E101" s="98"/>
      <c r="F101" s="98"/>
      <c r="G101" s="98"/>
      <c r="H101" s="98"/>
      <c r="I101" s="98"/>
      <c r="J101" s="98"/>
      <c r="K101" s="98"/>
      <c r="L101" s="98"/>
      <c r="M101" s="98"/>
      <c r="N101" s="98"/>
      <c r="O101" s="98"/>
      <c r="P101" s="98"/>
      <c r="Q101" s="98"/>
      <c r="R101" s="98"/>
      <c r="S101" s="98"/>
      <c r="T101" s="98"/>
      <c r="U101" s="98"/>
      <c r="V101" s="98"/>
    </row>
    <row r="102" spans="4:22" ht="12.75">
      <c r="D102" s="98"/>
      <c r="E102" s="98"/>
      <c r="F102" s="98"/>
      <c r="G102" s="98"/>
      <c r="H102" s="98"/>
      <c r="I102" s="98"/>
      <c r="J102" s="98"/>
      <c r="K102" s="98"/>
      <c r="L102" s="98"/>
      <c r="M102" s="98"/>
      <c r="N102" s="98"/>
      <c r="O102" s="98"/>
      <c r="P102" s="98"/>
      <c r="Q102" s="98"/>
      <c r="R102" s="98"/>
      <c r="S102" s="98"/>
      <c r="T102" s="98"/>
      <c r="U102" s="98"/>
      <c r="V102" s="98"/>
    </row>
    <row r="103" spans="4:22" ht="12.75">
      <c r="D103" s="98"/>
      <c r="E103" s="98"/>
      <c r="F103" s="98"/>
      <c r="G103" s="98"/>
      <c r="H103" s="98"/>
      <c r="I103" s="98"/>
      <c r="J103" s="98"/>
      <c r="K103" s="98"/>
      <c r="L103" s="98"/>
      <c r="M103" s="98"/>
      <c r="N103" s="98"/>
      <c r="O103" s="98"/>
      <c r="P103" s="98"/>
      <c r="Q103" s="98"/>
      <c r="R103" s="98"/>
      <c r="S103" s="98"/>
      <c r="T103" s="98"/>
      <c r="U103" s="98"/>
      <c r="V103" s="98"/>
    </row>
    <row r="104" spans="4:22" ht="12.75">
      <c r="D104" s="98"/>
      <c r="E104" s="98"/>
      <c r="F104" s="98"/>
      <c r="G104" s="98"/>
      <c r="H104" s="98"/>
      <c r="I104" s="98"/>
      <c r="J104" s="98"/>
      <c r="K104" s="98"/>
      <c r="L104" s="98"/>
      <c r="M104" s="98"/>
      <c r="N104" s="98"/>
      <c r="O104" s="98"/>
      <c r="P104" s="98"/>
      <c r="Q104" s="98"/>
      <c r="R104" s="98"/>
      <c r="S104" s="98"/>
      <c r="T104" s="98"/>
      <c r="U104" s="98"/>
      <c r="V104" s="98"/>
    </row>
    <row r="105" spans="4:22" ht="12.75">
      <c r="D105" s="98"/>
      <c r="E105" s="98"/>
      <c r="F105" s="98"/>
      <c r="G105" s="98"/>
      <c r="H105" s="98"/>
      <c r="I105" s="98"/>
      <c r="J105" s="98"/>
      <c r="K105" s="98"/>
      <c r="L105" s="98"/>
      <c r="M105" s="98"/>
      <c r="N105" s="98"/>
      <c r="O105" s="98"/>
      <c r="P105" s="98"/>
      <c r="Q105" s="98"/>
      <c r="R105" s="98"/>
      <c r="S105" s="98"/>
      <c r="T105" s="98"/>
      <c r="U105" s="98"/>
      <c r="V105" s="98"/>
    </row>
    <row r="106" spans="4:22" ht="12.75">
      <c r="D106" s="98"/>
      <c r="E106" s="98"/>
      <c r="F106" s="98"/>
      <c r="G106" s="98"/>
      <c r="H106" s="98"/>
      <c r="I106" s="98"/>
      <c r="J106" s="98"/>
      <c r="K106" s="98"/>
      <c r="L106" s="98"/>
      <c r="M106" s="98"/>
      <c r="N106" s="98"/>
      <c r="O106" s="98"/>
      <c r="P106" s="98"/>
      <c r="Q106" s="98"/>
      <c r="R106" s="98"/>
      <c r="S106" s="98"/>
      <c r="T106" s="98"/>
      <c r="U106" s="98"/>
      <c r="V106" s="98"/>
    </row>
    <row r="107" spans="4:22" ht="12.75">
      <c r="D107" s="98"/>
      <c r="E107" s="98"/>
      <c r="F107" s="98"/>
      <c r="G107" s="98"/>
      <c r="H107" s="98"/>
      <c r="I107" s="98"/>
      <c r="J107" s="98"/>
      <c r="K107" s="98"/>
      <c r="L107" s="98"/>
      <c r="M107" s="98"/>
      <c r="N107" s="98"/>
      <c r="O107" s="98"/>
      <c r="P107" s="98"/>
      <c r="Q107" s="98"/>
      <c r="R107" s="98"/>
      <c r="S107" s="98"/>
      <c r="T107" s="98"/>
      <c r="U107" s="98"/>
      <c r="V107" s="98"/>
    </row>
    <row r="108" spans="4:22" ht="12.75">
      <c r="D108" s="98"/>
      <c r="E108" s="98"/>
      <c r="F108" s="98"/>
      <c r="G108" s="98"/>
      <c r="H108" s="98"/>
      <c r="I108" s="98"/>
      <c r="J108" s="98"/>
      <c r="K108" s="98"/>
      <c r="L108" s="98"/>
      <c r="M108" s="98"/>
      <c r="N108" s="98"/>
      <c r="O108" s="98"/>
      <c r="P108" s="98"/>
      <c r="Q108" s="98"/>
      <c r="R108" s="98"/>
      <c r="S108" s="98"/>
      <c r="T108" s="98"/>
      <c r="U108" s="98"/>
      <c r="V108" s="98"/>
    </row>
    <row r="109" spans="4:22" ht="12.75">
      <c r="D109" s="98"/>
      <c r="E109" s="98"/>
      <c r="F109" s="98"/>
      <c r="G109" s="98"/>
      <c r="H109" s="98"/>
      <c r="I109" s="98"/>
      <c r="J109" s="98"/>
      <c r="K109" s="98"/>
      <c r="L109" s="98"/>
      <c r="M109" s="98"/>
      <c r="N109" s="98"/>
      <c r="O109" s="98"/>
      <c r="P109" s="98"/>
      <c r="Q109" s="98"/>
      <c r="R109" s="98"/>
      <c r="S109" s="98"/>
      <c r="T109" s="98"/>
      <c r="U109" s="98"/>
      <c r="V109" s="98"/>
    </row>
    <row r="110" spans="4:22" ht="12.75">
      <c r="D110" s="98"/>
      <c r="E110" s="98"/>
      <c r="F110" s="98"/>
      <c r="G110" s="98"/>
      <c r="H110" s="98"/>
      <c r="I110" s="98"/>
      <c r="J110" s="98"/>
      <c r="K110" s="98"/>
      <c r="L110" s="98"/>
      <c r="M110" s="98"/>
      <c r="N110" s="98"/>
      <c r="O110" s="98"/>
      <c r="P110" s="98"/>
      <c r="Q110" s="98"/>
      <c r="R110" s="98"/>
      <c r="S110" s="98"/>
      <c r="T110" s="98"/>
      <c r="U110" s="98"/>
      <c r="V110" s="98"/>
    </row>
    <row r="111" spans="4:22" ht="12.75">
      <c r="D111" s="98"/>
      <c r="E111" s="98"/>
      <c r="F111" s="98"/>
      <c r="G111" s="98"/>
      <c r="H111" s="98"/>
      <c r="I111" s="98"/>
      <c r="J111" s="98"/>
      <c r="K111" s="98"/>
      <c r="L111" s="98"/>
      <c r="M111" s="98"/>
      <c r="N111" s="98"/>
      <c r="O111" s="98"/>
      <c r="P111" s="98"/>
      <c r="Q111" s="98"/>
      <c r="R111" s="98"/>
      <c r="S111" s="98"/>
      <c r="T111" s="98"/>
      <c r="U111" s="98"/>
      <c r="V111" s="98"/>
    </row>
    <row r="112" spans="4:22" ht="12.75">
      <c r="D112" s="98"/>
      <c r="E112" s="98"/>
      <c r="F112" s="98"/>
      <c r="G112" s="98"/>
      <c r="H112" s="98"/>
      <c r="I112" s="98"/>
      <c r="J112" s="98"/>
      <c r="K112" s="98"/>
      <c r="L112" s="98"/>
      <c r="M112" s="98"/>
      <c r="N112" s="98"/>
      <c r="O112" s="98"/>
      <c r="P112" s="98"/>
      <c r="Q112" s="98"/>
      <c r="R112" s="98"/>
      <c r="S112" s="98"/>
      <c r="T112" s="98"/>
      <c r="U112" s="98"/>
      <c r="V112" s="98"/>
    </row>
    <row r="113" spans="4:22" ht="12.75">
      <c r="D113" s="98"/>
      <c r="E113" s="98"/>
      <c r="F113" s="98"/>
      <c r="G113" s="98"/>
      <c r="H113" s="98"/>
      <c r="I113" s="98"/>
      <c r="J113" s="98"/>
      <c r="K113" s="98"/>
      <c r="L113" s="98"/>
      <c r="M113" s="98"/>
      <c r="N113" s="98"/>
      <c r="O113" s="98"/>
      <c r="P113" s="98"/>
      <c r="Q113" s="98"/>
      <c r="R113" s="98"/>
      <c r="S113" s="98"/>
      <c r="T113" s="98"/>
      <c r="U113" s="98"/>
      <c r="V113" s="98"/>
    </row>
    <row r="114" spans="4:22" ht="12.75">
      <c r="D114" s="98"/>
      <c r="E114" s="98"/>
      <c r="F114" s="98"/>
      <c r="G114" s="98"/>
      <c r="H114" s="98"/>
      <c r="I114" s="98"/>
      <c r="J114" s="98"/>
      <c r="K114" s="98"/>
      <c r="L114" s="98"/>
      <c r="M114" s="98"/>
      <c r="N114" s="98"/>
      <c r="O114" s="98"/>
      <c r="P114" s="98"/>
      <c r="Q114" s="98"/>
      <c r="R114" s="98"/>
      <c r="S114" s="98"/>
      <c r="T114" s="98"/>
      <c r="U114" s="98"/>
      <c r="V114" s="98"/>
    </row>
    <row r="115" spans="4:22" ht="12.75">
      <c r="D115" s="98"/>
      <c r="E115" s="98"/>
      <c r="F115" s="98"/>
      <c r="G115" s="98"/>
      <c r="H115" s="98"/>
      <c r="I115" s="98"/>
      <c r="J115" s="98"/>
      <c r="K115" s="98"/>
      <c r="L115" s="98"/>
      <c r="M115" s="98"/>
      <c r="N115" s="98"/>
      <c r="O115" s="98"/>
      <c r="P115" s="98"/>
      <c r="Q115" s="98"/>
      <c r="R115" s="98"/>
      <c r="S115" s="98"/>
      <c r="T115" s="98"/>
      <c r="U115" s="98"/>
      <c r="V115" s="98"/>
    </row>
    <row r="116" spans="4:22" ht="12.75">
      <c r="D116" s="98"/>
      <c r="E116" s="98"/>
      <c r="F116" s="98"/>
      <c r="G116" s="98"/>
      <c r="H116" s="98"/>
      <c r="I116" s="98"/>
      <c r="J116" s="98"/>
      <c r="K116" s="98"/>
      <c r="L116" s="98"/>
      <c r="M116" s="98"/>
      <c r="N116" s="98"/>
      <c r="O116" s="98"/>
      <c r="P116" s="98"/>
      <c r="Q116" s="98"/>
      <c r="R116" s="98"/>
      <c r="S116" s="98"/>
      <c r="T116" s="98"/>
      <c r="U116" s="98"/>
      <c r="V116" s="98"/>
    </row>
    <row r="117" spans="4:22" ht="12.75">
      <c r="D117" s="98"/>
      <c r="E117" s="98"/>
      <c r="F117" s="98"/>
      <c r="G117" s="98"/>
      <c r="H117" s="98"/>
      <c r="I117" s="98"/>
      <c r="J117" s="98"/>
      <c r="K117" s="98"/>
      <c r="L117" s="98"/>
      <c r="M117" s="98"/>
      <c r="N117" s="98"/>
      <c r="O117" s="98"/>
      <c r="P117" s="98"/>
      <c r="Q117" s="98"/>
      <c r="R117" s="98"/>
      <c r="S117" s="98"/>
      <c r="T117" s="98"/>
      <c r="U117" s="98"/>
      <c r="V117" s="98"/>
    </row>
    <row r="118" spans="4:22" ht="12.75">
      <c r="D118" s="98"/>
      <c r="E118" s="98"/>
      <c r="F118" s="98"/>
      <c r="G118" s="98"/>
      <c r="H118" s="98"/>
      <c r="I118" s="98"/>
      <c r="J118" s="98"/>
      <c r="K118" s="98"/>
      <c r="L118" s="98"/>
      <c r="M118" s="98"/>
      <c r="N118" s="98"/>
      <c r="O118" s="98"/>
      <c r="P118" s="98"/>
      <c r="Q118" s="98"/>
      <c r="R118" s="98"/>
      <c r="S118" s="98"/>
      <c r="T118" s="98"/>
      <c r="U118" s="98"/>
      <c r="V118" s="98"/>
    </row>
    <row r="119" spans="4:22" ht="12.75">
      <c r="D119" s="98"/>
      <c r="E119" s="98"/>
      <c r="F119" s="98"/>
      <c r="G119" s="98"/>
      <c r="H119" s="98"/>
      <c r="I119" s="98"/>
      <c r="J119" s="98"/>
      <c r="K119" s="98"/>
      <c r="L119" s="98"/>
      <c r="M119" s="98"/>
      <c r="N119" s="98"/>
      <c r="O119" s="98"/>
      <c r="P119" s="98"/>
      <c r="Q119" s="98"/>
      <c r="R119" s="98"/>
      <c r="S119" s="98"/>
      <c r="T119" s="98"/>
      <c r="U119" s="98"/>
      <c r="V119" s="98"/>
    </row>
    <row r="120" spans="4:22" ht="12.75">
      <c r="D120" s="98"/>
      <c r="E120" s="98"/>
      <c r="F120" s="98"/>
      <c r="G120" s="98"/>
      <c r="H120" s="98"/>
      <c r="I120" s="98"/>
      <c r="J120" s="98"/>
      <c r="K120" s="98"/>
      <c r="L120" s="98"/>
      <c r="M120" s="98"/>
      <c r="N120" s="98"/>
      <c r="O120" s="98"/>
      <c r="P120" s="98"/>
      <c r="Q120" s="98"/>
      <c r="R120" s="98"/>
      <c r="S120" s="98"/>
      <c r="T120" s="98"/>
      <c r="U120" s="98"/>
      <c r="V120" s="98"/>
    </row>
    <row r="121" spans="4:22" ht="12.75">
      <c r="D121" s="98"/>
      <c r="E121" s="98"/>
      <c r="F121" s="98"/>
      <c r="G121" s="98"/>
      <c r="H121" s="98"/>
      <c r="I121" s="98"/>
      <c r="J121" s="98"/>
      <c r="K121" s="98"/>
      <c r="L121" s="98"/>
      <c r="M121" s="98"/>
      <c r="N121" s="98"/>
      <c r="O121" s="98"/>
      <c r="P121" s="98"/>
      <c r="Q121" s="98"/>
      <c r="R121" s="98"/>
      <c r="S121" s="98"/>
      <c r="T121" s="98"/>
      <c r="U121" s="98"/>
      <c r="V121" s="98"/>
    </row>
    <row r="122" spans="4:22" ht="12.75">
      <c r="D122" s="98"/>
      <c r="E122" s="98"/>
      <c r="F122" s="98"/>
      <c r="G122" s="98"/>
      <c r="H122" s="98"/>
      <c r="I122" s="98"/>
      <c r="J122" s="98"/>
      <c r="K122" s="98"/>
      <c r="L122" s="98"/>
      <c r="M122" s="98"/>
      <c r="N122" s="98"/>
      <c r="O122" s="98"/>
      <c r="P122" s="98"/>
      <c r="Q122" s="98"/>
      <c r="R122" s="98"/>
      <c r="S122" s="98"/>
      <c r="T122" s="98"/>
      <c r="U122" s="98"/>
      <c r="V122" s="98"/>
    </row>
    <row r="123" spans="4:22" ht="12.75">
      <c r="D123" s="98"/>
      <c r="E123" s="98"/>
      <c r="F123" s="98"/>
      <c r="G123" s="98"/>
      <c r="H123" s="98"/>
      <c r="I123" s="98"/>
      <c r="J123" s="98"/>
      <c r="K123" s="98"/>
      <c r="L123" s="98"/>
      <c r="M123" s="98"/>
      <c r="N123" s="98"/>
      <c r="O123" s="98"/>
      <c r="P123" s="98"/>
      <c r="Q123" s="98"/>
      <c r="R123" s="98"/>
      <c r="S123" s="98"/>
      <c r="T123" s="98"/>
      <c r="U123" s="98"/>
      <c r="V123" s="98"/>
    </row>
    <row r="124" spans="4:22" ht="12.75">
      <c r="D124" s="98"/>
      <c r="E124" s="98"/>
      <c r="F124" s="98"/>
      <c r="G124" s="98"/>
      <c r="H124" s="98"/>
      <c r="I124" s="98"/>
      <c r="J124" s="98"/>
      <c r="K124" s="98"/>
      <c r="L124" s="98"/>
      <c r="M124" s="98"/>
      <c r="N124" s="98"/>
      <c r="O124" s="98"/>
      <c r="P124" s="98"/>
      <c r="Q124" s="98"/>
      <c r="R124" s="98"/>
      <c r="S124" s="98"/>
      <c r="T124" s="98"/>
      <c r="U124" s="98"/>
      <c r="V124" s="98"/>
    </row>
    <row r="125" spans="4:22" ht="12.75">
      <c r="D125" s="98"/>
      <c r="E125" s="98"/>
      <c r="F125" s="98"/>
      <c r="G125" s="98"/>
      <c r="H125" s="98"/>
      <c r="I125" s="98"/>
      <c r="J125" s="98"/>
      <c r="K125" s="98"/>
      <c r="L125" s="98"/>
      <c r="M125" s="98"/>
      <c r="N125" s="98"/>
      <c r="O125" s="98"/>
      <c r="P125" s="98"/>
      <c r="Q125" s="98"/>
      <c r="R125" s="98"/>
      <c r="S125" s="98"/>
      <c r="T125" s="98"/>
      <c r="U125" s="98"/>
      <c r="V125" s="98"/>
    </row>
    <row r="126" spans="4:22" ht="12.75">
      <c r="D126" s="98"/>
      <c r="E126" s="98"/>
      <c r="F126" s="98"/>
      <c r="G126" s="98"/>
      <c r="H126" s="98"/>
      <c r="I126" s="98"/>
      <c r="J126" s="98"/>
      <c r="K126" s="98"/>
      <c r="L126" s="98"/>
      <c r="M126" s="98"/>
      <c r="N126" s="98"/>
      <c r="O126" s="98"/>
      <c r="P126" s="98"/>
      <c r="Q126" s="98"/>
      <c r="R126" s="98"/>
      <c r="S126" s="98"/>
      <c r="T126" s="98"/>
      <c r="U126" s="98"/>
      <c r="V126" s="98"/>
    </row>
    <row r="127" spans="4:22" ht="12.75">
      <c r="D127" s="98"/>
      <c r="E127" s="98"/>
      <c r="F127" s="98"/>
      <c r="G127" s="98"/>
      <c r="H127" s="98"/>
      <c r="I127" s="98"/>
      <c r="J127" s="98"/>
      <c r="K127" s="98"/>
      <c r="L127" s="98"/>
      <c r="M127" s="98"/>
      <c r="N127" s="98"/>
      <c r="O127" s="98"/>
      <c r="P127" s="98"/>
      <c r="Q127" s="98"/>
      <c r="R127" s="98"/>
      <c r="S127" s="98"/>
      <c r="T127" s="98"/>
      <c r="U127" s="98"/>
      <c r="V127" s="98"/>
    </row>
    <row r="128" spans="4:22" ht="12.75">
      <c r="D128" s="98"/>
      <c r="E128" s="98"/>
      <c r="F128" s="98"/>
      <c r="G128" s="98"/>
      <c r="H128" s="98"/>
      <c r="I128" s="98"/>
      <c r="J128" s="98"/>
      <c r="K128" s="98"/>
      <c r="L128" s="98"/>
      <c r="M128" s="98"/>
      <c r="N128" s="98"/>
      <c r="O128" s="98"/>
      <c r="P128" s="98"/>
      <c r="Q128" s="98"/>
      <c r="R128" s="98"/>
      <c r="S128" s="98"/>
      <c r="T128" s="98"/>
      <c r="U128" s="98"/>
      <c r="V128" s="98"/>
    </row>
    <row r="129" spans="4:22" ht="12.75">
      <c r="D129" s="98"/>
      <c r="E129" s="98"/>
      <c r="F129" s="98"/>
      <c r="G129" s="98"/>
      <c r="H129" s="98"/>
      <c r="I129" s="98"/>
      <c r="J129" s="98"/>
      <c r="K129" s="98"/>
      <c r="L129" s="98"/>
      <c r="M129" s="98"/>
      <c r="N129" s="98"/>
      <c r="O129" s="98"/>
      <c r="P129" s="98"/>
      <c r="Q129" s="98"/>
      <c r="R129" s="98"/>
      <c r="S129" s="98"/>
      <c r="T129" s="98"/>
      <c r="U129" s="98"/>
      <c r="V129" s="98"/>
    </row>
    <row r="130" spans="4:22" ht="12.75">
      <c r="D130" s="98"/>
      <c r="E130" s="98"/>
      <c r="F130" s="98"/>
      <c r="G130" s="98"/>
      <c r="H130" s="98"/>
      <c r="I130" s="98"/>
      <c r="J130" s="98"/>
      <c r="K130" s="98"/>
      <c r="L130" s="98"/>
      <c r="M130" s="98"/>
      <c r="N130" s="98"/>
      <c r="O130" s="98"/>
      <c r="P130" s="98"/>
      <c r="Q130" s="98"/>
      <c r="R130" s="98"/>
      <c r="S130" s="98"/>
      <c r="T130" s="98"/>
      <c r="U130" s="98"/>
      <c r="V130" s="98"/>
    </row>
    <row r="131" spans="4:22" ht="12.75">
      <c r="D131" s="98"/>
      <c r="E131" s="98"/>
      <c r="F131" s="98"/>
      <c r="G131" s="98"/>
      <c r="H131" s="98"/>
      <c r="I131" s="98"/>
      <c r="J131" s="98"/>
      <c r="K131" s="98"/>
      <c r="L131" s="98"/>
      <c r="M131" s="98"/>
      <c r="N131" s="98"/>
      <c r="O131" s="98"/>
      <c r="P131" s="98"/>
      <c r="Q131" s="98"/>
      <c r="R131" s="98"/>
      <c r="S131" s="98"/>
      <c r="T131" s="98"/>
      <c r="U131" s="98"/>
      <c r="V131" s="98"/>
    </row>
    <row r="132" spans="4:22" ht="12.75">
      <c r="D132" s="98"/>
      <c r="E132" s="98"/>
      <c r="F132" s="98"/>
      <c r="G132" s="98"/>
      <c r="H132" s="98"/>
      <c r="I132" s="98"/>
      <c r="J132" s="98"/>
      <c r="K132" s="98"/>
      <c r="L132" s="98"/>
      <c r="M132" s="98"/>
      <c r="N132" s="98"/>
      <c r="O132" s="98"/>
      <c r="P132" s="98"/>
      <c r="Q132" s="98"/>
      <c r="R132" s="98"/>
      <c r="S132" s="98"/>
      <c r="T132" s="98"/>
      <c r="U132" s="98"/>
      <c r="V132" s="98"/>
    </row>
    <row r="133" spans="4:22" ht="12.75">
      <c r="D133" s="98"/>
      <c r="E133" s="98"/>
      <c r="F133" s="98"/>
      <c r="G133" s="98"/>
      <c r="H133" s="98"/>
      <c r="I133" s="98"/>
      <c r="J133" s="98"/>
      <c r="K133" s="98"/>
      <c r="L133" s="98"/>
      <c r="M133" s="98"/>
      <c r="N133" s="98"/>
      <c r="O133" s="98"/>
      <c r="P133" s="98"/>
      <c r="Q133" s="98"/>
      <c r="R133" s="98"/>
      <c r="S133" s="98"/>
      <c r="T133" s="98"/>
      <c r="U133" s="98"/>
      <c r="V133" s="98"/>
    </row>
    <row r="134" spans="4:22" ht="12.75">
      <c r="D134" s="98"/>
      <c r="E134" s="98"/>
      <c r="F134" s="98"/>
      <c r="G134" s="98"/>
      <c r="H134" s="98"/>
      <c r="I134" s="98"/>
      <c r="J134" s="98"/>
      <c r="K134" s="98"/>
      <c r="L134" s="98"/>
      <c r="M134" s="98"/>
      <c r="N134" s="98"/>
      <c r="O134" s="98"/>
      <c r="P134" s="98"/>
      <c r="Q134" s="98"/>
      <c r="R134" s="98"/>
      <c r="S134" s="98"/>
      <c r="T134" s="98"/>
      <c r="U134" s="98"/>
      <c r="V134" s="98"/>
    </row>
    <row r="135" spans="4:22" ht="12.75">
      <c r="D135" s="98"/>
      <c r="E135" s="98"/>
      <c r="F135" s="98"/>
      <c r="G135" s="98"/>
      <c r="H135" s="98"/>
      <c r="I135" s="98"/>
      <c r="J135" s="98"/>
      <c r="K135" s="98"/>
      <c r="L135" s="98"/>
      <c r="M135" s="98"/>
      <c r="N135" s="98"/>
      <c r="O135" s="98"/>
      <c r="P135" s="98"/>
      <c r="Q135" s="98"/>
      <c r="R135" s="98"/>
      <c r="S135" s="98"/>
      <c r="T135" s="98"/>
      <c r="U135" s="98"/>
      <c r="V135" s="98"/>
    </row>
    <row r="136" spans="4:22" ht="12.75">
      <c r="D136" s="98"/>
      <c r="E136" s="98"/>
      <c r="F136" s="98"/>
      <c r="G136" s="98"/>
      <c r="H136" s="98"/>
      <c r="I136" s="98"/>
      <c r="J136" s="98"/>
      <c r="K136" s="98"/>
      <c r="L136" s="98"/>
      <c r="M136" s="98"/>
      <c r="N136" s="98"/>
      <c r="O136" s="98"/>
      <c r="P136" s="98"/>
      <c r="Q136" s="98"/>
      <c r="R136" s="98"/>
      <c r="S136" s="98"/>
      <c r="T136" s="98"/>
      <c r="U136" s="98"/>
      <c r="V136" s="98"/>
    </row>
    <row r="137" spans="4:22" ht="12.75">
      <c r="D137" s="98"/>
      <c r="E137" s="98"/>
      <c r="F137" s="98"/>
      <c r="G137" s="98"/>
      <c r="H137" s="98"/>
      <c r="I137" s="98"/>
      <c r="J137" s="98"/>
      <c r="K137" s="98"/>
      <c r="L137" s="98"/>
      <c r="M137" s="98"/>
      <c r="N137" s="98"/>
      <c r="O137" s="98"/>
      <c r="P137" s="98"/>
      <c r="Q137" s="98"/>
      <c r="R137" s="98"/>
      <c r="S137" s="98"/>
      <c r="T137" s="98"/>
      <c r="U137" s="98"/>
      <c r="V137" s="98"/>
    </row>
    <row r="138" spans="4:22" ht="12.75">
      <c r="D138" s="98"/>
      <c r="E138" s="98"/>
      <c r="F138" s="98"/>
      <c r="G138" s="98"/>
      <c r="H138" s="98"/>
      <c r="I138" s="98"/>
      <c r="J138" s="98"/>
      <c r="K138" s="98"/>
      <c r="L138" s="98"/>
      <c r="M138" s="98"/>
      <c r="N138" s="98"/>
      <c r="O138" s="98"/>
      <c r="P138" s="98"/>
      <c r="Q138" s="98"/>
      <c r="R138" s="98"/>
      <c r="S138" s="98"/>
      <c r="T138" s="98"/>
      <c r="U138" s="98"/>
      <c r="V138" s="98"/>
    </row>
    <row r="139" spans="4:22" ht="12.75">
      <c r="D139" s="98"/>
      <c r="E139" s="98"/>
      <c r="F139" s="98"/>
      <c r="G139" s="98"/>
      <c r="H139" s="98"/>
      <c r="I139" s="98"/>
      <c r="J139" s="98"/>
      <c r="K139" s="98"/>
      <c r="L139" s="98"/>
      <c r="M139" s="98"/>
      <c r="N139" s="98"/>
      <c r="O139" s="98"/>
      <c r="P139" s="98"/>
      <c r="Q139" s="98"/>
      <c r="R139" s="98"/>
      <c r="S139" s="98"/>
      <c r="T139" s="98"/>
      <c r="U139" s="98"/>
      <c r="V139" s="98"/>
    </row>
    <row r="140" spans="4:22" ht="12.75">
      <c r="D140" s="98"/>
      <c r="E140" s="98"/>
      <c r="F140" s="98"/>
      <c r="G140" s="98"/>
      <c r="H140" s="98"/>
      <c r="I140" s="98"/>
      <c r="J140" s="98"/>
      <c r="K140" s="98"/>
      <c r="L140" s="98"/>
      <c r="M140" s="98"/>
      <c r="N140" s="98"/>
      <c r="O140" s="98"/>
      <c r="P140" s="98"/>
      <c r="Q140" s="98"/>
      <c r="R140" s="98"/>
      <c r="S140" s="98"/>
      <c r="T140" s="98"/>
      <c r="U140" s="98"/>
      <c r="V140" s="98"/>
    </row>
    <row r="141" spans="4:22" ht="12.75">
      <c r="D141" s="98"/>
      <c r="E141" s="98"/>
      <c r="F141" s="98"/>
      <c r="G141" s="98"/>
      <c r="H141" s="98"/>
      <c r="I141" s="98"/>
      <c r="J141" s="98"/>
      <c r="K141" s="98"/>
      <c r="L141" s="98"/>
      <c r="M141" s="98"/>
      <c r="N141" s="98"/>
      <c r="O141" s="98"/>
      <c r="P141" s="98"/>
      <c r="Q141" s="98"/>
      <c r="R141" s="98"/>
      <c r="S141" s="98"/>
      <c r="T141" s="98"/>
      <c r="U141" s="98"/>
      <c r="V141" s="98"/>
    </row>
    <row r="142" spans="4:22" ht="12.75">
      <c r="D142" s="98"/>
      <c r="E142" s="98"/>
      <c r="F142" s="98"/>
      <c r="G142" s="98"/>
      <c r="H142" s="98"/>
      <c r="I142" s="98"/>
      <c r="J142" s="98"/>
      <c r="K142" s="98"/>
      <c r="L142" s="98"/>
      <c r="M142" s="98"/>
      <c r="N142" s="98"/>
      <c r="O142" s="98"/>
      <c r="P142" s="98"/>
      <c r="Q142" s="98"/>
      <c r="R142" s="98"/>
      <c r="S142" s="98"/>
      <c r="T142" s="98"/>
      <c r="U142" s="98"/>
      <c r="V142" s="98"/>
    </row>
    <row r="143" spans="4:22" ht="12.75">
      <c r="D143" s="98"/>
      <c r="E143" s="98"/>
      <c r="F143" s="98"/>
      <c r="G143" s="98"/>
      <c r="H143" s="98"/>
      <c r="I143" s="98"/>
      <c r="J143" s="98"/>
      <c r="K143" s="98"/>
      <c r="L143" s="98"/>
      <c r="M143" s="98"/>
      <c r="N143" s="98"/>
      <c r="O143" s="98"/>
      <c r="P143" s="98"/>
      <c r="Q143" s="98"/>
      <c r="R143" s="98"/>
      <c r="S143" s="98"/>
      <c r="T143" s="98"/>
      <c r="U143" s="98"/>
      <c r="V143" s="98"/>
    </row>
    <row r="144" spans="4:22" ht="12.75">
      <c r="D144" s="98"/>
      <c r="E144" s="98"/>
      <c r="F144" s="98"/>
      <c r="G144" s="98"/>
      <c r="H144" s="98"/>
      <c r="I144" s="98"/>
      <c r="J144" s="98"/>
      <c r="K144" s="98"/>
      <c r="L144" s="98"/>
      <c r="M144" s="98"/>
      <c r="N144" s="98"/>
      <c r="O144" s="98"/>
      <c r="P144" s="98"/>
      <c r="Q144" s="98"/>
      <c r="R144" s="98"/>
      <c r="S144" s="98"/>
      <c r="T144" s="98"/>
      <c r="U144" s="98"/>
      <c r="V144" s="98"/>
    </row>
    <row r="145" spans="4:22" ht="12.75">
      <c r="D145" s="98"/>
      <c r="E145" s="98"/>
      <c r="F145" s="98"/>
      <c r="G145" s="98"/>
      <c r="H145" s="98"/>
      <c r="I145" s="98"/>
      <c r="J145" s="98"/>
      <c r="K145" s="98"/>
      <c r="L145" s="98"/>
      <c r="M145" s="98"/>
      <c r="N145" s="98"/>
      <c r="O145" s="98"/>
      <c r="P145" s="98"/>
      <c r="Q145" s="98"/>
      <c r="R145" s="98"/>
      <c r="S145" s="98"/>
      <c r="T145" s="98"/>
      <c r="U145" s="98"/>
      <c r="V145" s="98"/>
    </row>
    <row r="146" spans="4:22" ht="12.75">
      <c r="D146" s="98"/>
      <c r="E146" s="98"/>
      <c r="F146" s="98"/>
      <c r="G146" s="98"/>
      <c r="H146" s="98"/>
      <c r="I146" s="98"/>
      <c r="J146" s="98"/>
      <c r="K146" s="98"/>
      <c r="L146" s="98"/>
      <c r="M146" s="98"/>
      <c r="N146" s="98"/>
      <c r="O146" s="98"/>
      <c r="P146" s="98"/>
      <c r="Q146" s="98"/>
      <c r="R146" s="98"/>
      <c r="S146" s="98"/>
      <c r="T146" s="98"/>
      <c r="U146" s="98"/>
      <c r="V146" s="98"/>
    </row>
    <row r="147" spans="4:22" ht="12.75">
      <c r="D147" s="98"/>
      <c r="E147" s="98"/>
      <c r="F147" s="98"/>
      <c r="G147" s="98"/>
      <c r="H147" s="98"/>
      <c r="I147" s="98"/>
      <c r="J147" s="98"/>
      <c r="K147" s="98"/>
      <c r="L147" s="98"/>
      <c r="M147" s="98"/>
      <c r="N147" s="98"/>
      <c r="O147" s="98"/>
      <c r="P147" s="98"/>
      <c r="Q147" s="98"/>
      <c r="R147" s="98"/>
      <c r="S147" s="98"/>
      <c r="T147" s="98"/>
      <c r="U147" s="98"/>
      <c r="V147" s="98"/>
    </row>
    <row r="148" spans="4:22" ht="12.75">
      <c r="D148" s="98"/>
      <c r="E148" s="98"/>
      <c r="F148" s="98"/>
      <c r="G148" s="98"/>
      <c r="H148" s="98"/>
      <c r="I148" s="98"/>
      <c r="J148" s="98"/>
      <c r="K148" s="98"/>
      <c r="L148" s="98"/>
      <c r="M148" s="98"/>
      <c r="N148" s="98"/>
      <c r="O148" s="98"/>
      <c r="P148" s="98"/>
      <c r="Q148" s="98"/>
      <c r="R148" s="98"/>
      <c r="S148" s="98"/>
      <c r="T148" s="98"/>
      <c r="U148" s="98"/>
      <c r="V148" s="98"/>
    </row>
    <row r="149" spans="4:22" ht="12.75">
      <c r="D149" s="98"/>
      <c r="E149" s="98"/>
      <c r="F149" s="98"/>
      <c r="G149" s="98"/>
      <c r="H149" s="98"/>
      <c r="I149" s="98"/>
      <c r="J149" s="98"/>
      <c r="K149" s="98"/>
      <c r="L149" s="98"/>
      <c r="M149" s="98"/>
      <c r="N149" s="98"/>
      <c r="O149" s="98"/>
      <c r="P149" s="98"/>
      <c r="Q149" s="98"/>
      <c r="R149" s="98"/>
      <c r="S149" s="98"/>
      <c r="T149" s="98"/>
      <c r="U149" s="98"/>
      <c r="V149" s="98"/>
    </row>
    <row r="150" spans="4:22" ht="12.75">
      <c r="D150" s="98"/>
      <c r="E150" s="98"/>
      <c r="F150" s="98"/>
      <c r="G150" s="98"/>
      <c r="H150" s="98"/>
      <c r="I150" s="98"/>
      <c r="J150" s="98"/>
      <c r="K150" s="98"/>
      <c r="L150" s="98"/>
      <c r="M150" s="98"/>
      <c r="N150" s="98"/>
      <c r="O150" s="98"/>
      <c r="P150" s="98"/>
      <c r="Q150" s="98"/>
      <c r="R150" s="98"/>
      <c r="S150" s="98"/>
      <c r="T150" s="98"/>
      <c r="U150" s="98"/>
      <c r="V150" s="98"/>
    </row>
    <row r="151" spans="4:22" ht="12.75">
      <c r="D151" s="98"/>
      <c r="E151" s="98"/>
      <c r="F151" s="98"/>
      <c r="G151" s="98"/>
      <c r="H151" s="98"/>
      <c r="I151" s="98"/>
      <c r="J151" s="98"/>
      <c r="K151" s="98"/>
      <c r="L151" s="98"/>
      <c r="M151" s="98"/>
      <c r="N151" s="98"/>
      <c r="O151" s="98"/>
      <c r="P151" s="98"/>
      <c r="Q151" s="98"/>
      <c r="R151" s="98"/>
      <c r="S151" s="98"/>
      <c r="T151" s="98"/>
      <c r="U151" s="98"/>
      <c r="V151" s="98"/>
    </row>
    <row r="152" spans="4:22" ht="12.75">
      <c r="D152" s="98"/>
      <c r="E152" s="98"/>
      <c r="F152" s="98"/>
      <c r="G152" s="98"/>
      <c r="H152" s="98"/>
      <c r="I152" s="98"/>
      <c r="J152" s="98"/>
      <c r="K152" s="98"/>
      <c r="L152" s="98"/>
      <c r="M152" s="98"/>
      <c r="N152" s="98"/>
      <c r="O152" s="98"/>
      <c r="P152" s="98"/>
      <c r="Q152" s="98"/>
      <c r="R152" s="98"/>
      <c r="S152" s="98"/>
      <c r="T152" s="98"/>
      <c r="U152" s="98"/>
      <c r="V152" s="98"/>
    </row>
    <row r="153" spans="4:22" ht="12.75">
      <c r="D153" s="98"/>
      <c r="E153" s="98"/>
      <c r="F153" s="98"/>
      <c r="G153" s="98"/>
      <c r="H153" s="98"/>
      <c r="I153" s="98"/>
      <c r="J153" s="98"/>
      <c r="K153" s="98"/>
      <c r="L153" s="98"/>
      <c r="M153" s="98"/>
      <c r="N153" s="98"/>
      <c r="O153" s="98"/>
      <c r="P153" s="98"/>
      <c r="Q153" s="98"/>
      <c r="R153" s="98"/>
      <c r="S153" s="98"/>
      <c r="T153" s="98"/>
      <c r="U153" s="98"/>
      <c r="V153" s="98"/>
    </row>
    <row r="154" spans="4:22" ht="12.75">
      <c r="D154" s="98"/>
      <c r="E154" s="98"/>
      <c r="F154" s="98"/>
      <c r="G154" s="98"/>
      <c r="H154" s="98"/>
      <c r="I154" s="98"/>
      <c r="J154" s="98"/>
      <c r="K154" s="98"/>
      <c r="L154" s="98"/>
      <c r="M154" s="98"/>
      <c r="N154" s="98"/>
      <c r="O154" s="98"/>
      <c r="P154" s="98"/>
      <c r="Q154" s="98"/>
      <c r="R154" s="98"/>
      <c r="S154" s="98"/>
      <c r="T154" s="98"/>
      <c r="U154" s="98"/>
      <c r="V154" s="98"/>
    </row>
    <row r="155" spans="4:22" ht="12.75">
      <c r="D155" s="98"/>
      <c r="E155" s="98"/>
      <c r="F155" s="98"/>
      <c r="G155" s="98"/>
      <c r="H155" s="98"/>
      <c r="I155" s="98"/>
      <c r="J155" s="98"/>
      <c r="K155" s="98"/>
      <c r="L155" s="98"/>
      <c r="M155" s="98"/>
      <c r="N155" s="98"/>
      <c r="O155" s="98"/>
      <c r="P155" s="98"/>
      <c r="Q155" s="98"/>
      <c r="R155" s="98"/>
      <c r="S155" s="98"/>
      <c r="T155" s="98"/>
      <c r="U155" s="98"/>
      <c r="V155" s="98"/>
    </row>
    <row r="156" spans="4:22" ht="12.75">
      <c r="D156" s="98"/>
      <c r="E156" s="98"/>
      <c r="F156" s="98"/>
      <c r="G156" s="98"/>
      <c r="H156" s="98"/>
      <c r="I156" s="98"/>
      <c r="J156" s="98"/>
      <c r="K156" s="98"/>
      <c r="L156" s="98"/>
      <c r="M156" s="98"/>
      <c r="N156" s="98"/>
      <c r="O156" s="98"/>
      <c r="P156" s="98"/>
      <c r="Q156" s="98"/>
      <c r="R156" s="98"/>
      <c r="S156" s="98"/>
      <c r="T156" s="98"/>
      <c r="U156" s="98"/>
      <c r="V156" s="98"/>
    </row>
    <row r="157" spans="4:22" ht="12.75">
      <c r="D157" s="98"/>
      <c r="E157" s="98"/>
      <c r="F157" s="98"/>
      <c r="G157" s="98"/>
      <c r="H157" s="98"/>
      <c r="I157" s="98"/>
      <c r="J157" s="98"/>
      <c r="K157" s="98"/>
      <c r="L157" s="98"/>
      <c r="M157" s="98"/>
      <c r="N157" s="98"/>
      <c r="O157" s="98"/>
      <c r="P157" s="98"/>
      <c r="Q157" s="98"/>
      <c r="R157" s="98"/>
      <c r="S157" s="98"/>
      <c r="T157" s="98"/>
      <c r="U157" s="98"/>
      <c r="V157" s="98"/>
    </row>
    <row r="158" spans="4:22" ht="12.75">
      <c r="D158" s="98"/>
      <c r="E158" s="98"/>
      <c r="F158" s="98"/>
      <c r="G158" s="98"/>
      <c r="H158" s="98"/>
      <c r="I158" s="98"/>
      <c r="J158" s="98"/>
      <c r="K158" s="98"/>
      <c r="L158" s="98"/>
      <c r="M158" s="98"/>
      <c r="N158" s="98"/>
      <c r="O158" s="98"/>
      <c r="P158" s="98"/>
      <c r="Q158" s="98"/>
      <c r="R158" s="98"/>
      <c r="S158" s="98"/>
      <c r="T158" s="98"/>
      <c r="U158" s="98"/>
      <c r="V158" s="98"/>
    </row>
    <row r="159" spans="4:22" ht="12.75">
      <c r="D159" s="98"/>
      <c r="E159" s="98"/>
      <c r="F159" s="98"/>
      <c r="G159" s="98"/>
      <c r="H159" s="98"/>
      <c r="I159" s="98"/>
      <c r="J159" s="98"/>
      <c r="K159" s="98"/>
      <c r="L159" s="98"/>
      <c r="M159" s="98"/>
      <c r="N159" s="98"/>
      <c r="O159" s="98"/>
      <c r="P159" s="98"/>
      <c r="Q159" s="98"/>
      <c r="R159" s="98"/>
      <c r="S159" s="98"/>
      <c r="T159" s="98"/>
      <c r="U159" s="98"/>
      <c r="V159" s="98"/>
    </row>
    <row r="160" spans="4:22" ht="12.75">
      <c r="D160" s="98"/>
      <c r="E160" s="98"/>
      <c r="F160" s="98"/>
      <c r="G160" s="98"/>
      <c r="H160" s="98"/>
      <c r="I160" s="98"/>
      <c r="J160" s="98"/>
      <c r="K160" s="98"/>
      <c r="L160" s="98"/>
      <c r="M160" s="98"/>
      <c r="N160" s="98"/>
      <c r="O160" s="98"/>
      <c r="P160" s="98"/>
      <c r="Q160" s="98"/>
      <c r="R160" s="98"/>
      <c r="S160" s="98"/>
      <c r="T160" s="98"/>
      <c r="U160" s="98"/>
      <c r="V160" s="98"/>
    </row>
    <row r="161" spans="4:22" ht="12.75">
      <c r="D161" s="98"/>
      <c r="E161" s="98"/>
      <c r="F161" s="98"/>
      <c r="G161" s="98"/>
      <c r="H161" s="98"/>
      <c r="I161" s="98"/>
      <c r="J161" s="98"/>
      <c r="K161" s="98"/>
      <c r="L161" s="98"/>
      <c r="M161" s="98"/>
      <c r="N161" s="98"/>
      <c r="O161" s="98"/>
      <c r="P161" s="98"/>
      <c r="Q161" s="98"/>
      <c r="R161" s="98"/>
      <c r="S161" s="98"/>
      <c r="T161" s="98"/>
      <c r="U161" s="98"/>
      <c r="V161" s="98"/>
    </row>
    <row r="162" spans="4:22" ht="12.75">
      <c r="D162" s="98"/>
      <c r="E162" s="98"/>
      <c r="F162" s="98"/>
      <c r="G162" s="98"/>
      <c r="H162" s="98"/>
      <c r="I162" s="98"/>
      <c r="J162" s="98"/>
      <c r="K162" s="98"/>
      <c r="L162" s="98"/>
      <c r="M162" s="98"/>
      <c r="N162" s="98"/>
      <c r="O162" s="98"/>
      <c r="P162" s="98"/>
      <c r="Q162" s="98"/>
      <c r="R162" s="98"/>
      <c r="S162" s="98"/>
      <c r="T162" s="98"/>
      <c r="U162" s="98"/>
      <c r="V162" s="98"/>
    </row>
    <row r="163" spans="4:22" ht="12.75">
      <c r="D163" s="98"/>
      <c r="E163" s="98"/>
      <c r="F163" s="98"/>
      <c r="G163" s="98"/>
      <c r="H163" s="98"/>
      <c r="I163" s="98"/>
      <c r="J163" s="98"/>
      <c r="K163" s="98"/>
      <c r="L163" s="98"/>
      <c r="M163" s="98"/>
      <c r="N163" s="98"/>
      <c r="O163" s="98"/>
      <c r="P163" s="98"/>
      <c r="Q163" s="98"/>
      <c r="R163" s="98"/>
      <c r="S163" s="98"/>
      <c r="T163" s="98"/>
      <c r="U163" s="98"/>
      <c r="V163" s="98"/>
    </row>
    <row r="164" spans="4:22" ht="12.75">
      <c r="D164" s="98"/>
      <c r="E164" s="98"/>
      <c r="F164" s="98"/>
      <c r="G164" s="98"/>
      <c r="H164" s="98"/>
      <c r="I164" s="98"/>
      <c r="J164" s="98"/>
      <c r="K164" s="98"/>
      <c r="L164" s="98"/>
      <c r="M164" s="98"/>
      <c r="N164" s="98"/>
      <c r="O164" s="98"/>
      <c r="P164" s="98"/>
      <c r="Q164" s="98"/>
      <c r="R164" s="98"/>
      <c r="S164" s="98"/>
      <c r="T164" s="98"/>
      <c r="U164" s="98"/>
      <c r="V164" s="98"/>
    </row>
    <row r="165" spans="4:22" ht="12.75">
      <c r="D165" s="98"/>
      <c r="E165" s="98"/>
      <c r="F165" s="98"/>
      <c r="G165" s="98"/>
      <c r="H165" s="98"/>
      <c r="I165" s="98"/>
      <c r="J165" s="98"/>
      <c r="K165" s="98"/>
      <c r="L165" s="98"/>
      <c r="M165" s="98"/>
      <c r="N165" s="98"/>
      <c r="O165" s="98"/>
      <c r="P165" s="98"/>
      <c r="Q165" s="98"/>
      <c r="R165" s="98"/>
      <c r="S165" s="98"/>
      <c r="T165" s="98"/>
      <c r="U165" s="98"/>
      <c r="V165" s="98"/>
    </row>
    <row r="166" spans="4:22" ht="12.75">
      <c r="D166" s="98"/>
      <c r="E166" s="98"/>
      <c r="F166" s="98"/>
      <c r="G166" s="98"/>
      <c r="H166" s="98"/>
      <c r="I166" s="98"/>
      <c r="J166" s="98"/>
      <c r="K166" s="98"/>
      <c r="L166" s="98"/>
      <c r="M166" s="98"/>
      <c r="N166" s="98"/>
      <c r="O166" s="98"/>
      <c r="P166" s="98"/>
      <c r="Q166" s="98"/>
      <c r="R166" s="98"/>
      <c r="S166" s="98"/>
      <c r="T166" s="98"/>
      <c r="U166" s="98"/>
      <c r="V166" s="98"/>
    </row>
    <row r="167" spans="4:22" ht="12.75">
      <c r="D167" s="98"/>
      <c r="E167" s="98"/>
      <c r="F167" s="98"/>
      <c r="G167" s="98"/>
      <c r="H167" s="98"/>
      <c r="I167" s="98"/>
      <c r="J167" s="98"/>
      <c r="K167" s="98"/>
      <c r="L167" s="98"/>
      <c r="M167" s="98"/>
      <c r="N167" s="98"/>
      <c r="O167" s="98"/>
      <c r="P167" s="98"/>
      <c r="Q167" s="98"/>
      <c r="R167" s="98"/>
      <c r="S167" s="98"/>
      <c r="T167" s="98"/>
      <c r="U167" s="98"/>
      <c r="V167" s="98"/>
    </row>
    <row r="168" spans="4:22" ht="12.75">
      <c r="D168" s="98"/>
      <c r="E168" s="98"/>
      <c r="F168" s="98"/>
      <c r="G168" s="98"/>
      <c r="H168" s="98"/>
      <c r="I168" s="98"/>
      <c r="J168" s="98"/>
      <c r="K168" s="98"/>
      <c r="L168" s="98"/>
      <c r="M168" s="98"/>
      <c r="N168" s="98"/>
      <c r="O168" s="98"/>
      <c r="P168" s="98"/>
      <c r="Q168" s="98"/>
      <c r="R168" s="98"/>
      <c r="S168" s="98"/>
      <c r="T168" s="98"/>
      <c r="U168" s="98"/>
      <c r="V168" s="98"/>
    </row>
    <row r="169" spans="4:22" ht="12.75">
      <c r="D169" s="98"/>
      <c r="E169" s="98"/>
      <c r="F169" s="98"/>
      <c r="G169" s="98"/>
      <c r="H169" s="98"/>
      <c r="I169" s="98"/>
      <c r="J169" s="98"/>
      <c r="K169" s="98"/>
      <c r="L169" s="98"/>
      <c r="M169" s="98"/>
      <c r="N169" s="98"/>
      <c r="O169" s="98"/>
      <c r="P169" s="98"/>
      <c r="Q169" s="98"/>
      <c r="R169" s="98"/>
      <c r="S169" s="98"/>
      <c r="T169" s="98"/>
      <c r="U169" s="98"/>
      <c r="V169" s="98"/>
    </row>
    <row r="170" spans="4:22" ht="12.75">
      <c r="D170" s="98"/>
      <c r="E170" s="98"/>
      <c r="F170" s="98"/>
      <c r="G170" s="98"/>
      <c r="H170" s="98"/>
      <c r="I170" s="98"/>
      <c r="J170" s="98"/>
      <c r="K170" s="98"/>
      <c r="L170" s="98"/>
      <c r="M170" s="98"/>
      <c r="N170" s="98"/>
      <c r="O170" s="98"/>
      <c r="P170" s="98"/>
      <c r="Q170" s="98"/>
      <c r="R170" s="98"/>
      <c r="S170" s="98"/>
      <c r="T170" s="98"/>
      <c r="U170" s="98"/>
      <c r="V170" s="98"/>
    </row>
    <row r="171" spans="4:22" ht="12.75">
      <c r="D171" s="98"/>
      <c r="E171" s="98"/>
      <c r="F171" s="98"/>
      <c r="G171" s="98"/>
      <c r="H171" s="98"/>
      <c r="I171" s="98"/>
      <c r="J171" s="98"/>
      <c r="K171" s="98"/>
      <c r="L171" s="98"/>
      <c r="M171" s="98"/>
      <c r="N171" s="98"/>
      <c r="O171" s="98"/>
      <c r="P171" s="98"/>
      <c r="Q171" s="98"/>
      <c r="R171" s="98"/>
      <c r="S171" s="98"/>
      <c r="T171" s="98"/>
      <c r="U171" s="98"/>
      <c r="V171" s="98"/>
    </row>
    <row r="172" spans="4:22" ht="12.75">
      <c r="D172" s="98"/>
      <c r="E172" s="98"/>
      <c r="F172" s="98"/>
      <c r="G172" s="98"/>
      <c r="H172" s="98"/>
      <c r="I172" s="98"/>
      <c r="J172" s="98"/>
      <c r="K172" s="98"/>
      <c r="L172" s="98"/>
      <c r="M172" s="98"/>
      <c r="N172" s="98"/>
      <c r="O172" s="98"/>
      <c r="P172" s="98"/>
      <c r="Q172" s="98"/>
      <c r="R172" s="98"/>
      <c r="S172" s="98"/>
      <c r="T172" s="98"/>
      <c r="U172" s="98"/>
      <c r="V172" s="98"/>
    </row>
    <row r="173" spans="4:22" ht="12.75">
      <c r="D173" s="98"/>
      <c r="E173" s="98"/>
      <c r="F173" s="98"/>
      <c r="G173" s="98"/>
      <c r="H173" s="98"/>
      <c r="I173" s="98"/>
      <c r="J173" s="98"/>
      <c r="K173" s="98"/>
      <c r="L173" s="98"/>
      <c r="M173" s="98"/>
      <c r="N173" s="98"/>
      <c r="O173" s="98"/>
      <c r="P173" s="98"/>
      <c r="Q173" s="98"/>
      <c r="R173" s="98"/>
      <c r="S173" s="98"/>
      <c r="T173" s="98"/>
      <c r="U173" s="98"/>
      <c r="V173" s="98"/>
    </row>
    <row r="174" spans="4:22" ht="12.75">
      <c r="D174" s="98"/>
      <c r="E174" s="98"/>
      <c r="F174" s="98"/>
      <c r="G174" s="98"/>
      <c r="H174" s="98"/>
      <c r="I174" s="98"/>
      <c r="J174" s="98"/>
      <c r="K174" s="98"/>
      <c r="L174" s="98"/>
      <c r="M174" s="98"/>
      <c r="N174" s="98"/>
      <c r="O174" s="98"/>
      <c r="P174" s="98"/>
      <c r="Q174" s="98"/>
      <c r="R174" s="98"/>
      <c r="S174" s="98"/>
      <c r="T174" s="98"/>
      <c r="U174" s="98"/>
      <c r="V174" s="98"/>
    </row>
    <row r="175" spans="4:22" ht="12.75">
      <c r="D175" s="98"/>
      <c r="E175" s="98"/>
      <c r="F175" s="98"/>
      <c r="G175" s="98"/>
      <c r="H175" s="98"/>
      <c r="I175" s="98"/>
      <c r="J175" s="98"/>
      <c r="K175" s="98"/>
      <c r="L175" s="98"/>
      <c r="M175" s="98"/>
      <c r="N175" s="98"/>
      <c r="O175" s="98"/>
      <c r="P175" s="98"/>
      <c r="Q175" s="98"/>
      <c r="R175" s="98"/>
      <c r="S175" s="98"/>
      <c r="T175" s="98"/>
      <c r="U175" s="98"/>
      <c r="V175" s="98"/>
    </row>
    <row r="176" spans="4:22" ht="12.75">
      <c r="D176" s="98"/>
      <c r="E176" s="98"/>
      <c r="F176" s="98"/>
      <c r="G176" s="98"/>
      <c r="H176" s="98"/>
      <c r="I176" s="98"/>
      <c r="J176" s="98"/>
      <c r="K176" s="98"/>
      <c r="L176" s="98"/>
      <c r="M176" s="98"/>
      <c r="N176" s="98"/>
      <c r="O176" s="98"/>
      <c r="P176" s="98"/>
      <c r="Q176" s="98"/>
      <c r="R176" s="98"/>
      <c r="S176" s="98"/>
      <c r="T176" s="98"/>
      <c r="U176" s="98"/>
      <c r="V176" s="98"/>
    </row>
    <row r="177" spans="4:22" ht="12.75">
      <c r="D177" s="98"/>
      <c r="E177" s="98"/>
      <c r="F177" s="98"/>
      <c r="G177" s="98"/>
      <c r="H177" s="98"/>
      <c r="I177" s="98"/>
      <c r="J177" s="98"/>
      <c r="K177" s="98"/>
      <c r="L177" s="98"/>
      <c r="M177" s="98"/>
      <c r="N177" s="98"/>
      <c r="O177" s="98"/>
      <c r="P177" s="98"/>
      <c r="Q177" s="98"/>
      <c r="R177" s="98"/>
      <c r="S177" s="98"/>
      <c r="T177" s="98"/>
      <c r="U177" s="98"/>
      <c r="V177" s="98"/>
    </row>
    <row r="178" spans="4:22" ht="12.75">
      <c r="D178" s="98"/>
      <c r="E178" s="98"/>
      <c r="F178" s="98"/>
      <c r="G178" s="98"/>
      <c r="H178" s="98"/>
      <c r="I178" s="98"/>
      <c r="J178" s="98"/>
      <c r="K178" s="98"/>
      <c r="L178" s="98"/>
      <c r="M178" s="98"/>
      <c r="N178" s="98"/>
      <c r="O178" s="98"/>
      <c r="P178" s="98"/>
      <c r="Q178" s="98"/>
      <c r="R178" s="98"/>
      <c r="S178" s="98"/>
      <c r="T178" s="98"/>
      <c r="U178" s="98"/>
      <c r="V178" s="98"/>
    </row>
    <row r="179" spans="4:22" ht="12.75">
      <c r="D179" s="98"/>
      <c r="E179" s="98"/>
      <c r="F179" s="98"/>
      <c r="G179" s="98"/>
      <c r="H179" s="98"/>
      <c r="I179" s="98"/>
      <c r="J179" s="98"/>
      <c r="K179" s="98"/>
      <c r="L179" s="98"/>
      <c r="M179" s="98"/>
      <c r="N179" s="98"/>
      <c r="O179" s="98"/>
      <c r="P179" s="98"/>
      <c r="Q179" s="98"/>
      <c r="R179" s="98"/>
      <c r="S179" s="98"/>
      <c r="T179" s="98"/>
      <c r="U179" s="98"/>
      <c r="V179" s="98"/>
    </row>
    <row r="180" spans="4:22" ht="12.75">
      <c r="D180" s="98"/>
      <c r="E180" s="98"/>
      <c r="F180" s="98"/>
      <c r="G180" s="98"/>
      <c r="H180" s="98"/>
      <c r="I180" s="98"/>
      <c r="J180" s="98"/>
      <c r="K180" s="98"/>
      <c r="L180" s="98"/>
      <c r="M180" s="98"/>
      <c r="N180" s="98"/>
      <c r="O180" s="98"/>
      <c r="P180" s="98"/>
      <c r="Q180" s="98"/>
      <c r="R180" s="98"/>
      <c r="S180" s="98"/>
      <c r="T180" s="98"/>
      <c r="U180" s="98"/>
      <c r="V180" s="98"/>
    </row>
    <row r="181" spans="4:22" ht="12.75">
      <c r="D181" s="98"/>
      <c r="E181" s="98"/>
      <c r="F181" s="98"/>
      <c r="G181" s="98"/>
      <c r="H181" s="98"/>
      <c r="I181" s="98"/>
      <c r="J181" s="98"/>
      <c r="K181" s="98"/>
      <c r="L181" s="98"/>
      <c r="M181" s="98"/>
      <c r="N181" s="98"/>
      <c r="O181" s="98"/>
      <c r="P181" s="98"/>
      <c r="Q181" s="98"/>
      <c r="R181" s="98"/>
      <c r="S181" s="98"/>
      <c r="T181" s="98"/>
      <c r="U181" s="98"/>
      <c r="V181" s="98"/>
    </row>
    <row r="182" spans="4:22" ht="12.75">
      <c r="D182" s="98"/>
      <c r="E182" s="98"/>
      <c r="F182" s="98"/>
      <c r="G182" s="98"/>
      <c r="H182" s="98"/>
      <c r="I182" s="98"/>
      <c r="J182" s="98"/>
      <c r="K182" s="98"/>
      <c r="L182" s="98"/>
      <c r="M182" s="98"/>
      <c r="N182" s="98"/>
      <c r="O182" s="98"/>
      <c r="P182" s="98"/>
      <c r="Q182" s="98"/>
      <c r="R182" s="98"/>
      <c r="S182" s="98"/>
      <c r="T182" s="98"/>
      <c r="U182" s="98"/>
      <c r="V182" s="98"/>
    </row>
    <row r="183" spans="4:22" ht="12.75">
      <c r="D183" s="98"/>
      <c r="E183" s="98"/>
      <c r="F183" s="98"/>
      <c r="G183" s="98"/>
      <c r="H183" s="98"/>
      <c r="I183" s="98"/>
      <c r="J183" s="98"/>
      <c r="K183" s="98"/>
      <c r="L183" s="98"/>
      <c r="M183" s="98"/>
      <c r="N183" s="98"/>
      <c r="O183" s="98"/>
      <c r="P183" s="98"/>
      <c r="Q183" s="98"/>
      <c r="R183" s="98"/>
      <c r="S183" s="98"/>
      <c r="T183" s="98"/>
      <c r="U183" s="98"/>
      <c r="V183" s="98"/>
    </row>
    <row r="184" spans="4:22" ht="12.75">
      <c r="D184" s="98"/>
      <c r="E184" s="98"/>
      <c r="F184" s="98"/>
      <c r="G184" s="98"/>
      <c r="H184" s="98"/>
      <c r="I184" s="98"/>
      <c r="J184" s="98"/>
      <c r="K184" s="98"/>
      <c r="L184" s="98"/>
      <c r="M184" s="98"/>
      <c r="N184" s="98"/>
      <c r="O184" s="98"/>
      <c r="P184" s="98"/>
      <c r="Q184" s="98"/>
      <c r="R184" s="98"/>
      <c r="S184" s="98"/>
      <c r="T184" s="98"/>
      <c r="U184" s="98"/>
      <c r="V184" s="98"/>
    </row>
    <row r="185" spans="4:22" ht="12.75">
      <c r="D185" s="98"/>
      <c r="E185" s="98"/>
      <c r="F185" s="98"/>
      <c r="G185" s="98"/>
      <c r="H185" s="98"/>
      <c r="I185" s="98"/>
      <c r="J185" s="98"/>
      <c r="K185" s="98"/>
      <c r="L185" s="98"/>
      <c r="M185" s="98"/>
      <c r="N185" s="98"/>
      <c r="O185" s="98"/>
      <c r="P185" s="98"/>
      <c r="Q185" s="98"/>
      <c r="R185" s="98"/>
      <c r="S185" s="98"/>
      <c r="T185" s="98"/>
      <c r="U185" s="98"/>
      <c r="V185" s="98"/>
    </row>
    <row r="186" spans="4:22" ht="12.75">
      <c r="D186" s="98"/>
      <c r="E186" s="98"/>
      <c r="F186" s="98"/>
      <c r="G186" s="98"/>
      <c r="H186" s="98"/>
      <c r="I186" s="98"/>
      <c r="J186" s="98"/>
      <c r="K186" s="98"/>
      <c r="L186" s="98"/>
      <c r="M186" s="98"/>
      <c r="N186" s="98"/>
      <c r="O186" s="98"/>
      <c r="P186" s="98"/>
      <c r="Q186" s="98"/>
      <c r="R186" s="98"/>
      <c r="S186" s="98"/>
      <c r="T186" s="98"/>
      <c r="U186" s="98"/>
      <c r="V186" s="98"/>
    </row>
    <row r="187" spans="4:22" ht="12.75">
      <c r="D187" s="98"/>
      <c r="E187" s="98"/>
      <c r="F187" s="98"/>
      <c r="G187" s="98"/>
      <c r="H187" s="98"/>
      <c r="I187" s="98"/>
      <c r="J187" s="98"/>
      <c r="K187" s="98"/>
      <c r="L187" s="98"/>
      <c r="M187" s="98"/>
      <c r="N187" s="98"/>
      <c r="O187" s="98"/>
      <c r="P187" s="98"/>
      <c r="Q187" s="98"/>
      <c r="R187" s="98"/>
      <c r="S187" s="98"/>
      <c r="T187" s="98"/>
      <c r="U187" s="98"/>
      <c r="V187" s="98"/>
    </row>
    <row r="188" spans="4:22" ht="12.75">
      <c r="D188" s="98"/>
      <c r="E188" s="98"/>
      <c r="F188" s="98"/>
      <c r="G188" s="98"/>
      <c r="H188" s="98"/>
      <c r="I188" s="98"/>
      <c r="J188" s="98"/>
      <c r="K188" s="98"/>
      <c r="L188" s="98"/>
      <c r="M188" s="98"/>
      <c r="N188" s="98"/>
      <c r="O188" s="98"/>
      <c r="P188" s="98"/>
      <c r="Q188" s="98"/>
      <c r="R188" s="98"/>
      <c r="S188" s="98"/>
      <c r="T188" s="98"/>
      <c r="U188" s="98"/>
      <c r="V188" s="98"/>
    </row>
    <row r="189" spans="4:22" ht="12.75">
      <c r="D189" s="98"/>
      <c r="E189" s="98"/>
      <c r="F189" s="98"/>
      <c r="G189" s="98"/>
      <c r="H189" s="98"/>
      <c r="I189" s="98"/>
      <c r="J189" s="98"/>
      <c r="K189" s="98"/>
      <c r="L189" s="98"/>
      <c r="M189" s="98"/>
      <c r="N189" s="98"/>
      <c r="O189" s="98"/>
      <c r="P189" s="98"/>
      <c r="Q189" s="98"/>
      <c r="R189" s="98"/>
      <c r="S189" s="98"/>
      <c r="T189" s="98"/>
      <c r="U189" s="98"/>
      <c r="V189" s="98"/>
    </row>
    <row r="190" spans="4:22" ht="12.75">
      <c r="D190" s="98"/>
      <c r="E190" s="98"/>
      <c r="F190" s="98"/>
      <c r="G190" s="98"/>
      <c r="H190" s="98"/>
      <c r="I190" s="98"/>
      <c r="J190" s="98"/>
      <c r="K190" s="98"/>
      <c r="L190" s="98"/>
      <c r="M190" s="98"/>
      <c r="N190" s="98"/>
      <c r="O190" s="98"/>
      <c r="P190" s="98"/>
      <c r="Q190" s="98"/>
      <c r="R190" s="98"/>
      <c r="S190" s="98"/>
      <c r="T190" s="98"/>
      <c r="U190" s="98"/>
      <c r="V190" s="98"/>
    </row>
    <row r="191" spans="4:22" ht="12.75">
      <c r="D191" s="98"/>
      <c r="E191" s="98"/>
      <c r="F191" s="98"/>
      <c r="G191" s="98"/>
      <c r="H191" s="98"/>
      <c r="I191" s="98"/>
      <c r="J191" s="98"/>
      <c r="K191" s="98"/>
      <c r="L191" s="98"/>
      <c r="M191" s="98"/>
      <c r="N191" s="98"/>
      <c r="O191" s="98"/>
      <c r="P191" s="98"/>
      <c r="Q191" s="98"/>
      <c r="R191" s="98"/>
      <c r="S191" s="98"/>
      <c r="T191" s="98"/>
      <c r="U191" s="98"/>
      <c r="V191" s="98"/>
    </row>
    <row r="192" spans="4:22" ht="12.75">
      <c r="D192" s="98"/>
      <c r="E192" s="98"/>
      <c r="F192" s="98"/>
      <c r="G192" s="98"/>
      <c r="H192" s="98"/>
      <c r="I192" s="98"/>
      <c r="J192" s="98"/>
      <c r="K192" s="98"/>
      <c r="L192" s="98"/>
      <c r="M192" s="98"/>
      <c r="N192" s="98"/>
      <c r="O192" s="98"/>
      <c r="P192" s="98"/>
      <c r="Q192" s="98"/>
      <c r="R192" s="98"/>
      <c r="S192" s="98"/>
      <c r="T192" s="98"/>
      <c r="U192" s="98"/>
      <c r="V192" s="98"/>
    </row>
    <row r="193" spans="4:22" ht="12.75">
      <c r="D193" s="98"/>
      <c r="E193" s="98"/>
      <c r="F193" s="98"/>
      <c r="G193" s="98"/>
      <c r="H193" s="98"/>
      <c r="I193" s="98"/>
      <c r="J193" s="98"/>
      <c r="K193" s="98"/>
      <c r="L193" s="98"/>
      <c r="M193" s="98"/>
      <c r="N193" s="98"/>
      <c r="O193" s="98"/>
      <c r="P193" s="98"/>
      <c r="Q193" s="98"/>
      <c r="R193" s="98"/>
      <c r="S193" s="98"/>
      <c r="T193" s="98"/>
      <c r="U193" s="98"/>
      <c r="V193" s="98"/>
    </row>
    <row r="194" spans="4:22" ht="12.75">
      <c r="D194" s="98"/>
      <c r="E194" s="98"/>
      <c r="F194" s="98"/>
      <c r="G194" s="98"/>
      <c r="H194" s="98"/>
      <c r="I194" s="98"/>
      <c r="J194" s="98"/>
      <c r="K194" s="98"/>
      <c r="L194" s="98"/>
      <c r="M194" s="98"/>
      <c r="N194" s="98"/>
      <c r="O194" s="98"/>
      <c r="P194" s="98"/>
      <c r="Q194" s="98"/>
      <c r="R194" s="98"/>
      <c r="S194" s="98"/>
      <c r="T194" s="98"/>
      <c r="U194" s="98"/>
      <c r="V194" s="98"/>
    </row>
    <row r="195" spans="4:22" ht="12.75">
      <c r="D195" s="98"/>
      <c r="E195" s="98"/>
      <c r="F195" s="98"/>
      <c r="G195" s="98"/>
      <c r="H195" s="98"/>
      <c r="I195" s="98"/>
      <c r="J195" s="98"/>
      <c r="K195" s="98"/>
      <c r="L195" s="98"/>
      <c r="M195" s="98"/>
      <c r="N195" s="98"/>
      <c r="O195" s="98"/>
      <c r="P195" s="98"/>
      <c r="Q195" s="98"/>
      <c r="R195" s="98"/>
      <c r="S195" s="98"/>
      <c r="T195" s="98"/>
      <c r="U195" s="98"/>
      <c r="V195" s="98"/>
    </row>
    <row r="196" spans="4:22" ht="12.75">
      <c r="D196" s="98"/>
      <c r="E196" s="98"/>
      <c r="F196" s="98"/>
      <c r="G196" s="98"/>
      <c r="H196" s="98"/>
      <c r="I196" s="98"/>
      <c r="J196" s="98"/>
      <c r="K196" s="98"/>
      <c r="L196" s="98"/>
      <c r="M196" s="98"/>
      <c r="N196" s="98"/>
      <c r="O196" s="98"/>
      <c r="P196" s="98"/>
      <c r="Q196" s="98"/>
      <c r="R196" s="98"/>
      <c r="S196" s="98"/>
      <c r="T196" s="98"/>
      <c r="U196" s="98"/>
      <c r="V196" s="98"/>
    </row>
    <row r="197" spans="4:22" ht="12.75">
      <c r="D197" s="98"/>
      <c r="E197" s="98"/>
      <c r="F197" s="98"/>
      <c r="G197" s="98"/>
      <c r="H197" s="98"/>
      <c r="I197" s="98"/>
      <c r="J197" s="98"/>
      <c r="K197" s="98"/>
      <c r="L197" s="98"/>
      <c r="M197" s="98"/>
      <c r="N197" s="98"/>
      <c r="O197" s="98"/>
      <c r="P197" s="98"/>
      <c r="Q197" s="98"/>
      <c r="R197" s="98"/>
      <c r="S197" s="98"/>
      <c r="T197" s="98"/>
      <c r="U197" s="98"/>
      <c r="V197" s="98"/>
    </row>
    <row r="198" spans="4:22" ht="12.75">
      <c r="D198" s="98"/>
      <c r="E198" s="98"/>
      <c r="F198" s="98"/>
      <c r="G198" s="98"/>
      <c r="H198" s="98"/>
      <c r="I198" s="98"/>
      <c r="J198" s="98"/>
      <c r="K198" s="98"/>
      <c r="L198" s="98"/>
      <c r="M198" s="98"/>
      <c r="N198" s="98"/>
      <c r="O198" s="98"/>
      <c r="P198" s="98"/>
      <c r="Q198" s="98"/>
      <c r="R198" s="98"/>
      <c r="S198" s="98"/>
      <c r="T198" s="98"/>
      <c r="U198" s="98"/>
      <c r="V198" s="98"/>
    </row>
    <row r="199" spans="4:22" ht="12.75">
      <c r="D199" s="98"/>
      <c r="E199" s="98"/>
      <c r="F199" s="98"/>
      <c r="G199" s="98"/>
      <c r="H199" s="98"/>
      <c r="I199" s="98"/>
      <c r="J199" s="98"/>
      <c r="K199" s="98"/>
      <c r="L199" s="98"/>
      <c r="M199" s="98"/>
      <c r="N199" s="98"/>
      <c r="O199" s="98"/>
      <c r="P199" s="98"/>
      <c r="Q199" s="98"/>
      <c r="R199" s="98"/>
      <c r="S199" s="98"/>
      <c r="T199" s="98"/>
      <c r="U199" s="98"/>
      <c r="V199" s="98"/>
    </row>
    <row r="200" spans="4:22" ht="12.75">
      <c r="D200" s="98"/>
      <c r="E200" s="98"/>
      <c r="F200" s="98"/>
      <c r="G200" s="98"/>
      <c r="H200" s="98"/>
      <c r="I200" s="98"/>
      <c r="J200" s="98"/>
      <c r="K200" s="98"/>
      <c r="L200" s="98"/>
      <c r="M200" s="98"/>
      <c r="N200" s="98"/>
      <c r="O200" s="98"/>
      <c r="P200" s="98"/>
      <c r="Q200" s="98"/>
      <c r="R200" s="98"/>
      <c r="S200" s="98"/>
      <c r="T200" s="98"/>
      <c r="U200" s="98"/>
      <c r="V200" s="98"/>
    </row>
    <row r="201" spans="4:22" ht="12.75">
      <c r="D201" s="98"/>
      <c r="E201" s="98"/>
      <c r="F201" s="98"/>
      <c r="G201" s="98"/>
      <c r="H201" s="98"/>
      <c r="I201" s="98"/>
      <c r="J201" s="98"/>
      <c r="K201" s="98"/>
      <c r="L201" s="98"/>
      <c r="M201" s="98"/>
      <c r="N201" s="98"/>
      <c r="O201" s="98"/>
      <c r="P201" s="98"/>
      <c r="Q201" s="98"/>
      <c r="R201" s="98"/>
      <c r="S201" s="98"/>
      <c r="T201" s="98"/>
      <c r="U201" s="98"/>
      <c r="V201" s="98"/>
    </row>
    <row r="202" spans="4:22" ht="12.75">
      <c r="D202" s="98"/>
      <c r="E202" s="98"/>
      <c r="F202" s="98"/>
      <c r="G202" s="98"/>
      <c r="H202" s="98"/>
      <c r="I202" s="98"/>
      <c r="J202" s="98"/>
      <c r="K202" s="98"/>
      <c r="L202" s="98"/>
      <c r="M202" s="98"/>
      <c r="N202" s="98"/>
      <c r="O202" s="98"/>
      <c r="P202" s="98"/>
      <c r="Q202" s="98"/>
      <c r="R202" s="98"/>
      <c r="S202" s="98"/>
      <c r="T202" s="98"/>
      <c r="U202" s="98"/>
      <c r="V202" s="98"/>
    </row>
    <row r="203" spans="4:22" ht="12.75">
      <c r="D203" s="98"/>
      <c r="E203" s="98"/>
      <c r="F203" s="98"/>
      <c r="G203" s="98"/>
      <c r="H203" s="98"/>
      <c r="I203" s="98"/>
      <c r="J203" s="98"/>
      <c r="K203" s="98"/>
      <c r="L203" s="98"/>
      <c r="M203" s="98"/>
      <c r="N203" s="98"/>
      <c r="O203" s="98"/>
      <c r="P203" s="98"/>
      <c r="Q203" s="98"/>
      <c r="R203" s="98"/>
      <c r="S203" s="98"/>
      <c r="T203" s="98"/>
      <c r="U203" s="98"/>
      <c r="V203" s="98"/>
    </row>
    <row r="204" spans="4:22" ht="12.75">
      <c r="D204" s="98"/>
      <c r="E204" s="98"/>
      <c r="F204" s="98"/>
      <c r="G204" s="98"/>
      <c r="H204" s="98"/>
      <c r="I204" s="98"/>
      <c r="J204" s="98"/>
      <c r="K204" s="98"/>
      <c r="L204" s="98"/>
      <c r="M204" s="98"/>
      <c r="N204" s="98"/>
      <c r="O204" s="98"/>
      <c r="P204" s="98"/>
      <c r="Q204" s="98"/>
      <c r="R204" s="98"/>
      <c r="S204" s="98"/>
      <c r="T204" s="98"/>
      <c r="U204" s="98"/>
      <c r="V204" s="98"/>
    </row>
    <row r="205" spans="4:22" ht="12.75">
      <c r="D205" s="98"/>
      <c r="E205" s="98"/>
      <c r="F205" s="98"/>
      <c r="G205" s="98"/>
      <c r="H205" s="98"/>
      <c r="I205" s="98"/>
      <c r="J205" s="98"/>
      <c r="K205" s="98"/>
      <c r="L205" s="98"/>
      <c r="M205" s="98"/>
      <c r="N205" s="98"/>
      <c r="O205" s="98"/>
      <c r="P205" s="98"/>
      <c r="Q205" s="98"/>
      <c r="R205" s="98"/>
      <c r="S205" s="98"/>
      <c r="T205" s="98"/>
      <c r="U205" s="98"/>
      <c r="V205" s="98"/>
    </row>
    <row r="206" spans="4:22" ht="12.75">
      <c r="D206" s="98"/>
      <c r="E206" s="98"/>
      <c r="F206" s="98"/>
      <c r="G206" s="98"/>
      <c r="H206" s="98"/>
      <c r="I206" s="98"/>
      <c r="J206" s="98"/>
      <c r="K206" s="98"/>
      <c r="L206" s="98"/>
      <c r="M206" s="98"/>
      <c r="N206" s="98"/>
      <c r="O206" s="98"/>
      <c r="P206" s="98"/>
      <c r="Q206" s="98"/>
      <c r="R206" s="98"/>
      <c r="S206" s="98"/>
      <c r="T206" s="98"/>
      <c r="U206" s="98"/>
      <c r="V206" s="98"/>
    </row>
    <row r="207" spans="4:22" ht="12.75">
      <c r="D207" s="98"/>
      <c r="E207" s="98"/>
      <c r="F207" s="98"/>
      <c r="G207" s="98"/>
      <c r="H207" s="98"/>
      <c r="I207" s="98"/>
      <c r="J207" s="98"/>
      <c r="K207" s="98"/>
      <c r="L207" s="98"/>
      <c r="M207" s="98"/>
      <c r="N207" s="98"/>
      <c r="O207" s="98"/>
      <c r="P207" s="98"/>
      <c r="Q207" s="98"/>
      <c r="R207" s="98"/>
      <c r="S207" s="98"/>
      <c r="T207" s="98"/>
      <c r="U207" s="98"/>
      <c r="V207" s="98"/>
    </row>
    <row r="208" spans="4:22" ht="12.75">
      <c r="D208" s="98"/>
      <c r="E208" s="98"/>
      <c r="F208" s="98"/>
      <c r="G208" s="98"/>
      <c r="H208" s="98"/>
      <c r="I208" s="98"/>
      <c r="J208" s="98"/>
      <c r="K208" s="98"/>
      <c r="L208" s="98"/>
      <c r="M208" s="98"/>
      <c r="N208" s="98"/>
      <c r="O208" s="98"/>
      <c r="P208" s="98"/>
      <c r="Q208" s="98"/>
      <c r="R208" s="98"/>
      <c r="S208" s="98"/>
      <c r="T208" s="98"/>
      <c r="U208" s="98"/>
      <c r="V208" s="98"/>
    </row>
    <row r="209" spans="4:22" ht="12.75">
      <c r="D209" s="98"/>
      <c r="E209" s="98"/>
      <c r="F209" s="98"/>
      <c r="G209" s="98"/>
      <c r="H209" s="98"/>
      <c r="I209" s="98"/>
      <c r="J209" s="98"/>
      <c r="K209" s="98"/>
      <c r="L209" s="98"/>
      <c r="M209" s="98"/>
      <c r="N209" s="98"/>
      <c r="O209" s="98"/>
      <c r="P209" s="98"/>
      <c r="Q209" s="98"/>
      <c r="R209" s="98"/>
      <c r="S209" s="98"/>
      <c r="T209" s="98"/>
      <c r="U209" s="98"/>
      <c r="V209" s="98"/>
    </row>
    <row r="210" spans="4:22" ht="12.75">
      <c r="D210" s="98"/>
      <c r="E210" s="98"/>
      <c r="F210" s="98"/>
      <c r="G210" s="98"/>
      <c r="H210" s="98"/>
      <c r="I210" s="98"/>
      <c r="J210" s="98"/>
      <c r="K210" s="98"/>
      <c r="L210" s="98"/>
      <c r="M210" s="98"/>
      <c r="N210" s="98"/>
      <c r="O210" s="98"/>
      <c r="P210" s="98"/>
      <c r="Q210" s="98"/>
      <c r="R210" s="98"/>
      <c r="S210" s="98"/>
      <c r="T210" s="98"/>
      <c r="U210" s="98"/>
      <c r="V210" s="98"/>
    </row>
    <row r="211" spans="4:22" ht="12.75">
      <c r="D211" s="98"/>
      <c r="E211" s="98"/>
      <c r="F211" s="98"/>
      <c r="G211" s="98"/>
      <c r="H211" s="98"/>
      <c r="I211" s="98"/>
      <c r="J211" s="98"/>
      <c r="K211" s="98"/>
      <c r="L211" s="98"/>
      <c r="M211" s="98"/>
      <c r="N211" s="98"/>
      <c r="O211" s="98"/>
      <c r="P211" s="98"/>
      <c r="Q211" s="98"/>
      <c r="R211" s="98"/>
      <c r="S211" s="98"/>
      <c r="T211" s="98"/>
      <c r="U211" s="98"/>
      <c r="V211" s="98"/>
    </row>
    <row r="212" spans="4:22" ht="12.75">
      <c r="D212" s="98"/>
      <c r="E212" s="98"/>
      <c r="F212" s="98"/>
      <c r="G212" s="98"/>
      <c r="H212" s="98"/>
      <c r="I212" s="98"/>
      <c r="J212" s="98"/>
      <c r="K212" s="98"/>
      <c r="L212" s="98"/>
      <c r="M212" s="98"/>
      <c r="N212" s="98"/>
      <c r="O212" s="98"/>
      <c r="P212" s="98"/>
      <c r="Q212" s="98"/>
      <c r="R212" s="98"/>
      <c r="S212" s="98"/>
      <c r="T212" s="98"/>
      <c r="U212" s="98"/>
      <c r="V212" s="98"/>
    </row>
    <row r="213" spans="4:22" ht="12.75">
      <c r="D213" s="98"/>
      <c r="E213" s="98"/>
      <c r="F213" s="98"/>
      <c r="G213" s="98"/>
      <c r="H213" s="98"/>
      <c r="I213" s="98"/>
      <c r="J213" s="98"/>
      <c r="K213" s="98"/>
      <c r="L213" s="98"/>
      <c r="M213" s="98"/>
      <c r="N213" s="98"/>
      <c r="O213" s="98"/>
      <c r="P213" s="98"/>
      <c r="Q213" s="98"/>
      <c r="R213" s="98"/>
      <c r="S213" s="98"/>
      <c r="T213" s="98"/>
      <c r="U213" s="98"/>
      <c r="V213" s="98"/>
    </row>
    <row r="214" spans="4:22" ht="12.75">
      <c r="D214" s="98"/>
      <c r="E214" s="98"/>
      <c r="F214" s="98"/>
      <c r="G214" s="98"/>
      <c r="H214" s="98"/>
      <c r="I214" s="98"/>
      <c r="J214" s="98"/>
      <c r="K214" s="98"/>
      <c r="L214" s="98"/>
      <c r="M214" s="98"/>
      <c r="N214" s="98"/>
      <c r="O214" s="98"/>
      <c r="P214" s="98"/>
      <c r="Q214" s="98"/>
      <c r="R214" s="98"/>
      <c r="S214" s="98"/>
      <c r="T214" s="98"/>
      <c r="U214" s="98"/>
      <c r="V214" s="98"/>
    </row>
    <row r="215" spans="4:22" ht="12.75">
      <c r="D215" s="98"/>
      <c r="E215" s="98"/>
      <c r="F215" s="98"/>
      <c r="G215" s="98"/>
      <c r="H215" s="98"/>
      <c r="I215" s="98"/>
      <c r="J215" s="98"/>
      <c r="K215" s="98"/>
      <c r="L215" s="98"/>
      <c r="M215" s="98"/>
      <c r="N215" s="98"/>
      <c r="O215" s="98"/>
      <c r="P215" s="98"/>
      <c r="Q215" s="98"/>
      <c r="R215" s="98"/>
      <c r="S215" s="98"/>
      <c r="T215" s="98"/>
      <c r="U215" s="98"/>
      <c r="V215" s="98"/>
    </row>
    <row r="216" spans="4:22" ht="12.75">
      <c r="D216" s="98"/>
      <c r="E216" s="98"/>
      <c r="F216" s="98"/>
      <c r="G216" s="98"/>
      <c r="H216" s="98"/>
      <c r="I216" s="98"/>
      <c r="J216" s="98"/>
      <c r="K216" s="98"/>
      <c r="L216" s="98"/>
      <c r="M216" s="98"/>
      <c r="N216" s="98"/>
      <c r="O216" s="98"/>
      <c r="P216" s="98"/>
      <c r="Q216" s="98"/>
      <c r="R216" s="98"/>
      <c r="S216" s="98"/>
      <c r="T216" s="98"/>
      <c r="U216" s="98"/>
      <c r="V216" s="98"/>
    </row>
    <row r="217" spans="4:22" ht="12.75">
      <c r="D217" s="98"/>
      <c r="E217" s="98"/>
      <c r="F217" s="98"/>
      <c r="G217" s="98"/>
      <c r="H217" s="98"/>
      <c r="I217" s="98"/>
      <c r="J217" s="98"/>
      <c r="K217" s="98"/>
      <c r="L217" s="98"/>
      <c r="M217" s="98"/>
      <c r="N217" s="98"/>
      <c r="O217" s="98"/>
      <c r="P217" s="98"/>
      <c r="Q217" s="98"/>
      <c r="R217" s="98"/>
      <c r="S217" s="98"/>
      <c r="T217" s="98"/>
      <c r="U217" s="98"/>
      <c r="V217" s="98"/>
    </row>
    <row r="218" spans="4:22" ht="12.75">
      <c r="D218" s="98"/>
      <c r="E218" s="98"/>
      <c r="F218" s="98"/>
      <c r="G218" s="98"/>
      <c r="H218" s="98"/>
      <c r="I218" s="98"/>
      <c r="J218" s="98"/>
      <c r="K218" s="98"/>
      <c r="L218" s="98"/>
      <c r="M218" s="98"/>
      <c r="N218" s="98"/>
      <c r="O218" s="98"/>
      <c r="P218" s="98"/>
      <c r="Q218" s="98"/>
      <c r="R218" s="98"/>
      <c r="S218" s="98"/>
      <c r="T218" s="98"/>
      <c r="U218" s="98"/>
      <c r="V218" s="98"/>
    </row>
    <row r="219" spans="4:22" ht="12.75">
      <c r="D219" s="98"/>
      <c r="E219" s="98"/>
      <c r="F219" s="98"/>
      <c r="G219" s="98"/>
      <c r="H219" s="98"/>
      <c r="I219" s="98"/>
      <c r="J219" s="98"/>
      <c r="K219" s="98"/>
      <c r="L219" s="98"/>
      <c r="M219" s="98"/>
      <c r="N219" s="98"/>
      <c r="O219" s="98"/>
      <c r="P219" s="98"/>
      <c r="Q219" s="98"/>
      <c r="R219" s="98"/>
      <c r="S219" s="98"/>
      <c r="T219" s="98"/>
      <c r="U219" s="98"/>
      <c r="V219" s="98"/>
    </row>
    <row r="220" spans="4:22" ht="12.75">
      <c r="D220" s="98"/>
      <c r="E220" s="98"/>
      <c r="F220" s="98"/>
      <c r="G220" s="98"/>
      <c r="H220" s="98"/>
      <c r="I220" s="98"/>
      <c r="J220" s="98"/>
      <c r="K220" s="98"/>
      <c r="L220" s="98"/>
      <c r="M220" s="98"/>
      <c r="N220" s="98"/>
      <c r="O220" s="98"/>
      <c r="P220" s="98"/>
      <c r="Q220" s="98"/>
      <c r="R220" s="98"/>
      <c r="S220" s="98"/>
      <c r="T220" s="98"/>
      <c r="U220" s="98"/>
      <c r="V220" s="98"/>
    </row>
    <row r="221" spans="4:22" ht="12.75">
      <c r="D221" s="98"/>
      <c r="E221" s="98"/>
      <c r="F221" s="98"/>
      <c r="G221" s="98"/>
      <c r="H221" s="98"/>
      <c r="I221" s="98"/>
      <c r="J221" s="98"/>
      <c r="K221" s="98"/>
      <c r="L221" s="98"/>
      <c r="M221" s="98"/>
      <c r="N221" s="98"/>
      <c r="O221" s="98"/>
      <c r="P221" s="98"/>
      <c r="Q221" s="98"/>
      <c r="R221" s="98"/>
      <c r="S221" s="98"/>
      <c r="T221" s="98"/>
      <c r="U221" s="98"/>
      <c r="V221" s="98"/>
    </row>
    <row r="222" spans="4:22" ht="12.75">
      <c r="D222" s="98"/>
      <c r="E222" s="98"/>
      <c r="F222" s="98"/>
      <c r="G222" s="98"/>
      <c r="H222" s="98"/>
      <c r="I222" s="98"/>
      <c r="J222" s="98"/>
      <c r="K222" s="98"/>
      <c r="L222" s="98"/>
      <c r="M222" s="98"/>
      <c r="N222" s="98"/>
      <c r="O222" s="98"/>
      <c r="P222" s="98"/>
      <c r="Q222" s="98"/>
      <c r="R222" s="98"/>
      <c r="S222" s="98"/>
      <c r="T222" s="98"/>
      <c r="U222" s="98"/>
      <c r="V222" s="98"/>
    </row>
    <row r="223" spans="4:22" ht="12.75">
      <c r="D223" s="98"/>
      <c r="E223" s="98"/>
      <c r="F223" s="98"/>
      <c r="G223" s="98"/>
      <c r="H223" s="98"/>
      <c r="I223" s="98"/>
      <c r="J223" s="98"/>
      <c r="K223" s="98"/>
      <c r="L223" s="98"/>
      <c r="M223" s="98"/>
      <c r="N223" s="98"/>
      <c r="O223" s="98"/>
      <c r="P223" s="98"/>
      <c r="Q223" s="98"/>
      <c r="R223" s="98"/>
      <c r="S223" s="98"/>
      <c r="T223" s="98"/>
      <c r="U223" s="98"/>
      <c r="V223" s="98"/>
    </row>
    <row r="224" spans="4:22" ht="12.75">
      <c r="D224" s="98"/>
      <c r="E224" s="98"/>
      <c r="F224" s="98"/>
      <c r="G224" s="98"/>
      <c r="H224" s="98"/>
      <c r="I224" s="98"/>
      <c r="J224" s="98"/>
      <c r="K224" s="98"/>
      <c r="L224" s="98"/>
      <c r="M224" s="98"/>
      <c r="N224" s="98"/>
      <c r="O224" s="98"/>
      <c r="P224" s="98"/>
      <c r="Q224" s="98"/>
      <c r="R224" s="98"/>
      <c r="S224" s="98"/>
      <c r="T224" s="98"/>
      <c r="U224" s="98"/>
      <c r="V224" s="98"/>
    </row>
    <row r="225" spans="4:22" ht="12.75">
      <c r="D225" s="98"/>
      <c r="E225" s="98"/>
      <c r="F225" s="98"/>
      <c r="G225" s="98"/>
      <c r="H225" s="98"/>
      <c r="I225" s="98"/>
      <c r="J225" s="98"/>
      <c r="K225" s="98"/>
      <c r="L225" s="98"/>
      <c r="M225" s="98"/>
      <c r="N225" s="98"/>
      <c r="O225" s="98"/>
      <c r="P225" s="98"/>
      <c r="Q225" s="98"/>
      <c r="R225" s="98"/>
      <c r="S225" s="98"/>
      <c r="T225" s="98"/>
      <c r="U225" s="98"/>
      <c r="V225" s="98"/>
    </row>
    <row r="226" spans="4:22" ht="12.75">
      <c r="D226" s="98"/>
      <c r="E226" s="98"/>
      <c r="F226" s="98"/>
      <c r="G226" s="98"/>
      <c r="H226" s="98"/>
      <c r="I226" s="98"/>
      <c r="J226" s="98"/>
      <c r="K226" s="98"/>
      <c r="L226" s="98"/>
      <c r="M226" s="98"/>
      <c r="N226" s="98"/>
      <c r="O226" s="98"/>
      <c r="P226" s="98"/>
      <c r="Q226" s="98"/>
      <c r="R226" s="98"/>
      <c r="S226" s="98"/>
      <c r="T226" s="98"/>
      <c r="U226" s="98"/>
      <c r="V226" s="98"/>
    </row>
    <row r="227" spans="4:22" ht="12.75">
      <c r="D227" s="98"/>
      <c r="E227" s="98"/>
      <c r="F227" s="98"/>
      <c r="G227" s="98"/>
      <c r="H227" s="98"/>
      <c r="I227" s="98"/>
      <c r="J227" s="98"/>
      <c r="K227" s="98"/>
      <c r="L227" s="98"/>
      <c r="M227" s="98"/>
      <c r="N227" s="98"/>
      <c r="O227" s="98"/>
      <c r="P227" s="98"/>
      <c r="Q227" s="98"/>
      <c r="R227" s="98"/>
      <c r="S227" s="98"/>
      <c r="T227" s="98"/>
      <c r="U227" s="98"/>
      <c r="V227" s="98"/>
    </row>
    <row r="228" spans="4:22" ht="12.75">
      <c r="D228" s="98"/>
      <c r="E228" s="98"/>
      <c r="F228" s="98"/>
      <c r="G228" s="98"/>
      <c r="H228" s="98"/>
      <c r="I228" s="98"/>
      <c r="J228" s="98"/>
      <c r="K228" s="98"/>
      <c r="L228" s="98"/>
      <c r="M228" s="98"/>
      <c r="N228" s="98"/>
      <c r="O228" s="98"/>
      <c r="P228" s="98"/>
      <c r="Q228" s="98"/>
      <c r="R228" s="98"/>
      <c r="S228" s="98"/>
      <c r="T228" s="98"/>
      <c r="U228" s="98"/>
      <c r="V228" s="98"/>
    </row>
    <row r="229" spans="4:22" ht="12.75">
      <c r="D229" s="98"/>
      <c r="E229" s="98"/>
      <c r="F229" s="98"/>
      <c r="G229" s="98"/>
      <c r="H229" s="98"/>
      <c r="I229" s="98"/>
      <c r="J229" s="98"/>
      <c r="K229" s="98"/>
      <c r="L229" s="98"/>
      <c r="M229" s="98"/>
      <c r="N229" s="98"/>
      <c r="O229" s="98"/>
      <c r="P229" s="98"/>
      <c r="Q229" s="98"/>
      <c r="R229" s="98"/>
      <c r="S229" s="98"/>
      <c r="T229" s="98"/>
      <c r="U229" s="98"/>
      <c r="V229" s="98"/>
    </row>
    <row r="230" spans="4:22" ht="12.75">
      <c r="D230" s="98"/>
      <c r="E230" s="98"/>
      <c r="F230" s="98"/>
      <c r="G230" s="98"/>
      <c r="H230" s="98"/>
      <c r="I230" s="98"/>
      <c r="J230" s="98"/>
      <c r="K230" s="98"/>
      <c r="L230" s="98"/>
      <c r="M230" s="98"/>
      <c r="N230" s="98"/>
      <c r="O230" s="98"/>
      <c r="P230" s="98"/>
      <c r="Q230" s="98"/>
      <c r="R230" s="98"/>
      <c r="S230" s="98"/>
      <c r="T230" s="98"/>
      <c r="U230" s="98"/>
      <c r="V230" s="98"/>
    </row>
    <row r="231" spans="4:22" ht="12.75">
      <c r="D231" s="98"/>
      <c r="E231" s="98"/>
      <c r="F231" s="98"/>
      <c r="G231" s="98"/>
      <c r="H231" s="98"/>
      <c r="I231" s="98"/>
      <c r="J231" s="98"/>
      <c r="K231" s="98"/>
      <c r="L231" s="98"/>
      <c r="M231" s="98"/>
      <c r="N231" s="98"/>
      <c r="O231" s="98"/>
      <c r="P231" s="98"/>
      <c r="Q231" s="98"/>
      <c r="R231" s="98"/>
      <c r="S231" s="98"/>
      <c r="T231" s="98"/>
      <c r="U231" s="98"/>
      <c r="V231" s="98"/>
    </row>
    <row r="232" spans="4:22" ht="12.75">
      <c r="D232" s="98"/>
      <c r="E232" s="98"/>
      <c r="F232" s="98"/>
      <c r="G232" s="98"/>
      <c r="H232" s="98"/>
      <c r="I232" s="98"/>
      <c r="J232" s="98"/>
      <c r="K232" s="98"/>
      <c r="L232" s="98"/>
      <c r="M232" s="98"/>
      <c r="N232" s="98"/>
      <c r="O232" s="98"/>
      <c r="P232" s="98"/>
      <c r="Q232" s="98"/>
      <c r="R232" s="98"/>
      <c r="S232" s="98"/>
      <c r="T232" s="98"/>
      <c r="U232" s="98"/>
      <c r="V232" s="98"/>
    </row>
    <row r="233" spans="4:22" ht="12.75">
      <c r="D233" s="98"/>
      <c r="E233" s="98"/>
      <c r="F233" s="98"/>
      <c r="G233" s="98"/>
      <c r="H233" s="98"/>
      <c r="I233" s="98"/>
      <c r="J233" s="98"/>
      <c r="K233" s="98"/>
      <c r="L233" s="98"/>
      <c r="M233" s="98"/>
      <c r="N233" s="98"/>
      <c r="O233" s="98"/>
      <c r="P233" s="98"/>
      <c r="Q233" s="98"/>
      <c r="R233" s="98"/>
      <c r="S233" s="98"/>
      <c r="T233" s="98"/>
      <c r="U233" s="98"/>
      <c r="V233" s="98"/>
    </row>
    <row r="234" spans="4:22" ht="12.75">
      <c r="D234" s="98"/>
      <c r="E234" s="98"/>
      <c r="F234" s="98"/>
      <c r="G234" s="98"/>
      <c r="H234" s="98"/>
      <c r="I234" s="98"/>
      <c r="J234" s="98"/>
      <c r="K234" s="98"/>
      <c r="L234" s="98"/>
      <c r="M234" s="98"/>
      <c r="N234" s="98"/>
      <c r="O234" s="98"/>
      <c r="P234" s="98"/>
      <c r="Q234" s="98"/>
      <c r="R234" s="98"/>
      <c r="S234" s="98"/>
      <c r="T234" s="98"/>
      <c r="U234" s="98"/>
      <c r="V234" s="98"/>
    </row>
    <row r="235" spans="4:22" ht="12.75">
      <c r="D235" s="98"/>
      <c r="E235" s="98"/>
      <c r="F235" s="98"/>
      <c r="G235" s="98"/>
      <c r="H235" s="98"/>
      <c r="I235" s="98"/>
      <c r="J235" s="98"/>
      <c r="K235" s="98"/>
      <c r="L235" s="98"/>
      <c r="M235" s="98"/>
      <c r="N235" s="98"/>
      <c r="O235" s="98"/>
      <c r="P235" s="98"/>
      <c r="Q235" s="98"/>
      <c r="R235" s="98"/>
      <c r="S235" s="98"/>
      <c r="T235" s="98"/>
      <c r="U235" s="98"/>
      <c r="V235" s="98"/>
    </row>
    <row r="236" spans="4:22" ht="12.75">
      <c r="D236" s="98"/>
      <c r="E236" s="98"/>
      <c r="F236" s="98"/>
      <c r="G236" s="98"/>
      <c r="H236" s="98"/>
      <c r="I236" s="98"/>
      <c r="J236" s="98"/>
      <c r="K236" s="98"/>
      <c r="L236" s="98"/>
      <c r="M236" s="98"/>
      <c r="N236" s="98"/>
      <c r="O236" s="98"/>
      <c r="P236" s="98"/>
      <c r="Q236" s="98"/>
      <c r="R236" s="98"/>
      <c r="S236" s="98"/>
      <c r="T236" s="98"/>
      <c r="U236" s="98"/>
      <c r="V236" s="98"/>
    </row>
    <row r="237" spans="4:22" ht="12.75">
      <c r="D237" s="98"/>
      <c r="E237" s="98"/>
      <c r="F237" s="98"/>
      <c r="G237" s="98"/>
      <c r="H237" s="98"/>
      <c r="I237" s="98"/>
      <c r="J237" s="98"/>
      <c r="K237" s="98"/>
      <c r="L237" s="98"/>
      <c r="M237" s="98"/>
      <c r="N237" s="98"/>
      <c r="O237" s="98"/>
      <c r="P237" s="98"/>
      <c r="Q237" s="98"/>
      <c r="R237" s="98"/>
      <c r="S237" s="98"/>
      <c r="T237" s="98"/>
      <c r="U237" s="98"/>
      <c r="V237" s="98"/>
    </row>
    <row r="238" spans="4:22" ht="12.75">
      <c r="D238" s="98"/>
      <c r="E238" s="98"/>
      <c r="F238" s="98"/>
      <c r="G238" s="98"/>
      <c r="H238" s="98"/>
      <c r="I238" s="98"/>
      <c r="J238" s="98"/>
      <c r="K238" s="98"/>
      <c r="L238" s="98"/>
      <c r="M238" s="98"/>
      <c r="N238" s="98"/>
      <c r="O238" s="98"/>
      <c r="P238" s="98"/>
      <c r="Q238" s="98"/>
      <c r="R238" s="98"/>
      <c r="S238" s="98"/>
      <c r="T238" s="98"/>
      <c r="U238" s="98"/>
      <c r="V238" s="98"/>
    </row>
    <row r="239" spans="4:22" ht="12.75">
      <c r="D239" s="98"/>
      <c r="E239" s="98"/>
      <c r="F239" s="98"/>
      <c r="G239" s="98"/>
      <c r="H239" s="98"/>
      <c r="I239" s="98"/>
      <c r="J239" s="98"/>
      <c r="K239" s="98"/>
      <c r="L239" s="98"/>
      <c r="M239" s="98"/>
      <c r="N239" s="98"/>
      <c r="O239" s="98"/>
      <c r="P239" s="98"/>
      <c r="Q239" s="98"/>
      <c r="R239" s="98"/>
      <c r="S239" s="98"/>
      <c r="T239" s="98"/>
      <c r="U239" s="98"/>
      <c r="V239" s="98"/>
    </row>
    <row r="240" spans="4:22" ht="12.75">
      <c r="D240" s="98"/>
      <c r="E240" s="98"/>
      <c r="F240" s="98"/>
      <c r="G240" s="98"/>
      <c r="H240" s="98"/>
      <c r="I240" s="98"/>
      <c r="J240" s="98"/>
      <c r="K240" s="98"/>
      <c r="L240" s="98"/>
      <c r="M240" s="98"/>
      <c r="N240" s="98"/>
      <c r="O240" s="98"/>
      <c r="P240" s="98"/>
      <c r="Q240" s="98"/>
      <c r="R240" s="98"/>
      <c r="S240" s="98"/>
      <c r="T240" s="98"/>
      <c r="U240" s="98"/>
      <c r="V240" s="98"/>
    </row>
    <row r="241" spans="4:22" ht="12.75">
      <c r="D241" s="98"/>
      <c r="E241" s="98"/>
      <c r="F241" s="98"/>
      <c r="G241" s="98"/>
      <c r="H241" s="98"/>
      <c r="I241" s="98"/>
      <c r="J241" s="98"/>
      <c r="K241" s="98"/>
      <c r="L241" s="98"/>
      <c r="M241" s="98"/>
      <c r="N241" s="98"/>
      <c r="O241" s="98"/>
      <c r="P241" s="98"/>
      <c r="Q241" s="98"/>
      <c r="R241" s="98"/>
      <c r="S241" s="98"/>
      <c r="T241" s="98"/>
      <c r="U241" s="98"/>
      <c r="V241" s="98"/>
    </row>
    <row r="242" spans="4:22" ht="12.75">
      <c r="D242" s="98"/>
      <c r="E242" s="98"/>
      <c r="F242" s="98"/>
      <c r="G242" s="98"/>
      <c r="H242" s="98"/>
      <c r="I242" s="98"/>
      <c r="J242" s="98"/>
      <c r="K242" s="98"/>
      <c r="L242" s="98"/>
      <c r="M242" s="98"/>
      <c r="N242" s="98"/>
      <c r="O242" s="98"/>
      <c r="P242" s="98"/>
      <c r="Q242" s="98"/>
      <c r="R242" s="98"/>
      <c r="S242" s="98"/>
      <c r="T242" s="98"/>
      <c r="U242" s="98"/>
      <c r="V242" s="98"/>
    </row>
    <row r="243" spans="4:22" ht="12.75">
      <c r="D243" s="98"/>
      <c r="E243" s="98"/>
      <c r="F243" s="98"/>
      <c r="G243" s="98"/>
      <c r="H243" s="98"/>
      <c r="I243" s="98"/>
      <c r="J243" s="98"/>
      <c r="K243" s="98"/>
      <c r="L243" s="98"/>
      <c r="M243" s="98"/>
      <c r="N243" s="98"/>
      <c r="O243" s="98"/>
      <c r="P243" s="98"/>
      <c r="Q243" s="98"/>
      <c r="R243" s="98"/>
      <c r="S243" s="98"/>
      <c r="T243" s="98"/>
      <c r="U243" s="98"/>
      <c r="V243" s="98"/>
    </row>
    <row r="244" spans="4:22" ht="12.75">
      <c r="D244" s="98"/>
      <c r="E244" s="98"/>
      <c r="F244" s="98"/>
      <c r="G244" s="98"/>
      <c r="H244" s="98"/>
      <c r="I244" s="98"/>
      <c r="J244" s="98"/>
      <c r="K244" s="98"/>
      <c r="L244" s="98"/>
      <c r="M244" s="98"/>
      <c r="N244" s="98"/>
      <c r="O244" s="98"/>
      <c r="P244" s="98"/>
      <c r="Q244" s="98"/>
      <c r="R244" s="98"/>
      <c r="S244" s="98"/>
      <c r="T244" s="98"/>
      <c r="U244" s="98"/>
      <c r="V244" s="98"/>
    </row>
    <row r="245" spans="4:22" ht="12.75">
      <c r="D245" s="98"/>
      <c r="E245" s="98"/>
      <c r="F245" s="98"/>
      <c r="G245" s="98"/>
      <c r="H245" s="98"/>
      <c r="I245" s="98"/>
      <c r="J245" s="98"/>
      <c r="K245" s="98"/>
      <c r="L245" s="98"/>
      <c r="M245" s="98"/>
      <c r="N245" s="98"/>
      <c r="O245" s="98"/>
      <c r="P245" s="98"/>
      <c r="Q245" s="98"/>
      <c r="R245" s="98"/>
      <c r="S245" s="98"/>
      <c r="T245" s="98"/>
      <c r="U245" s="98"/>
      <c r="V245" s="98"/>
    </row>
    <row r="246" spans="4:22" ht="12.75">
      <c r="D246" s="98"/>
      <c r="E246" s="98"/>
      <c r="F246" s="98"/>
      <c r="G246" s="98"/>
      <c r="H246" s="98"/>
      <c r="I246" s="98"/>
      <c r="J246" s="98"/>
      <c r="K246" s="98"/>
      <c r="L246" s="98"/>
      <c r="M246" s="98"/>
      <c r="N246" s="98"/>
      <c r="O246" s="98"/>
      <c r="P246" s="98"/>
      <c r="Q246" s="98"/>
      <c r="R246" s="98"/>
      <c r="S246" s="98"/>
      <c r="T246" s="98"/>
      <c r="U246" s="98"/>
      <c r="V246" s="98"/>
    </row>
    <row r="247" spans="4:22" ht="12.75">
      <c r="D247" s="98"/>
      <c r="E247" s="98"/>
      <c r="F247" s="98"/>
      <c r="G247" s="98"/>
      <c r="H247" s="98"/>
      <c r="I247" s="98"/>
      <c r="J247" s="98"/>
      <c r="K247" s="98"/>
      <c r="L247" s="98"/>
      <c r="M247" s="98"/>
      <c r="N247" s="98"/>
      <c r="O247" s="98"/>
      <c r="P247" s="98"/>
      <c r="Q247" s="98"/>
      <c r="R247" s="98"/>
      <c r="S247" s="98"/>
      <c r="T247" s="98"/>
      <c r="U247" s="98"/>
      <c r="V247" s="98"/>
    </row>
    <row r="248" spans="4:22" ht="12.75">
      <c r="D248" s="98"/>
      <c r="E248" s="98"/>
      <c r="F248" s="98"/>
      <c r="G248" s="98"/>
      <c r="H248" s="98"/>
      <c r="I248" s="98"/>
      <c r="J248" s="98"/>
      <c r="K248" s="98"/>
      <c r="L248" s="98"/>
      <c r="M248" s="98"/>
      <c r="N248" s="98"/>
      <c r="O248" s="98"/>
      <c r="P248" s="98"/>
      <c r="Q248" s="98"/>
      <c r="R248" s="98"/>
      <c r="S248" s="98"/>
      <c r="T248" s="98"/>
      <c r="U248" s="98"/>
      <c r="V248" s="98"/>
    </row>
    <row r="249" spans="4:22" ht="12.75">
      <c r="D249" s="98"/>
      <c r="E249" s="98"/>
      <c r="F249" s="98"/>
      <c r="G249" s="98"/>
      <c r="H249" s="98"/>
      <c r="I249" s="98"/>
      <c r="J249" s="98"/>
      <c r="K249" s="98"/>
      <c r="L249" s="98"/>
      <c r="M249" s="98"/>
      <c r="N249" s="98"/>
      <c r="O249" s="98"/>
      <c r="P249" s="98"/>
      <c r="Q249" s="98"/>
      <c r="R249" s="98"/>
      <c r="S249" s="98"/>
      <c r="T249" s="98"/>
      <c r="U249" s="98"/>
      <c r="V249" s="98"/>
    </row>
    <row r="250" spans="4:22" ht="12.75">
      <c r="D250" s="98"/>
      <c r="E250" s="98"/>
      <c r="F250" s="98"/>
      <c r="G250" s="98"/>
      <c r="H250" s="98"/>
      <c r="I250" s="98"/>
      <c r="J250" s="98"/>
      <c r="K250" s="98"/>
      <c r="L250" s="98"/>
      <c r="M250" s="98"/>
      <c r="N250" s="98"/>
      <c r="O250" s="98"/>
      <c r="P250" s="98"/>
      <c r="Q250" s="98"/>
      <c r="R250" s="98"/>
      <c r="S250" s="98"/>
      <c r="T250" s="98"/>
      <c r="U250" s="98"/>
      <c r="V250" s="98"/>
    </row>
    <row r="251" spans="4:22" ht="12.75">
      <c r="D251" s="98"/>
      <c r="E251" s="98"/>
      <c r="F251" s="98"/>
      <c r="G251" s="98"/>
      <c r="H251" s="98"/>
      <c r="I251" s="98"/>
      <c r="J251" s="98"/>
      <c r="K251" s="98"/>
      <c r="L251" s="98"/>
      <c r="M251" s="98"/>
      <c r="N251" s="98"/>
      <c r="O251" s="98"/>
      <c r="P251" s="98"/>
      <c r="Q251" s="98"/>
      <c r="R251" s="98"/>
      <c r="S251" s="98"/>
      <c r="T251" s="98"/>
      <c r="U251" s="98"/>
      <c r="V251" s="98"/>
    </row>
    <row r="252" spans="4:22" ht="12.75">
      <c r="D252" s="98"/>
      <c r="E252" s="98"/>
      <c r="F252" s="98"/>
      <c r="G252" s="98"/>
      <c r="H252" s="98"/>
      <c r="I252" s="98"/>
      <c r="J252" s="98"/>
      <c r="K252" s="98"/>
      <c r="L252" s="98"/>
      <c r="M252" s="98"/>
      <c r="N252" s="98"/>
      <c r="O252" s="98"/>
      <c r="P252" s="98"/>
      <c r="Q252" s="98"/>
      <c r="R252" s="98"/>
      <c r="S252" s="98"/>
      <c r="T252" s="98"/>
      <c r="U252" s="98"/>
      <c r="V252" s="98"/>
    </row>
    <row r="253" spans="4:22" ht="12.75">
      <c r="D253" s="98"/>
      <c r="E253" s="98"/>
      <c r="F253" s="98"/>
      <c r="G253" s="98"/>
      <c r="H253" s="98"/>
      <c r="I253" s="98"/>
      <c r="J253" s="98"/>
      <c r="K253" s="98"/>
      <c r="L253" s="98"/>
      <c r="M253" s="98"/>
      <c r="N253" s="98"/>
      <c r="O253" s="98"/>
      <c r="P253" s="98"/>
      <c r="Q253" s="98"/>
      <c r="R253" s="98"/>
      <c r="S253" s="98"/>
      <c r="T253" s="98"/>
      <c r="U253" s="98"/>
      <c r="V253" s="98"/>
    </row>
    <row r="254" spans="4:22" ht="12.75">
      <c r="D254" s="98"/>
      <c r="E254" s="98"/>
      <c r="F254" s="98"/>
      <c r="G254" s="98"/>
      <c r="H254" s="98"/>
      <c r="I254" s="98"/>
      <c r="J254" s="98"/>
      <c r="K254" s="98"/>
      <c r="L254" s="98"/>
      <c r="M254" s="98"/>
      <c r="N254" s="98"/>
      <c r="O254" s="98"/>
      <c r="P254" s="98"/>
      <c r="Q254" s="98"/>
      <c r="R254" s="98"/>
      <c r="S254" s="98"/>
      <c r="T254" s="98"/>
      <c r="U254" s="98"/>
      <c r="V254" s="98"/>
    </row>
    <row r="255" spans="4:22" ht="12.75">
      <c r="D255" s="98"/>
      <c r="E255" s="98"/>
      <c r="F255" s="98"/>
      <c r="G255" s="98"/>
      <c r="H255" s="98"/>
      <c r="I255" s="98"/>
      <c r="J255" s="98"/>
      <c r="K255" s="98"/>
      <c r="L255" s="98"/>
      <c r="M255" s="98"/>
      <c r="N255" s="98"/>
      <c r="O255" s="98"/>
      <c r="P255" s="98"/>
      <c r="Q255" s="98"/>
      <c r="R255" s="98"/>
      <c r="S255" s="98"/>
      <c r="T255" s="98"/>
      <c r="U255" s="98"/>
      <c r="V255" s="98"/>
    </row>
    <row r="256" spans="4:22" ht="12.75">
      <c r="D256" s="98"/>
      <c r="E256" s="98"/>
      <c r="F256" s="98"/>
      <c r="G256" s="98"/>
      <c r="H256" s="98"/>
      <c r="I256" s="98"/>
      <c r="J256" s="98"/>
      <c r="K256" s="98"/>
      <c r="L256" s="98"/>
      <c r="M256" s="98"/>
      <c r="N256" s="98"/>
      <c r="O256" s="98"/>
      <c r="P256" s="98"/>
      <c r="Q256" s="98"/>
      <c r="R256" s="98"/>
      <c r="S256" s="98"/>
      <c r="T256" s="98"/>
      <c r="U256" s="98"/>
      <c r="V256" s="98"/>
    </row>
    <row r="257" spans="4:22" ht="12.75">
      <c r="D257" s="98"/>
      <c r="E257" s="98"/>
      <c r="F257" s="98"/>
      <c r="G257" s="98"/>
      <c r="H257" s="98"/>
      <c r="I257" s="98"/>
      <c r="J257" s="98"/>
      <c r="K257" s="98"/>
      <c r="L257" s="98"/>
      <c r="M257" s="98"/>
      <c r="N257" s="98"/>
      <c r="O257" s="98"/>
      <c r="P257" s="98"/>
      <c r="Q257" s="98"/>
      <c r="R257" s="98"/>
      <c r="S257" s="98"/>
      <c r="T257" s="98"/>
      <c r="U257" s="98"/>
      <c r="V257" s="98"/>
    </row>
    <row r="258" spans="4:22" ht="12.75">
      <c r="D258" s="98"/>
      <c r="E258" s="98"/>
      <c r="F258" s="98"/>
      <c r="G258" s="98"/>
      <c r="H258" s="98"/>
      <c r="I258" s="98"/>
      <c r="J258" s="98"/>
      <c r="K258" s="98"/>
      <c r="L258" s="98"/>
      <c r="M258" s="98"/>
      <c r="N258" s="98"/>
      <c r="O258" s="98"/>
      <c r="P258" s="98"/>
      <c r="Q258" s="98"/>
      <c r="R258" s="98"/>
      <c r="S258" s="98"/>
      <c r="T258" s="98"/>
      <c r="U258" s="98"/>
      <c r="V258" s="98"/>
    </row>
    <row r="259" spans="4:22" ht="12.75">
      <c r="D259" s="98"/>
      <c r="E259" s="98"/>
      <c r="F259" s="98"/>
      <c r="G259" s="98"/>
      <c r="H259" s="98"/>
      <c r="I259" s="98"/>
      <c r="J259" s="98"/>
      <c r="K259" s="98"/>
      <c r="L259" s="98"/>
      <c r="M259" s="98"/>
      <c r="N259" s="98"/>
      <c r="O259" s="98"/>
      <c r="P259" s="98"/>
      <c r="Q259" s="98"/>
      <c r="R259" s="98"/>
      <c r="S259" s="98"/>
      <c r="T259" s="98"/>
      <c r="U259" s="98"/>
      <c r="V259" s="98"/>
    </row>
    <row r="260" spans="4:22" ht="12.75">
      <c r="D260" s="98"/>
      <c r="E260" s="98"/>
      <c r="F260" s="98"/>
      <c r="G260" s="98"/>
      <c r="H260" s="98"/>
      <c r="I260" s="98"/>
      <c r="J260" s="98"/>
      <c r="K260" s="98"/>
      <c r="L260" s="98"/>
      <c r="M260" s="98"/>
      <c r="N260" s="98"/>
      <c r="O260" s="98"/>
      <c r="P260" s="98"/>
      <c r="Q260" s="98"/>
      <c r="R260" s="98"/>
      <c r="S260" s="98"/>
      <c r="T260" s="98"/>
      <c r="U260" s="98"/>
      <c r="V260" s="98"/>
    </row>
    <row r="261" spans="4:22" ht="12.75">
      <c r="D261" s="98"/>
      <c r="E261" s="98"/>
      <c r="F261" s="98"/>
      <c r="G261" s="98"/>
      <c r="H261" s="98"/>
      <c r="I261" s="98"/>
      <c r="J261" s="98"/>
      <c r="K261" s="98"/>
      <c r="L261" s="98"/>
      <c r="M261" s="98"/>
      <c r="N261" s="98"/>
      <c r="O261" s="98"/>
      <c r="P261" s="98"/>
      <c r="Q261" s="98"/>
      <c r="R261" s="98"/>
      <c r="S261" s="98"/>
      <c r="T261" s="98"/>
      <c r="U261" s="98"/>
      <c r="V261" s="98"/>
    </row>
    <row r="262" spans="4:22" ht="12.75">
      <c r="D262" s="98"/>
      <c r="E262" s="98"/>
      <c r="F262" s="98"/>
      <c r="G262" s="98"/>
      <c r="H262" s="98"/>
      <c r="I262" s="98"/>
      <c r="J262" s="98"/>
      <c r="K262" s="98"/>
      <c r="L262" s="98"/>
      <c r="M262" s="98"/>
      <c r="N262" s="98"/>
      <c r="O262" s="98"/>
      <c r="P262" s="98"/>
      <c r="Q262" s="98"/>
      <c r="R262" s="98"/>
      <c r="S262" s="98"/>
      <c r="T262" s="98"/>
      <c r="U262" s="98"/>
      <c r="V262" s="98"/>
    </row>
    <row r="263" spans="4:22" ht="12.75">
      <c r="D263" s="98"/>
      <c r="E263" s="98"/>
      <c r="F263" s="98"/>
      <c r="G263" s="98"/>
      <c r="H263" s="98"/>
      <c r="I263" s="98"/>
      <c r="J263" s="98"/>
      <c r="K263" s="98"/>
      <c r="L263" s="98"/>
      <c r="M263" s="98"/>
      <c r="N263" s="98"/>
      <c r="O263" s="98"/>
      <c r="P263" s="98"/>
      <c r="Q263" s="98"/>
      <c r="R263" s="98"/>
      <c r="S263" s="98"/>
      <c r="T263" s="98"/>
      <c r="U263" s="98"/>
      <c r="V263" s="98"/>
    </row>
    <row r="264" spans="4:22" ht="12.75">
      <c r="D264" s="98"/>
      <c r="E264" s="98"/>
      <c r="F264" s="98"/>
      <c r="G264" s="98"/>
      <c r="H264" s="98"/>
      <c r="I264" s="98"/>
      <c r="J264" s="98"/>
      <c r="K264" s="98"/>
      <c r="L264" s="98"/>
      <c r="M264" s="98"/>
      <c r="N264" s="98"/>
      <c r="O264" s="98"/>
      <c r="P264" s="98"/>
      <c r="Q264" s="98"/>
      <c r="R264" s="98"/>
      <c r="S264" s="98"/>
      <c r="T264" s="98"/>
      <c r="U264" s="98"/>
      <c r="V264" s="98"/>
    </row>
    <row r="265" spans="4:22" ht="12.75">
      <c r="D265" s="98"/>
      <c r="E265" s="98"/>
      <c r="F265" s="98"/>
      <c r="G265" s="98"/>
      <c r="H265" s="98"/>
      <c r="I265" s="98"/>
      <c r="J265" s="98"/>
      <c r="K265" s="98"/>
      <c r="L265" s="98"/>
      <c r="M265" s="98"/>
      <c r="N265" s="98"/>
      <c r="O265" s="98"/>
      <c r="P265" s="98"/>
      <c r="Q265" s="98"/>
      <c r="R265" s="98"/>
      <c r="S265" s="98"/>
      <c r="T265" s="98"/>
      <c r="U265" s="98"/>
      <c r="V265" s="98"/>
    </row>
    <row r="266" spans="4:22" ht="12.75">
      <c r="D266" s="98"/>
      <c r="E266" s="98"/>
      <c r="F266" s="98"/>
      <c r="G266" s="98"/>
      <c r="H266" s="98"/>
      <c r="I266" s="98"/>
      <c r="J266" s="98"/>
      <c r="K266" s="98"/>
      <c r="L266" s="98"/>
      <c r="M266" s="98"/>
      <c r="N266" s="98"/>
      <c r="O266" s="98"/>
      <c r="P266" s="98"/>
      <c r="Q266" s="98"/>
      <c r="R266" s="98"/>
      <c r="S266" s="98"/>
      <c r="T266" s="98"/>
      <c r="U266" s="98"/>
      <c r="V266" s="98"/>
    </row>
    <row r="267" spans="4:22" ht="12.75">
      <c r="D267" s="98"/>
      <c r="E267" s="98"/>
      <c r="F267" s="98"/>
      <c r="G267" s="98"/>
      <c r="H267" s="98"/>
      <c r="I267" s="98"/>
      <c r="J267" s="98"/>
      <c r="K267" s="98"/>
      <c r="L267" s="98"/>
      <c r="M267" s="98"/>
      <c r="N267" s="98"/>
      <c r="O267" s="98"/>
      <c r="P267" s="98"/>
      <c r="Q267" s="98"/>
      <c r="R267" s="98"/>
      <c r="S267" s="98"/>
      <c r="T267" s="98"/>
      <c r="U267" s="98"/>
      <c r="V267" s="98"/>
    </row>
    <row r="268" spans="4:22" ht="12.75">
      <c r="D268" s="98"/>
      <c r="E268" s="98"/>
      <c r="F268" s="98"/>
      <c r="G268" s="98"/>
      <c r="H268" s="98"/>
      <c r="I268" s="98"/>
      <c r="J268" s="98"/>
      <c r="K268" s="98"/>
      <c r="L268" s="98"/>
      <c r="M268" s="98"/>
      <c r="N268" s="98"/>
      <c r="O268" s="98"/>
      <c r="P268" s="98"/>
      <c r="Q268" s="98"/>
      <c r="R268" s="98"/>
      <c r="S268" s="98"/>
      <c r="T268" s="98"/>
      <c r="U268" s="98"/>
      <c r="V268" s="98"/>
    </row>
    <row r="269" spans="4:22" ht="12.75">
      <c r="D269" s="98"/>
      <c r="E269" s="98"/>
      <c r="F269" s="98"/>
      <c r="G269" s="98"/>
      <c r="H269" s="98"/>
      <c r="I269" s="98"/>
      <c r="J269" s="98"/>
      <c r="K269" s="98"/>
      <c r="L269" s="98"/>
      <c r="M269" s="98"/>
      <c r="N269" s="98"/>
      <c r="O269" s="98"/>
      <c r="P269" s="98"/>
      <c r="Q269" s="98"/>
      <c r="R269" s="98"/>
      <c r="S269" s="98"/>
      <c r="T269" s="98"/>
      <c r="U269" s="98"/>
      <c r="V269" s="98"/>
    </row>
    <row r="270" spans="4:22" ht="12.75">
      <c r="D270" s="98"/>
      <c r="E270" s="98"/>
      <c r="F270" s="98"/>
      <c r="G270" s="98"/>
      <c r="H270" s="98"/>
      <c r="I270" s="98"/>
      <c r="J270" s="98"/>
      <c r="K270" s="98"/>
      <c r="L270" s="98"/>
      <c r="M270" s="98"/>
      <c r="N270" s="98"/>
      <c r="O270" s="98"/>
      <c r="P270" s="98"/>
      <c r="Q270" s="98"/>
      <c r="R270" s="98"/>
      <c r="S270" s="98"/>
      <c r="T270" s="98"/>
      <c r="U270" s="98"/>
      <c r="V270" s="98"/>
    </row>
    <row r="271" spans="4:22" ht="12.75">
      <c r="D271" s="98"/>
      <c r="E271" s="98"/>
      <c r="F271" s="98"/>
      <c r="G271" s="98"/>
      <c r="H271" s="98"/>
      <c r="I271" s="98"/>
      <c r="J271" s="98"/>
      <c r="K271" s="98"/>
      <c r="L271" s="98"/>
      <c r="M271" s="98"/>
      <c r="N271" s="98"/>
      <c r="O271" s="98"/>
      <c r="P271" s="98"/>
      <c r="Q271" s="98"/>
      <c r="R271" s="98"/>
      <c r="S271" s="98"/>
      <c r="T271" s="98"/>
      <c r="U271" s="98"/>
      <c r="V271" s="98"/>
    </row>
    <row r="272" spans="4:22" ht="12.75">
      <c r="D272" s="98"/>
      <c r="E272" s="98"/>
      <c r="F272" s="98"/>
      <c r="G272" s="98"/>
      <c r="H272" s="98"/>
      <c r="I272" s="98"/>
      <c r="J272" s="98"/>
      <c r="K272" s="98"/>
      <c r="L272" s="98"/>
      <c r="M272" s="98"/>
      <c r="N272" s="98"/>
      <c r="O272" s="98"/>
      <c r="P272" s="98"/>
      <c r="Q272" s="98"/>
      <c r="R272" s="98"/>
      <c r="S272" s="98"/>
      <c r="T272" s="98"/>
      <c r="U272" s="98"/>
      <c r="V272" s="98"/>
    </row>
    <row r="273" spans="4:22" ht="12.75">
      <c r="D273" s="98"/>
      <c r="E273" s="98"/>
      <c r="F273" s="98"/>
      <c r="G273" s="98"/>
      <c r="H273" s="98"/>
      <c r="I273" s="98"/>
      <c r="J273" s="98"/>
      <c r="K273" s="98"/>
      <c r="L273" s="98"/>
      <c r="M273" s="98"/>
      <c r="N273" s="98"/>
      <c r="O273" s="98"/>
      <c r="P273" s="98"/>
      <c r="Q273" s="98"/>
      <c r="R273" s="98"/>
      <c r="S273" s="98"/>
      <c r="T273" s="98"/>
      <c r="U273" s="98"/>
      <c r="V273" s="98"/>
    </row>
    <row r="274" spans="4:22" ht="12.75">
      <c r="D274" s="98"/>
      <c r="E274" s="98"/>
      <c r="F274" s="98"/>
      <c r="G274" s="98"/>
      <c r="H274" s="98"/>
      <c r="I274" s="98"/>
      <c r="J274" s="98"/>
      <c r="K274" s="98"/>
      <c r="L274" s="98"/>
      <c r="M274" s="98"/>
      <c r="N274" s="98"/>
      <c r="O274" s="98"/>
      <c r="P274" s="98"/>
      <c r="Q274" s="98"/>
      <c r="R274" s="98"/>
      <c r="S274" s="98"/>
      <c r="T274" s="98"/>
      <c r="U274" s="98"/>
      <c r="V274" s="98"/>
    </row>
    <row r="275" spans="4:22" ht="12.75">
      <c r="D275" s="98"/>
      <c r="E275" s="98"/>
      <c r="F275" s="98"/>
      <c r="G275" s="98"/>
      <c r="H275" s="98"/>
      <c r="I275" s="98"/>
      <c r="J275" s="98"/>
      <c r="K275" s="98"/>
      <c r="L275" s="98"/>
      <c r="M275" s="98"/>
      <c r="N275" s="98"/>
      <c r="O275" s="98"/>
      <c r="P275" s="98"/>
      <c r="Q275" s="98"/>
      <c r="R275" s="98"/>
      <c r="S275" s="98"/>
      <c r="T275" s="98"/>
      <c r="U275" s="98"/>
      <c r="V275" s="98"/>
    </row>
    <row r="276" spans="4:22" ht="12.75">
      <c r="D276" s="98"/>
      <c r="E276" s="98"/>
      <c r="F276" s="98"/>
      <c r="G276" s="98"/>
      <c r="H276" s="98"/>
      <c r="I276" s="98"/>
      <c r="J276" s="98"/>
      <c r="K276" s="98"/>
      <c r="L276" s="98"/>
      <c r="M276" s="98"/>
      <c r="N276" s="98"/>
      <c r="O276" s="98"/>
      <c r="P276" s="98"/>
      <c r="Q276" s="98"/>
      <c r="R276" s="98"/>
      <c r="S276" s="98"/>
      <c r="T276" s="98"/>
      <c r="U276" s="98"/>
      <c r="V276" s="98"/>
    </row>
    <row r="277" spans="4:22" ht="12.75">
      <c r="D277" s="98"/>
      <c r="E277" s="98"/>
      <c r="F277" s="98"/>
      <c r="G277" s="98"/>
      <c r="H277" s="98"/>
      <c r="I277" s="98"/>
      <c r="J277" s="98"/>
      <c r="K277" s="98"/>
      <c r="L277" s="98"/>
      <c r="M277" s="98"/>
      <c r="N277" s="98"/>
      <c r="O277" s="98"/>
      <c r="P277" s="98"/>
      <c r="Q277" s="98"/>
      <c r="R277" s="98"/>
      <c r="S277" s="98"/>
      <c r="T277" s="98"/>
      <c r="U277" s="98"/>
      <c r="V277" s="98"/>
    </row>
    <row r="278" spans="4:22" ht="12.75">
      <c r="D278" s="98"/>
      <c r="E278" s="98"/>
      <c r="F278" s="98"/>
      <c r="G278" s="98"/>
      <c r="H278" s="98"/>
      <c r="I278" s="98"/>
      <c r="J278" s="98"/>
      <c r="K278" s="98"/>
      <c r="L278" s="98"/>
      <c r="M278" s="98"/>
      <c r="N278" s="98"/>
      <c r="O278" s="98"/>
      <c r="P278" s="98"/>
      <c r="Q278" s="98"/>
      <c r="R278" s="98"/>
      <c r="S278" s="98"/>
      <c r="T278" s="98"/>
      <c r="U278" s="98"/>
      <c r="V278" s="98"/>
    </row>
    <row r="279" spans="4:22" ht="12.75">
      <c r="D279" s="98"/>
      <c r="E279" s="98"/>
      <c r="F279" s="98"/>
      <c r="G279" s="98"/>
      <c r="H279" s="98"/>
      <c r="I279" s="98"/>
      <c r="J279" s="98"/>
      <c r="K279" s="98"/>
      <c r="L279" s="98"/>
      <c r="M279" s="98"/>
      <c r="N279" s="98"/>
      <c r="O279" s="98"/>
      <c r="P279" s="98"/>
      <c r="Q279" s="98"/>
      <c r="R279" s="98"/>
      <c r="S279" s="98"/>
      <c r="T279" s="98"/>
      <c r="U279" s="98"/>
      <c r="V279" s="98"/>
    </row>
    <row r="280" spans="4:22" ht="12.75">
      <c r="D280" s="98"/>
      <c r="E280" s="98"/>
      <c r="F280" s="98"/>
      <c r="G280" s="98"/>
      <c r="H280" s="98"/>
      <c r="I280" s="98"/>
      <c r="J280" s="98"/>
      <c r="K280" s="98"/>
      <c r="L280" s="98"/>
      <c r="M280" s="98"/>
      <c r="N280" s="98"/>
      <c r="O280" s="98"/>
      <c r="P280" s="98"/>
      <c r="Q280" s="98"/>
      <c r="R280" s="98"/>
      <c r="S280" s="98"/>
      <c r="T280" s="98"/>
      <c r="U280" s="98"/>
      <c r="V280" s="98"/>
    </row>
    <row r="281" spans="4:22" ht="12.75">
      <c r="D281" s="98"/>
      <c r="E281" s="98"/>
      <c r="F281" s="98"/>
      <c r="G281" s="98"/>
      <c r="H281" s="98"/>
      <c r="I281" s="98"/>
      <c r="J281" s="98"/>
      <c r="K281" s="98"/>
      <c r="L281" s="98"/>
      <c r="M281" s="98"/>
      <c r="N281" s="98"/>
      <c r="O281" s="98"/>
      <c r="P281" s="98"/>
      <c r="Q281" s="98"/>
      <c r="R281" s="98"/>
      <c r="S281" s="98"/>
      <c r="T281" s="98"/>
      <c r="U281" s="98"/>
      <c r="V281" s="98"/>
    </row>
    <row r="282" spans="4:22" ht="12.75">
      <c r="D282" s="98"/>
      <c r="E282" s="98"/>
      <c r="F282" s="98"/>
      <c r="G282" s="98"/>
      <c r="H282" s="98"/>
      <c r="I282" s="98"/>
      <c r="J282" s="98"/>
      <c r="K282" s="98"/>
      <c r="L282" s="98"/>
      <c r="M282" s="98"/>
      <c r="N282" s="98"/>
      <c r="O282" s="98"/>
      <c r="P282" s="98"/>
      <c r="Q282" s="98"/>
      <c r="R282" s="98"/>
      <c r="S282" s="98"/>
      <c r="T282" s="98"/>
      <c r="U282" s="98"/>
      <c r="V282" s="98"/>
    </row>
    <row r="283" spans="4:22" ht="12.75">
      <c r="D283" s="98"/>
      <c r="E283" s="98"/>
      <c r="F283" s="98"/>
      <c r="G283" s="98"/>
      <c r="H283" s="98"/>
      <c r="I283" s="98"/>
      <c r="J283" s="98"/>
      <c r="K283" s="98"/>
      <c r="L283" s="98"/>
      <c r="M283" s="98"/>
      <c r="N283" s="98"/>
      <c r="O283" s="98"/>
      <c r="P283" s="98"/>
      <c r="Q283" s="98"/>
      <c r="R283" s="98"/>
      <c r="S283" s="98"/>
      <c r="T283" s="98"/>
      <c r="U283" s="98"/>
      <c r="V283" s="98"/>
    </row>
    <row r="284" spans="4:22" ht="12.75">
      <c r="D284" s="98"/>
      <c r="E284" s="98"/>
      <c r="F284" s="98"/>
      <c r="G284" s="98"/>
      <c r="H284" s="98"/>
      <c r="I284" s="98"/>
      <c r="J284" s="98"/>
      <c r="K284" s="98"/>
      <c r="L284" s="98"/>
      <c r="M284" s="98"/>
      <c r="N284" s="98"/>
      <c r="O284" s="98"/>
      <c r="P284" s="98"/>
      <c r="Q284" s="98"/>
      <c r="R284" s="98"/>
      <c r="S284" s="98"/>
      <c r="T284" s="98"/>
      <c r="U284" s="98"/>
      <c r="V284" s="98"/>
    </row>
    <row r="285" spans="4:22" ht="12.75">
      <c r="D285" s="98"/>
      <c r="E285" s="98"/>
      <c r="F285" s="98"/>
      <c r="G285" s="98"/>
      <c r="H285" s="98"/>
      <c r="I285" s="98"/>
      <c r="J285" s="98"/>
      <c r="K285" s="98"/>
      <c r="L285" s="98"/>
      <c r="M285" s="98"/>
      <c r="N285" s="98"/>
      <c r="O285" s="98"/>
      <c r="P285" s="98"/>
      <c r="Q285" s="98"/>
      <c r="R285" s="98"/>
      <c r="S285" s="98"/>
      <c r="T285" s="98"/>
      <c r="U285" s="98"/>
      <c r="V285" s="98"/>
    </row>
    <row r="286" spans="4:22" ht="12.75">
      <c r="D286" s="98"/>
      <c r="E286" s="98"/>
      <c r="F286" s="98"/>
      <c r="G286" s="98"/>
      <c r="H286" s="98"/>
      <c r="I286" s="98"/>
      <c r="J286" s="98"/>
      <c r="K286" s="98"/>
      <c r="L286" s="98"/>
      <c r="M286" s="98"/>
      <c r="N286" s="98"/>
      <c r="O286" s="98"/>
      <c r="P286" s="98"/>
      <c r="Q286" s="98"/>
      <c r="R286" s="98"/>
      <c r="S286" s="98"/>
      <c r="T286" s="98"/>
      <c r="U286" s="98"/>
      <c r="V286" s="98"/>
    </row>
    <row r="287" spans="4:22" ht="12.75">
      <c r="D287" s="98"/>
      <c r="E287" s="98"/>
      <c r="F287" s="98"/>
      <c r="G287" s="98"/>
      <c r="H287" s="98"/>
      <c r="I287" s="98"/>
      <c r="J287" s="98"/>
      <c r="K287" s="98"/>
      <c r="L287" s="98"/>
      <c r="M287" s="98"/>
      <c r="N287" s="98"/>
      <c r="O287" s="98"/>
      <c r="P287" s="98"/>
      <c r="Q287" s="98"/>
      <c r="R287" s="98"/>
      <c r="S287" s="98"/>
      <c r="T287" s="98"/>
      <c r="U287" s="98"/>
      <c r="V287" s="98"/>
    </row>
    <row r="288" spans="4:22" ht="12.75">
      <c r="D288" s="98"/>
      <c r="E288" s="98"/>
      <c r="F288" s="98"/>
      <c r="G288" s="98"/>
      <c r="H288" s="98"/>
      <c r="I288" s="98"/>
      <c r="J288" s="98"/>
      <c r="K288" s="98"/>
      <c r="L288" s="98"/>
      <c r="M288" s="98"/>
      <c r="N288" s="98"/>
      <c r="O288" s="98"/>
      <c r="P288" s="98"/>
      <c r="Q288" s="98"/>
      <c r="R288" s="98"/>
      <c r="S288" s="98"/>
      <c r="T288" s="98"/>
      <c r="U288" s="98"/>
      <c r="V288" s="98"/>
    </row>
    <row r="289" spans="4:22" ht="12.75">
      <c r="D289" s="98"/>
      <c r="E289" s="98"/>
      <c r="F289" s="98"/>
      <c r="G289" s="98"/>
      <c r="H289" s="98"/>
      <c r="I289" s="98"/>
      <c r="J289" s="98"/>
      <c r="K289" s="98"/>
      <c r="L289" s="98"/>
      <c r="M289" s="98"/>
      <c r="N289" s="98"/>
      <c r="O289" s="98"/>
      <c r="P289" s="98"/>
      <c r="Q289" s="98"/>
      <c r="R289" s="98"/>
      <c r="S289" s="98"/>
      <c r="T289" s="98"/>
      <c r="U289" s="98"/>
      <c r="V289" s="98"/>
    </row>
    <row r="290" spans="4:22" ht="12.75">
      <c r="D290" s="98"/>
      <c r="E290" s="98"/>
      <c r="F290" s="98"/>
      <c r="G290" s="98"/>
      <c r="H290" s="98"/>
      <c r="I290" s="98"/>
      <c r="J290" s="98"/>
      <c r="K290" s="98"/>
      <c r="L290" s="98"/>
      <c r="M290" s="98"/>
      <c r="N290" s="98"/>
      <c r="O290" s="98"/>
      <c r="P290" s="98"/>
      <c r="Q290" s="98"/>
      <c r="R290" s="98"/>
      <c r="S290" s="98"/>
      <c r="T290" s="98"/>
      <c r="U290" s="98"/>
      <c r="V290" s="98"/>
    </row>
    <row r="291" spans="4:22" ht="12.75">
      <c r="D291" s="98"/>
      <c r="E291" s="98"/>
      <c r="F291" s="98"/>
      <c r="G291" s="98"/>
      <c r="H291" s="98"/>
      <c r="I291" s="98"/>
      <c r="J291" s="98"/>
      <c r="K291" s="98"/>
      <c r="L291" s="98"/>
      <c r="M291" s="98"/>
      <c r="N291" s="98"/>
      <c r="O291" s="98"/>
      <c r="P291" s="98"/>
      <c r="Q291" s="98"/>
      <c r="R291" s="98"/>
      <c r="S291" s="98"/>
      <c r="T291" s="98"/>
      <c r="U291" s="98"/>
      <c r="V291" s="98"/>
    </row>
    <row r="292" spans="4:22" ht="12.75">
      <c r="D292" s="98"/>
      <c r="E292" s="98"/>
      <c r="F292" s="98"/>
      <c r="G292" s="98"/>
      <c r="H292" s="98"/>
      <c r="I292" s="98"/>
      <c r="J292" s="98"/>
      <c r="K292" s="98"/>
      <c r="L292" s="98"/>
      <c r="M292" s="98"/>
      <c r="N292" s="98"/>
      <c r="O292" s="98"/>
      <c r="P292" s="98"/>
      <c r="Q292" s="98"/>
      <c r="R292" s="98"/>
      <c r="S292" s="98"/>
      <c r="T292" s="98"/>
      <c r="U292" s="98"/>
      <c r="V292" s="98"/>
    </row>
    <row r="293" spans="4:22" ht="12.75">
      <c r="D293" s="98"/>
      <c r="E293" s="98"/>
      <c r="F293" s="98"/>
      <c r="G293" s="98"/>
      <c r="H293" s="98"/>
      <c r="I293" s="98"/>
      <c r="J293" s="98"/>
      <c r="K293" s="98"/>
      <c r="L293" s="98"/>
      <c r="M293" s="98"/>
      <c r="N293" s="98"/>
      <c r="O293" s="98"/>
      <c r="P293" s="98"/>
      <c r="Q293" s="98"/>
      <c r="R293" s="98"/>
      <c r="S293" s="98"/>
      <c r="T293" s="98"/>
      <c r="U293" s="98"/>
      <c r="V293" s="98"/>
    </row>
    <row r="294" spans="4:22" ht="12.75">
      <c r="D294" s="98"/>
      <c r="E294" s="98"/>
      <c r="F294" s="98"/>
      <c r="G294" s="98"/>
      <c r="H294" s="98"/>
      <c r="I294" s="98"/>
      <c r="J294" s="98"/>
      <c r="K294" s="98"/>
      <c r="L294" s="98"/>
      <c r="M294" s="98"/>
      <c r="N294" s="98"/>
      <c r="O294" s="98"/>
      <c r="P294" s="98"/>
      <c r="Q294" s="98"/>
      <c r="R294" s="98"/>
      <c r="S294" s="98"/>
      <c r="T294" s="98"/>
      <c r="U294" s="98"/>
      <c r="V294" s="98"/>
    </row>
    <row r="295" spans="4:22" ht="12.75">
      <c r="D295" s="98"/>
      <c r="E295" s="98"/>
      <c r="F295" s="98"/>
      <c r="G295" s="98"/>
      <c r="H295" s="98"/>
      <c r="I295" s="98"/>
      <c r="J295" s="98"/>
      <c r="K295" s="98"/>
      <c r="L295" s="98"/>
      <c r="M295" s="98"/>
      <c r="N295" s="98"/>
      <c r="O295" s="98"/>
      <c r="P295" s="98"/>
      <c r="Q295" s="98"/>
      <c r="R295" s="98"/>
      <c r="S295" s="98"/>
      <c r="T295" s="98"/>
      <c r="U295" s="98"/>
      <c r="V295" s="98"/>
    </row>
    <row r="296" spans="4:22" ht="12.75">
      <c r="D296" s="98"/>
      <c r="E296" s="98"/>
      <c r="F296" s="98"/>
      <c r="G296" s="98"/>
      <c r="H296" s="98"/>
      <c r="I296" s="98"/>
      <c r="J296" s="98"/>
      <c r="K296" s="98"/>
      <c r="L296" s="98"/>
      <c r="M296" s="98"/>
      <c r="N296" s="98"/>
      <c r="O296" s="98"/>
      <c r="P296" s="98"/>
      <c r="Q296" s="98"/>
      <c r="R296" s="98"/>
      <c r="S296" s="98"/>
      <c r="T296" s="98"/>
      <c r="U296" s="98"/>
      <c r="V296" s="98"/>
    </row>
    <row r="297" spans="4:22" ht="12.75">
      <c r="D297" s="98"/>
      <c r="E297" s="98"/>
      <c r="F297" s="98"/>
      <c r="G297" s="98"/>
      <c r="H297" s="98"/>
      <c r="I297" s="98"/>
      <c r="J297" s="98"/>
      <c r="K297" s="98"/>
      <c r="L297" s="98"/>
      <c r="M297" s="98"/>
      <c r="N297" s="98"/>
      <c r="O297" s="98"/>
      <c r="P297" s="98"/>
      <c r="Q297" s="98"/>
      <c r="R297" s="98"/>
      <c r="S297" s="98"/>
      <c r="T297" s="98"/>
      <c r="U297" s="98"/>
      <c r="V297" s="98"/>
    </row>
    <row r="298" spans="4:22" ht="12.75">
      <c r="D298" s="98"/>
      <c r="E298" s="98"/>
      <c r="F298" s="98"/>
      <c r="G298" s="98"/>
      <c r="H298" s="98"/>
      <c r="I298" s="98"/>
      <c r="J298" s="98"/>
      <c r="K298" s="98"/>
      <c r="L298" s="98"/>
      <c r="M298" s="98"/>
      <c r="N298" s="98"/>
      <c r="O298" s="98"/>
      <c r="P298" s="98"/>
      <c r="Q298" s="98"/>
      <c r="R298" s="98"/>
      <c r="S298" s="98"/>
      <c r="T298" s="98"/>
      <c r="U298" s="98"/>
      <c r="V298" s="98"/>
    </row>
    <row r="299" spans="4:22" ht="12.75">
      <c r="D299" s="98"/>
      <c r="E299" s="98"/>
      <c r="F299" s="98"/>
      <c r="G299" s="98"/>
      <c r="H299" s="98"/>
      <c r="I299" s="98"/>
      <c r="J299" s="98"/>
      <c r="K299" s="98"/>
      <c r="L299" s="98"/>
      <c r="M299" s="98"/>
      <c r="N299" s="98"/>
      <c r="O299" s="98"/>
      <c r="P299" s="98"/>
      <c r="Q299" s="98"/>
      <c r="R299" s="98"/>
      <c r="S299" s="98"/>
      <c r="T299" s="98"/>
      <c r="U299" s="98"/>
      <c r="V299" s="98"/>
    </row>
    <row r="300" spans="4:22" ht="12.75">
      <c r="D300" s="98"/>
      <c r="E300" s="98"/>
      <c r="F300" s="98"/>
      <c r="G300" s="98"/>
      <c r="H300" s="98"/>
      <c r="I300" s="98"/>
      <c r="J300" s="98"/>
      <c r="K300" s="98"/>
      <c r="L300" s="98"/>
      <c r="M300" s="98"/>
      <c r="N300" s="98"/>
      <c r="O300" s="98"/>
      <c r="P300" s="98"/>
      <c r="Q300" s="98"/>
      <c r="R300" s="98"/>
      <c r="S300" s="98"/>
      <c r="T300" s="98"/>
      <c r="U300" s="98"/>
      <c r="V300" s="98"/>
    </row>
    <row r="301" spans="4:22" ht="12.75">
      <c r="D301" s="98"/>
      <c r="E301" s="98"/>
      <c r="F301" s="98"/>
      <c r="G301" s="98"/>
      <c r="H301" s="98"/>
      <c r="I301" s="98"/>
      <c r="J301" s="98"/>
      <c r="K301" s="98"/>
      <c r="L301" s="98"/>
      <c r="M301" s="98"/>
      <c r="N301" s="98"/>
      <c r="O301" s="98"/>
      <c r="P301" s="98"/>
      <c r="Q301" s="98"/>
      <c r="R301" s="98"/>
      <c r="S301" s="98"/>
      <c r="T301" s="98"/>
      <c r="U301" s="98"/>
      <c r="V301" s="98"/>
    </row>
    <row r="302" spans="4:22" ht="12.75">
      <c r="D302" s="98"/>
      <c r="E302" s="98"/>
      <c r="F302" s="98"/>
      <c r="G302" s="98"/>
      <c r="H302" s="98"/>
      <c r="I302" s="98"/>
      <c r="J302" s="98"/>
      <c r="K302" s="98"/>
      <c r="L302" s="98"/>
      <c r="M302" s="98"/>
      <c r="N302" s="98"/>
      <c r="O302" s="98"/>
      <c r="P302" s="98"/>
      <c r="Q302" s="98"/>
      <c r="R302" s="98"/>
      <c r="S302" s="98"/>
      <c r="T302" s="98"/>
      <c r="U302" s="98"/>
      <c r="V302" s="98"/>
    </row>
    <row r="303" spans="4:22" ht="12.75">
      <c r="D303" s="98"/>
      <c r="E303" s="98"/>
      <c r="F303" s="98"/>
      <c r="G303" s="98"/>
      <c r="H303" s="98"/>
      <c r="I303" s="98"/>
      <c r="J303" s="98"/>
      <c r="K303" s="98"/>
      <c r="L303" s="98"/>
      <c r="M303" s="98"/>
      <c r="N303" s="98"/>
      <c r="O303" s="98"/>
      <c r="P303" s="98"/>
      <c r="Q303" s="98"/>
      <c r="R303" s="98"/>
      <c r="S303" s="98"/>
      <c r="T303" s="98"/>
      <c r="U303" s="98"/>
      <c r="V303" s="98"/>
    </row>
    <row r="304" spans="4:22" ht="12.75">
      <c r="D304" s="98"/>
      <c r="E304" s="98"/>
      <c r="F304" s="98"/>
      <c r="G304" s="98"/>
      <c r="H304" s="98"/>
      <c r="I304" s="98"/>
      <c r="J304" s="98"/>
      <c r="K304" s="98"/>
      <c r="L304" s="98"/>
      <c r="M304" s="98"/>
      <c r="N304" s="98"/>
      <c r="O304" s="98"/>
      <c r="P304" s="98"/>
      <c r="Q304" s="98"/>
      <c r="R304" s="98"/>
      <c r="S304" s="98"/>
      <c r="T304" s="98"/>
      <c r="U304" s="98"/>
      <c r="V304" s="98"/>
    </row>
    <row r="305" spans="4:22" ht="12.75">
      <c r="D305" s="98"/>
      <c r="E305" s="98"/>
      <c r="F305" s="98"/>
      <c r="G305" s="98"/>
      <c r="H305" s="98"/>
      <c r="I305" s="98"/>
      <c r="J305" s="98"/>
      <c r="K305" s="98"/>
      <c r="L305" s="98"/>
      <c r="M305" s="98"/>
      <c r="N305" s="98"/>
      <c r="O305" s="98"/>
      <c r="P305" s="98"/>
      <c r="Q305" s="98"/>
      <c r="R305" s="98"/>
      <c r="S305" s="98"/>
      <c r="T305" s="98"/>
      <c r="U305" s="98"/>
      <c r="V305" s="98"/>
    </row>
    <row r="306" spans="4:22" ht="12.75">
      <c r="D306" s="98"/>
      <c r="E306" s="98"/>
      <c r="F306" s="98"/>
      <c r="G306" s="98"/>
      <c r="H306" s="98"/>
      <c r="I306" s="98"/>
      <c r="J306" s="98"/>
      <c r="K306" s="98"/>
      <c r="L306" s="98"/>
      <c r="M306" s="98"/>
      <c r="N306" s="98"/>
      <c r="O306" s="98"/>
      <c r="P306" s="98"/>
      <c r="Q306" s="98"/>
      <c r="R306" s="98"/>
      <c r="S306" s="98"/>
      <c r="T306" s="98"/>
      <c r="U306" s="98"/>
      <c r="V306" s="98"/>
    </row>
    <row r="307" spans="4:22" ht="12.75">
      <c r="D307" s="98"/>
      <c r="E307" s="98"/>
      <c r="F307" s="98"/>
      <c r="G307" s="98"/>
      <c r="H307" s="98"/>
      <c r="I307" s="98"/>
      <c r="J307" s="98"/>
      <c r="K307" s="98"/>
      <c r="L307" s="98"/>
      <c r="M307" s="98"/>
      <c r="N307" s="98"/>
      <c r="O307" s="98"/>
      <c r="P307" s="98"/>
      <c r="Q307" s="98"/>
      <c r="R307" s="98"/>
      <c r="S307" s="98"/>
      <c r="T307" s="98"/>
      <c r="U307" s="98"/>
      <c r="V307" s="98"/>
    </row>
    <row r="308" spans="4:22" ht="12.75">
      <c r="D308" s="98"/>
      <c r="E308" s="98"/>
      <c r="F308" s="98"/>
      <c r="G308" s="98"/>
      <c r="H308" s="98"/>
      <c r="I308" s="98"/>
      <c r="J308" s="98"/>
      <c r="K308" s="98"/>
      <c r="L308" s="98"/>
      <c r="M308" s="98"/>
      <c r="N308" s="98"/>
      <c r="O308" s="98"/>
      <c r="P308" s="98"/>
      <c r="Q308" s="98"/>
      <c r="R308" s="98"/>
      <c r="S308" s="98"/>
      <c r="T308" s="98"/>
      <c r="U308" s="98"/>
      <c r="V308" s="98"/>
    </row>
    <row r="309" spans="4:22" ht="12.75">
      <c r="D309" s="98"/>
      <c r="E309" s="98"/>
      <c r="F309" s="98"/>
      <c r="G309" s="98"/>
      <c r="H309" s="98"/>
      <c r="I309" s="98"/>
      <c r="J309" s="98"/>
      <c r="K309" s="98"/>
      <c r="L309" s="98"/>
      <c r="M309" s="98"/>
      <c r="N309" s="98"/>
      <c r="O309" s="98"/>
      <c r="P309" s="98"/>
      <c r="Q309" s="98"/>
      <c r="R309" s="98"/>
      <c r="S309" s="98"/>
      <c r="T309" s="98"/>
      <c r="U309" s="98"/>
      <c r="V309" s="98"/>
    </row>
    <row r="310" spans="4:22" ht="12.75">
      <c r="D310" s="98"/>
      <c r="E310" s="98"/>
      <c r="F310" s="98"/>
      <c r="G310" s="98"/>
      <c r="H310" s="98"/>
      <c r="I310" s="98"/>
      <c r="J310" s="98"/>
      <c r="K310" s="98"/>
      <c r="L310" s="98"/>
      <c r="M310" s="98"/>
      <c r="N310" s="98"/>
      <c r="O310" s="98"/>
      <c r="P310" s="98"/>
      <c r="Q310" s="98"/>
      <c r="R310" s="98"/>
      <c r="S310" s="98"/>
      <c r="T310" s="98"/>
      <c r="U310" s="98"/>
      <c r="V310" s="98"/>
    </row>
    <row r="311" spans="4:22" ht="12.75">
      <c r="D311" s="98"/>
      <c r="E311" s="98"/>
      <c r="F311" s="98"/>
      <c r="G311" s="98"/>
      <c r="H311" s="98"/>
      <c r="I311" s="98"/>
      <c r="J311" s="98"/>
      <c r="K311" s="98"/>
      <c r="L311" s="98"/>
      <c r="M311" s="98"/>
      <c r="N311" s="98"/>
      <c r="O311" s="98"/>
      <c r="P311" s="98"/>
      <c r="Q311" s="98"/>
      <c r="R311" s="98"/>
      <c r="S311" s="98"/>
      <c r="T311" s="98"/>
      <c r="U311" s="98"/>
      <c r="V311" s="98"/>
    </row>
    <row r="312" spans="4:22" ht="12.75">
      <c r="D312" s="98"/>
      <c r="E312" s="98"/>
      <c r="F312" s="98"/>
      <c r="G312" s="98"/>
      <c r="H312" s="98"/>
      <c r="I312" s="98"/>
      <c r="J312" s="98"/>
      <c r="K312" s="98"/>
      <c r="L312" s="98"/>
      <c r="M312" s="98"/>
      <c r="N312" s="98"/>
      <c r="O312" s="98"/>
      <c r="P312" s="98"/>
      <c r="Q312" s="98"/>
      <c r="R312" s="98"/>
      <c r="S312" s="98"/>
      <c r="T312" s="98"/>
      <c r="U312" s="98"/>
      <c r="V312" s="98"/>
    </row>
    <row r="313" spans="4:22" ht="12.75">
      <c r="D313" s="98"/>
      <c r="E313" s="98"/>
      <c r="F313" s="98"/>
      <c r="G313" s="98"/>
      <c r="H313" s="98"/>
      <c r="I313" s="98"/>
      <c r="J313" s="98"/>
      <c r="K313" s="98"/>
      <c r="L313" s="98"/>
      <c r="M313" s="98"/>
      <c r="N313" s="98"/>
      <c r="O313" s="98"/>
      <c r="P313" s="98"/>
      <c r="Q313" s="98"/>
      <c r="R313" s="98"/>
      <c r="S313" s="98"/>
      <c r="T313" s="98"/>
      <c r="U313" s="98"/>
      <c r="V313" s="98"/>
    </row>
    <row r="314" spans="4:22" ht="12.75">
      <c r="D314" s="98"/>
      <c r="E314" s="98"/>
      <c r="F314" s="98"/>
      <c r="G314" s="98"/>
      <c r="H314" s="98"/>
      <c r="I314" s="98"/>
      <c r="J314" s="98"/>
      <c r="K314" s="98"/>
      <c r="L314" s="98"/>
      <c r="M314" s="98"/>
      <c r="N314" s="98"/>
      <c r="O314" s="98"/>
      <c r="P314" s="98"/>
      <c r="Q314" s="98"/>
      <c r="R314" s="98"/>
      <c r="S314" s="98"/>
      <c r="T314" s="98"/>
      <c r="U314" s="98"/>
      <c r="V314" s="98"/>
    </row>
    <row r="315" spans="4:22" ht="12.75">
      <c r="D315" s="98"/>
      <c r="E315" s="98"/>
      <c r="F315" s="98"/>
      <c r="G315" s="98"/>
      <c r="H315" s="98"/>
      <c r="I315" s="98"/>
      <c r="J315" s="98"/>
      <c r="K315" s="98"/>
      <c r="L315" s="98"/>
      <c r="M315" s="98"/>
      <c r="N315" s="98"/>
      <c r="O315" s="98"/>
      <c r="P315" s="98"/>
      <c r="Q315" s="98"/>
      <c r="R315" s="98"/>
      <c r="S315" s="98"/>
      <c r="T315" s="98"/>
      <c r="U315" s="98"/>
      <c r="V315" s="98"/>
    </row>
    <row r="316" spans="4:22" ht="12.75">
      <c r="D316" s="98"/>
      <c r="E316" s="98"/>
      <c r="F316" s="98"/>
      <c r="G316" s="98"/>
      <c r="H316" s="98"/>
      <c r="I316" s="98"/>
      <c r="J316" s="98"/>
      <c r="K316" s="98"/>
      <c r="L316" s="98"/>
      <c r="M316" s="98"/>
      <c r="N316" s="98"/>
      <c r="O316" s="98"/>
      <c r="P316" s="98"/>
      <c r="Q316" s="98"/>
      <c r="R316" s="98"/>
      <c r="S316" s="98"/>
      <c r="T316" s="98"/>
      <c r="U316" s="98"/>
      <c r="V316" s="98"/>
    </row>
    <row r="317" spans="4:22" ht="12.75">
      <c r="D317" s="98"/>
      <c r="E317" s="98"/>
      <c r="F317" s="98"/>
      <c r="G317" s="98"/>
      <c r="H317" s="98"/>
      <c r="I317" s="98"/>
      <c r="J317" s="98"/>
      <c r="K317" s="98"/>
      <c r="L317" s="98"/>
      <c r="M317" s="98"/>
      <c r="N317" s="98"/>
      <c r="O317" s="98"/>
      <c r="P317" s="98"/>
      <c r="Q317" s="98"/>
      <c r="R317" s="98"/>
      <c r="S317" s="98"/>
      <c r="T317" s="98"/>
      <c r="U317" s="98"/>
      <c r="V317" s="98"/>
    </row>
    <row r="318" spans="4:22" ht="12.75">
      <c r="D318" s="98"/>
      <c r="E318" s="98"/>
      <c r="F318" s="98"/>
      <c r="G318" s="98"/>
      <c r="H318" s="98"/>
      <c r="I318" s="98"/>
      <c r="J318" s="98"/>
      <c r="K318" s="98"/>
      <c r="L318" s="98"/>
      <c r="M318" s="98"/>
      <c r="N318" s="98"/>
      <c r="O318" s="98"/>
      <c r="P318" s="98"/>
      <c r="Q318" s="98"/>
      <c r="R318" s="98"/>
      <c r="S318" s="98"/>
      <c r="T318" s="98"/>
      <c r="U318" s="98"/>
      <c r="V318" s="98"/>
    </row>
    <row r="319" spans="4:22" ht="12.75">
      <c r="D319" s="98"/>
      <c r="E319" s="98"/>
      <c r="F319" s="98"/>
      <c r="G319" s="98"/>
      <c r="H319" s="98"/>
      <c r="I319" s="98"/>
      <c r="J319" s="98"/>
      <c r="K319" s="98"/>
      <c r="L319" s="98"/>
      <c r="M319" s="98"/>
      <c r="N319" s="98"/>
      <c r="O319" s="98"/>
      <c r="P319" s="98"/>
      <c r="Q319" s="98"/>
      <c r="R319" s="98"/>
      <c r="S319" s="98"/>
      <c r="T319" s="98"/>
      <c r="U319" s="98"/>
      <c r="V319" s="98"/>
    </row>
    <row r="320" spans="4:22" ht="12.75">
      <c r="D320" s="98"/>
      <c r="E320" s="98"/>
      <c r="F320" s="98"/>
      <c r="G320" s="98"/>
      <c r="H320" s="98"/>
      <c r="I320" s="98"/>
      <c r="J320" s="98"/>
      <c r="K320" s="98"/>
      <c r="L320" s="98"/>
      <c r="M320" s="98"/>
      <c r="N320" s="98"/>
      <c r="O320" s="98"/>
      <c r="P320" s="98"/>
      <c r="Q320" s="98"/>
      <c r="R320" s="98"/>
      <c r="S320" s="98"/>
      <c r="T320" s="98"/>
      <c r="U320" s="98"/>
      <c r="V320" s="98"/>
    </row>
    <row r="321" spans="4:22" ht="12.75">
      <c r="D321" s="98"/>
      <c r="E321" s="98"/>
      <c r="F321" s="98"/>
      <c r="G321" s="98"/>
      <c r="H321" s="98"/>
      <c r="I321" s="98"/>
      <c r="J321" s="98"/>
      <c r="K321" s="98"/>
      <c r="L321" s="98"/>
      <c r="M321" s="98"/>
      <c r="N321" s="98"/>
      <c r="O321" s="98"/>
      <c r="P321" s="98"/>
      <c r="Q321" s="98"/>
      <c r="R321" s="98"/>
      <c r="S321" s="98"/>
      <c r="T321" s="98"/>
      <c r="U321" s="98"/>
      <c r="V321" s="98"/>
    </row>
    <row r="322" spans="4:22" ht="12.75">
      <c r="D322" s="98"/>
      <c r="E322" s="98"/>
      <c r="F322" s="98"/>
      <c r="G322" s="98"/>
      <c r="H322" s="98"/>
      <c r="I322" s="98"/>
      <c r="J322" s="98"/>
      <c r="K322" s="98"/>
      <c r="L322" s="98"/>
      <c r="M322" s="98"/>
      <c r="N322" s="98"/>
      <c r="O322" s="98"/>
      <c r="P322" s="98"/>
      <c r="Q322" s="98"/>
      <c r="R322" s="98"/>
      <c r="S322" s="98"/>
      <c r="T322" s="98"/>
      <c r="U322" s="98"/>
      <c r="V322" s="98"/>
    </row>
    <row r="323" spans="4:22" ht="12.75">
      <c r="D323" s="98"/>
      <c r="E323" s="98"/>
      <c r="F323" s="98"/>
      <c r="G323" s="98"/>
      <c r="H323" s="98"/>
      <c r="I323" s="98"/>
      <c r="J323" s="98"/>
      <c r="K323" s="98"/>
      <c r="L323" s="98"/>
      <c r="M323" s="98"/>
      <c r="N323" s="98"/>
      <c r="O323" s="98"/>
      <c r="P323" s="98"/>
      <c r="Q323" s="98"/>
      <c r="R323" s="98"/>
      <c r="S323" s="98"/>
      <c r="T323" s="98"/>
      <c r="U323" s="98"/>
      <c r="V323" s="98"/>
    </row>
    <row r="324" spans="4:22" ht="12.75">
      <c r="D324" s="98"/>
      <c r="E324" s="98"/>
      <c r="F324" s="98"/>
      <c r="G324" s="98"/>
      <c r="H324" s="98"/>
      <c r="I324" s="98"/>
      <c r="J324" s="98"/>
      <c r="K324" s="98"/>
      <c r="L324" s="98"/>
      <c r="M324" s="98"/>
      <c r="N324" s="98"/>
      <c r="O324" s="98"/>
      <c r="P324" s="98"/>
      <c r="Q324" s="98"/>
      <c r="R324" s="98"/>
      <c r="S324" s="98"/>
      <c r="T324" s="98"/>
      <c r="U324" s="98"/>
      <c r="V324" s="98"/>
    </row>
    <row r="325" spans="4:22" ht="12.75">
      <c r="D325" s="98"/>
      <c r="E325" s="98"/>
      <c r="F325" s="98"/>
      <c r="G325" s="98"/>
      <c r="H325" s="98"/>
      <c r="I325" s="98"/>
      <c r="J325" s="98"/>
      <c r="K325" s="98"/>
      <c r="L325" s="98"/>
      <c r="M325" s="98"/>
      <c r="N325" s="98"/>
      <c r="O325" s="98"/>
      <c r="P325" s="98"/>
      <c r="Q325" s="98"/>
      <c r="R325" s="98"/>
      <c r="S325" s="98"/>
      <c r="T325" s="98"/>
      <c r="U325" s="98"/>
      <c r="V325" s="98"/>
    </row>
    <row r="326" spans="4:22" ht="12.75">
      <c r="D326" s="98"/>
      <c r="E326" s="98"/>
      <c r="F326" s="98"/>
      <c r="G326" s="98"/>
      <c r="H326" s="98"/>
      <c r="I326" s="98"/>
      <c r="J326" s="98"/>
      <c r="K326" s="98"/>
      <c r="L326" s="98"/>
      <c r="M326" s="98"/>
      <c r="N326" s="98"/>
      <c r="O326" s="98"/>
      <c r="P326" s="98"/>
      <c r="Q326" s="98"/>
      <c r="R326" s="98"/>
      <c r="S326" s="98"/>
      <c r="T326" s="98"/>
      <c r="U326" s="98"/>
      <c r="V326" s="98"/>
    </row>
    <row r="327" spans="4:22" ht="12.75">
      <c r="D327" s="98"/>
      <c r="E327" s="98"/>
      <c r="F327" s="98"/>
      <c r="G327" s="98"/>
      <c r="H327" s="98"/>
      <c r="I327" s="98"/>
      <c r="J327" s="98"/>
      <c r="K327" s="98"/>
      <c r="L327" s="98"/>
      <c r="M327" s="98"/>
      <c r="N327" s="98"/>
      <c r="O327" s="98"/>
      <c r="P327" s="98"/>
      <c r="Q327" s="98"/>
      <c r="R327" s="98"/>
      <c r="S327" s="98"/>
      <c r="T327" s="98"/>
      <c r="U327" s="98"/>
      <c r="V327" s="98"/>
    </row>
    <row r="328" spans="4:22" ht="12.75">
      <c r="D328" s="98"/>
      <c r="E328" s="98"/>
      <c r="F328" s="98"/>
      <c r="G328" s="98"/>
      <c r="H328" s="98"/>
      <c r="I328" s="98"/>
      <c r="J328" s="98"/>
      <c r="K328" s="98"/>
      <c r="L328" s="98"/>
      <c r="M328" s="98"/>
      <c r="N328" s="98"/>
      <c r="O328" s="98"/>
      <c r="P328" s="98"/>
      <c r="Q328" s="98"/>
      <c r="R328" s="98"/>
      <c r="S328" s="98"/>
      <c r="T328" s="98"/>
      <c r="U328" s="98"/>
      <c r="V328" s="98"/>
    </row>
    <row r="329" spans="4:22" ht="12.75">
      <c r="D329" s="98"/>
      <c r="E329" s="98"/>
      <c r="F329" s="98"/>
      <c r="G329" s="98"/>
      <c r="H329" s="98"/>
      <c r="I329" s="98"/>
      <c r="J329" s="98"/>
      <c r="K329" s="98"/>
      <c r="L329" s="98"/>
      <c r="M329" s="98"/>
      <c r="N329" s="98"/>
      <c r="O329" s="98"/>
      <c r="P329" s="98"/>
      <c r="Q329" s="98"/>
      <c r="R329" s="98"/>
      <c r="S329" s="98"/>
      <c r="T329" s="98"/>
      <c r="U329" s="98"/>
      <c r="V329" s="98"/>
    </row>
    <row r="330" spans="4:22" ht="12.75">
      <c r="D330" s="98"/>
      <c r="E330" s="98"/>
      <c r="F330" s="98"/>
      <c r="G330" s="98"/>
      <c r="H330" s="98"/>
      <c r="I330" s="98"/>
      <c r="J330" s="98"/>
      <c r="K330" s="98"/>
      <c r="L330" s="98"/>
      <c r="M330" s="98"/>
      <c r="N330" s="98"/>
      <c r="O330" s="98"/>
      <c r="P330" s="98"/>
      <c r="Q330" s="98"/>
      <c r="R330" s="98"/>
      <c r="S330" s="98"/>
      <c r="T330" s="98"/>
      <c r="U330" s="98"/>
      <c r="V330" s="98"/>
    </row>
    <row r="331" spans="4:22" ht="12.75">
      <c r="D331" s="98"/>
      <c r="E331" s="98"/>
      <c r="F331" s="98"/>
      <c r="G331" s="98"/>
      <c r="H331" s="98"/>
      <c r="I331" s="98"/>
      <c r="J331" s="98"/>
      <c r="K331" s="98"/>
      <c r="L331" s="98"/>
      <c r="M331" s="98"/>
      <c r="N331" s="98"/>
      <c r="O331" s="98"/>
      <c r="P331" s="98"/>
      <c r="Q331" s="98"/>
      <c r="R331" s="98"/>
      <c r="S331" s="98"/>
      <c r="T331" s="98"/>
      <c r="U331" s="98"/>
      <c r="V331" s="98"/>
    </row>
    <row r="332" spans="4:22" ht="12.75">
      <c r="D332" s="98"/>
      <c r="E332" s="98"/>
      <c r="F332" s="98"/>
      <c r="G332" s="98"/>
      <c r="H332" s="98"/>
      <c r="I332" s="98"/>
      <c r="J332" s="98"/>
      <c r="K332" s="98"/>
      <c r="L332" s="98"/>
      <c r="M332" s="98"/>
      <c r="N332" s="98"/>
      <c r="O332" s="98"/>
      <c r="P332" s="98"/>
      <c r="Q332" s="98"/>
      <c r="R332" s="98"/>
      <c r="S332" s="98"/>
      <c r="T332" s="98"/>
      <c r="U332" s="98"/>
      <c r="V332" s="98"/>
    </row>
    <row r="333" spans="4:22" ht="12.75">
      <c r="D333" s="98"/>
      <c r="E333" s="98"/>
      <c r="F333" s="98"/>
      <c r="G333" s="98"/>
      <c r="H333" s="98"/>
      <c r="I333" s="98"/>
      <c r="J333" s="98"/>
      <c r="K333" s="98"/>
      <c r="L333" s="98"/>
      <c r="M333" s="98"/>
      <c r="N333" s="98"/>
      <c r="O333" s="98"/>
      <c r="P333" s="98"/>
      <c r="Q333" s="98"/>
      <c r="R333" s="98"/>
      <c r="S333" s="98"/>
      <c r="T333" s="98"/>
      <c r="U333" s="98"/>
      <c r="V333" s="98"/>
    </row>
    <row r="334" spans="4:22" ht="12.75">
      <c r="D334" s="98"/>
      <c r="E334" s="98"/>
      <c r="F334" s="98"/>
      <c r="G334" s="98"/>
      <c r="H334" s="98"/>
      <c r="I334" s="98"/>
      <c r="J334" s="98"/>
      <c r="K334" s="98"/>
      <c r="L334" s="98"/>
      <c r="M334" s="98"/>
      <c r="N334" s="98"/>
      <c r="O334" s="98"/>
      <c r="P334" s="98"/>
      <c r="Q334" s="98"/>
      <c r="R334" s="98"/>
      <c r="S334" s="98"/>
      <c r="T334" s="98"/>
      <c r="U334" s="98"/>
      <c r="V334" s="98"/>
    </row>
    <row r="335" spans="4:22" ht="12.75">
      <c r="D335" s="98"/>
      <c r="E335" s="98"/>
      <c r="F335" s="98"/>
      <c r="G335" s="98"/>
      <c r="H335" s="98"/>
      <c r="I335" s="98"/>
      <c r="J335" s="98"/>
      <c r="K335" s="98"/>
      <c r="L335" s="98"/>
      <c r="M335" s="98"/>
      <c r="N335" s="98"/>
      <c r="O335" s="98"/>
      <c r="P335" s="98"/>
      <c r="Q335" s="98"/>
      <c r="R335" s="98"/>
      <c r="S335" s="98"/>
      <c r="T335" s="98"/>
      <c r="U335" s="98"/>
      <c r="V335" s="98"/>
    </row>
    <row r="336" spans="4:22" ht="12.75">
      <c r="D336" s="98"/>
      <c r="E336" s="98"/>
      <c r="F336" s="98"/>
      <c r="G336" s="98"/>
      <c r="H336" s="98"/>
      <c r="I336" s="98"/>
      <c r="J336" s="98"/>
      <c r="K336" s="98"/>
      <c r="L336" s="98"/>
      <c r="M336" s="98"/>
      <c r="N336" s="98"/>
      <c r="O336" s="98"/>
      <c r="P336" s="98"/>
      <c r="Q336" s="98"/>
      <c r="R336" s="98"/>
      <c r="S336" s="98"/>
      <c r="T336" s="98"/>
      <c r="U336" s="98"/>
      <c r="V336" s="98"/>
    </row>
    <row r="337" spans="4:22" ht="12.75">
      <c r="D337" s="98"/>
      <c r="E337" s="98"/>
      <c r="F337" s="98"/>
      <c r="G337" s="98"/>
      <c r="H337" s="98"/>
      <c r="I337" s="98"/>
      <c r="J337" s="98"/>
      <c r="K337" s="98"/>
      <c r="L337" s="98"/>
      <c r="M337" s="98"/>
      <c r="N337" s="98"/>
      <c r="O337" s="98"/>
      <c r="P337" s="98"/>
      <c r="Q337" s="98"/>
      <c r="R337" s="98"/>
      <c r="S337" s="98"/>
      <c r="T337" s="98"/>
      <c r="U337" s="98"/>
      <c r="V337" s="98"/>
    </row>
    <row r="338" spans="4:22" ht="12.75">
      <c r="D338" s="98"/>
      <c r="E338" s="98"/>
      <c r="F338" s="98"/>
      <c r="G338" s="98"/>
      <c r="H338" s="98"/>
      <c r="I338" s="98"/>
      <c r="J338" s="98"/>
      <c r="K338" s="98"/>
      <c r="L338" s="98"/>
      <c r="M338" s="98"/>
      <c r="N338" s="98"/>
      <c r="O338" s="98"/>
      <c r="P338" s="98"/>
      <c r="Q338" s="98"/>
      <c r="R338" s="98"/>
      <c r="S338" s="98"/>
      <c r="T338" s="98"/>
      <c r="U338" s="98"/>
      <c r="V338" s="98"/>
    </row>
    <row r="339" spans="4:22" ht="12.75">
      <c r="D339" s="98"/>
      <c r="E339" s="98"/>
      <c r="F339" s="98"/>
      <c r="G339" s="98"/>
      <c r="H339" s="98"/>
      <c r="I339" s="98"/>
      <c r="J339" s="98"/>
      <c r="K339" s="98"/>
      <c r="L339" s="98"/>
      <c r="M339" s="98"/>
      <c r="N339" s="98"/>
      <c r="O339" s="98"/>
      <c r="P339" s="98"/>
      <c r="Q339" s="98"/>
      <c r="R339" s="98"/>
      <c r="S339" s="98"/>
      <c r="T339" s="98"/>
      <c r="U339" s="98"/>
      <c r="V339" s="98"/>
    </row>
    <row r="340" spans="4:22" ht="12.75">
      <c r="D340" s="98"/>
      <c r="E340" s="98"/>
      <c r="F340" s="98"/>
      <c r="G340" s="98"/>
      <c r="H340" s="98"/>
      <c r="I340" s="98"/>
      <c r="J340" s="98"/>
      <c r="K340" s="98"/>
      <c r="L340" s="98"/>
      <c r="M340" s="98"/>
      <c r="N340" s="98"/>
      <c r="O340" s="98"/>
      <c r="P340" s="98"/>
      <c r="Q340" s="98"/>
      <c r="R340" s="98"/>
      <c r="S340" s="98"/>
      <c r="T340" s="98"/>
      <c r="U340" s="98"/>
      <c r="V340" s="98"/>
    </row>
    <row r="341" spans="4:22" ht="12.75">
      <c r="D341" s="98"/>
      <c r="E341" s="98"/>
      <c r="F341" s="98"/>
      <c r="G341" s="98"/>
      <c r="H341" s="98"/>
      <c r="I341" s="98"/>
      <c r="J341" s="98"/>
      <c r="K341" s="98"/>
      <c r="L341" s="98"/>
      <c r="M341" s="98"/>
      <c r="N341" s="98"/>
      <c r="O341" s="98"/>
      <c r="P341" s="98"/>
      <c r="Q341" s="98"/>
      <c r="R341" s="98"/>
      <c r="S341" s="98"/>
      <c r="T341" s="98"/>
      <c r="U341" s="98"/>
      <c r="V341" s="98"/>
    </row>
    <row r="342" spans="4:22" ht="12.75">
      <c r="D342" s="98"/>
      <c r="E342" s="98"/>
      <c r="F342" s="98"/>
      <c r="G342" s="98"/>
      <c r="H342" s="98"/>
      <c r="I342" s="98"/>
      <c r="J342" s="98"/>
      <c r="K342" s="98"/>
      <c r="L342" s="98"/>
      <c r="M342" s="98"/>
      <c r="N342" s="98"/>
      <c r="O342" s="98"/>
      <c r="P342" s="98"/>
      <c r="Q342" s="98"/>
      <c r="R342" s="98"/>
      <c r="S342" s="98"/>
      <c r="T342" s="98"/>
      <c r="U342" s="98"/>
      <c r="V342" s="98"/>
    </row>
    <row r="343" spans="4:22" ht="12.75">
      <c r="D343" s="98"/>
      <c r="E343" s="98"/>
      <c r="F343" s="98"/>
      <c r="G343" s="98"/>
      <c r="H343" s="98"/>
      <c r="I343" s="98"/>
      <c r="J343" s="98"/>
      <c r="K343" s="98"/>
      <c r="L343" s="98"/>
      <c r="M343" s="98"/>
      <c r="N343" s="98"/>
      <c r="O343" s="98"/>
      <c r="P343" s="98"/>
      <c r="Q343" s="98"/>
      <c r="R343" s="98"/>
      <c r="S343" s="98"/>
      <c r="T343" s="98"/>
      <c r="U343" s="98"/>
      <c r="V343" s="98"/>
    </row>
    <row r="344" spans="4:22" ht="12.75">
      <c r="D344" s="98"/>
      <c r="E344" s="98"/>
      <c r="F344" s="98"/>
      <c r="G344" s="98"/>
      <c r="H344" s="98"/>
      <c r="I344" s="98"/>
      <c r="J344" s="98"/>
      <c r="K344" s="98"/>
      <c r="L344" s="98"/>
      <c r="M344" s="98"/>
      <c r="N344" s="98"/>
      <c r="O344" s="98"/>
      <c r="P344" s="98"/>
      <c r="Q344" s="98"/>
      <c r="R344" s="98"/>
      <c r="S344" s="98"/>
      <c r="T344" s="98"/>
      <c r="U344" s="98"/>
      <c r="V344" s="98"/>
    </row>
    <row r="345" spans="4:22" ht="12.75">
      <c r="D345" s="98"/>
      <c r="E345" s="98"/>
      <c r="F345" s="98"/>
      <c r="G345" s="98"/>
      <c r="H345" s="98"/>
      <c r="I345" s="98"/>
      <c r="J345" s="98"/>
      <c r="K345" s="98"/>
      <c r="L345" s="98"/>
      <c r="M345" s="98"/>
      <c r="N345" s="98"/>
      <c r="O345" s="98"/>
      <c r="P345" s="98"/>
      <c r="Q345" s="98"/>
      <c r="R345" s="98"/>
      <c r="S345" s="98"/>
      <c r="T345" s="98"/>
      <c r="U345" s="98"/>
      <c r="V345" s="98"/>
    </row>
    <row r="346" spans="4:22" ht="12.75">
      <c r="D346" s="98"/>
      <c r="E346" s="98"/>
      <c r="F346" s="98"/>
      <c r="G346" s="98"/>
      <c r="H346" s="98"/>
      <c r="I346" s="98"/>
      <c r="J346" s="98"/>
      <c r="K346" s="98"/>
      <c r="L346" s="98"/>
      <c r="M346" s="98"/>
      <c r="N346" s="98"/>
      <c r="O346" s="98"/>
      <c r="P346" s="98"/>
      <c r="Q346" s="98"/>
      <c r="R346" s="98"/>
      <c r="S346" s="98"/>
      <c r="T346" s="98"/>
      <c r="U346" s="98"/>
      <c r="V346" s="98"/>
    </row>
    <row r="347" spans="4:22" ht="12.75">
      <c r="D347" s="98"/>
      <c r="E347" s="98"/>
      <c r="F347" s="98"/>
      <c r="G347" s="98"/>
      <c r="H347" s="98"/>
      <c r="I347" s="98"/>
      <c r="J347" s="98"/>
      <c r="K347" s="98"/>
      <c r="L347" s="98"/>
      <c r="M347" s="98"/>
      <c r="N347" s="98"/>
      <c r="O347" s="98"/>
      <c r="P347" s="98"/>
      <c r="Q347" s="98"/>
      <c r="R347" s="98"/>
      <c r="S347" s="98"/>
      <c r="T347" s="98"/>
      <c r="U347" s="98"/>
      <c r="V347" s="98"/>
    </row>
    <row r="348" spans="4:22" ht="12.75">
      <c r="D348" s="98"/>
      <c r="E348" s="98"/>
      <c r="F348" s="98"/>
      <c r="G348" s="98"/>
      <c r="H348" s="98"/>
      <c r="I348" s="98"/>
      <c r="J348" s="98"/>
      <c r="K348" s="98"/>
      <c r="L348" s="98"/>
      <c r="M348" s="98"/>
      <c r="N348" s="98"/>
      <c r="O348" s="98"/>
      <c r="P348" s="98"/>
      <c r="Q348" s="98"/>
      <c r="R348" s="98"/>
      <c r="S348" s="98"/>
      <c r="T348" s="98"/>
      <c r="U348" s="98"/>
      <c r="V348" s="98"/>
    </row>
    <row r="349" spans="4:22" ht="12.75">
      <c r="D349" s="98"/>
      <c r="E349" s="98"/>
      <c r="F349" s="98"/>
      <c r="G349" s="98"/>
      <c r="H349" s="98"/>
      <c r="I349" s="98"/>
      <c r="J349" s="98"/>
      <c r="K349" s="98"/>
      <c r="L349" s="98"/>
      <c r="M349" s="98"/>
      <c r="N349" s="98"/>
      <c r="O349" s="98"/>
      <c r="P349" s="98"/>
      <c r="Q349" s="98"/>
      <c r="R349" s="98"/>
      <c r="S349" s="98"/>
      <c r="T349" s="98"/>
      <c r="U349" s="98"/>
      <c r="V349" s="98"/>
    </row>
    <row r="350" spans="4:22" ht="12.75">
      <c r="D350" s="98"/>
      <c r="E350" s="98"/>
      <c r="F350" s="98"/>
      <c r="G350" s="98"/>
      <c r="H350" s="98"/>
      <c r="I350" s="98"/>
      <c r="J350" s="98"/>
      <c r="K350" s="98"/>
      <c r="L350" s="98"/>
      <c r="M350" s="98"/>
      <c r="N350" s="98"/>
      <c r="O350" s="98"/>
      <c r="P350" s="98"/>
      <c r="Q350" s="98"/>
      <c r="R350" s="98"/>
      <c r="S350" s="98"/>
      <c r="T350" s="98"/>
      <c r="U350" s="98"/>
      <c r="V350" s="98"/>
    </row>
    <row r="351" spans="4:22" ht="12.75">
      <c r="D351" s="98"/>
      <c r="E351" s="98"/>
      <c r="F351" s="98"/>
      <c r="G351" s="98"/>
      <c r="H351" s="98"/>
      <c r="I351" s="98"/>
      <c r="J351" s="98"/>
      <c r="K351" s="98"/>
      <c r="L351" s="98"/>
      <c r="M351" s="98"/>
      <c r="N351" s="98"/>
      <c r="O351" s="98"/>
      <c r="P351" s="98"/>
      <c r="Q351" s="98"/>
      <c r="R351" s="98"/>
      <c r="S351" s="98"/>
      <c r="T351" s="98"/>
      <c r="U351" s="98"/>
      <c r="V351" s="98"/>
    </row>
    <row r="352" spans="4:22" ht="12.75">
      <c r="D352" s="98"/>
      <c r="E352" s="98"/>
      <c r="F352" s="98"/>
      <c r="G352" s="98"/>
      <c r="H352" s="98"/>
      <c r="I352" s="98"/>
      <c r="J352" s="98"/>
      <c r="K352" s="98"/>
      <c r="L352" s="98"/>
      <c r="M352" s="98"/>
      <c r="N352" s="98"/>
      <c r="O352" s="98"/>
      <c r="P352" s="98"/>
      <c r="Q352" s="98"/>
      <c r="R352" s="98"/>
      <c r="S352" s="98"/>
      <c r="T352" s="98"/>
      <c r="U352" s="98"/>
      <c r="V352" s="98"/>
    </row>
    <row r="353" spans="4:22" ht="12.75">
      <c r="D353" s="98"/>
      <c r="E353" s="98"/>
      <c r="F353" s="98"/>
      <c r="G353" s="98"/>
      <c r="H353" s="98"/>
      <c r="I353" s="98"/>
      <c r="J353" s="98"/>
      <c r="K353" s="98"/>
      <c r="L353" s="98"/>
      <c r="M353" s="98"/>
      <c r="N353" s="98"/>
      <c r="O353" s="98"/>
      <c r="P353" s="98"/>
      <c r="Q353" s="98"/>
      <c r="R353" s="98"/>
      <c r="S353" s="98"/>
      <c r="T353" s="98"/>
      <c r="U353" s="98"/>
      <c r="V353" s="98"/>
    </row>
    <row r="354" spans="4:22" ht="12.75">
      <c r="D354" s="98"/>
      <c r="E354" s="98"/>
      <c r="F354" s="98"/>
      <c r="G354" s="98"/>
      <c r="H354" s="98"/>
      <c r="I354" s="98"/>
      <c r="J354" s="98"/>
      <c r="K354" s="98"/>
      <c r="L354" s="98"/>
      <c r="M354" s="98"/>
      <c r="N354" s="98"/>
      <c r="O354" s="98"/>
      <c r="P354" s="98"/>
      <c r="Q354" s="98"/>
      <c r="R354" s="98"/>
      <c r="S354" s="98"/>
      <c r="T354" s="98"/>
      <c r="U354" s="98"/>
      <c r="V354" s="98"/>
    </row>
    <row r="355" spans="4:22" ht="12.75">
      <c r="D355" s="98"/>
      <c r="E355" s="98"/>
      <c r="F355" s="98"/>
      <c r="G355" s="98"/>
      <c r="H355" s="98"/>
      <c r="I355" s="98"/>
      <c r="J355" s="98"/>
      <c r="K355" s="98"/>
      <c r="L355" s="98"/>
      <c r="M355" s="98"/>
      <c r="N355" s="98"/>
      <c r="O355" s="98"/>
      <c r="P355" s="98"/>
      <c r="Q355" s="98"/>
      <c r="R355" s="98"/>
      <c r="S355" s="98"/>
      <c r="T355" s="98"/>
      <c r="U355" s="98"/>
      <c r="V355" s="98"/>
    </row>
    <row r="356" spans="4:22" ht="12.75">
      <c r="D356" s="98"/>
      <c r="E356" s="98"/>
      <c r="F356" s="98"/>
      <c r="G356" s="98"/>
      <c r="H356" s="98"/>
      <c r="I356" s="98"/>
      <c r="J356" s="98"/>
      <c r="K356" s="98"/>
      <c r="L356" s="98"/>
      <c r="M356" s="98"/>
      <c r="N356" s="98"/>
      <c r="O356" s="98"/>
      <c r="P356" s="98"/>
      <c r="Q356" s="98"/>
      <c r="R356" s="98"/>
      <c r="S356" s="98"/>
      <c r="T356" s="98"/>
      <c r="U356" s="98"/>
      <c r="V356" s="98"/>
    </row>
    <row r="357" spans="4:22" ht="12.75">
      <c r="D357" s="98"/>
      <c r="E357" s="98"/>
      <c r="F357" s="98"/>
      <c r="G357" s="98"/>
      <c r="H357" s="98"/>
      <c r="I357" s="98"/>
      <c r="J357" s="98"/>
      <c r="K357" s="98"/>
      <c r="L357" s="98"/>
      <c r="M357" s="98"/>
      <c r="N357" s="98"/>
      <c r="O357" s="98"/>
      <c r="P357" s="98"/>
      <c r="Q357" s="98"/>
      <c r="R357" s="98"/>
      <c r="S357" s="98"/>
      <c r="T357" s="98"/>
      <c r="U357" s="98"/>
      <c r="V357" s="98"/>
    </row>
    <row r="358" spans="4:22" ht="12.75">
      <c r="D358" s="98"/>
      <c r="E358" s="98"/>
      <c r="F358" s="98"/>
      <c r="G358" s="98"/>
      <c r="H358" s="98"/>
      <c r="I358" s="98"/>
      <c r="J358" s="98"/>
      <c r="K358" s="98"/>
      <c r="L358" s="98"/>
      <c r="M358" s="98"/>
      <c r="N358" s="98"/>
      <c r="O358" s="98"/>
      <c r="P358" s="98"/>
      <c r="Q358" s="98"/>
      <c r="R358" s="98"/>
      <c r="S358" s="98"/>
      <c r="T358" s="98"/>
      <c r="U358" s="98"/>
      <c r="V358" s="98"/>
    </row>
    <row r="359" spans="4:22" ht="12.75">
      <c r="D359" s="98"/>
      <c r="E359" s="98"/>
      <c r="F359" s="98"/>
      <c r="G359" s="98"/>
      <c r="H359" s="98"/>
      <c r="I359" s="98"/>
      <c r="J359" s="98"/>
      <c r="K359" s="98"/>
      <c r="L359" s="98"/>
      <c r="M359" s="98"/>
      <c r="N359" s="98"/>
      <c r="O359" s="98"/>
      <c r="P359" s="98"/>
      <c r="Q359" s="98"/>
      <c r="R359" s="98"/>
      <c r="S359" s="98"/>
      <c r="T359" s="98"/>
      <c r="U359" s="98"/>
      <c r="V359" s="98"/>
    </row>
    <row r="360" spans="4:22" ht="12.75">
      <c r="D360" s="98"/>
      <c r="E360" s="98"/>
      <c r="F360" s="98"/>
      <c r="G360" s="98"/>
      <c r="H360" s="98"/>
      <c r="I360" s="98"/>
      <c r="J360" s="98"/>
      <c r="K360" s="98"/>
      <c r="L360" s="98"/>
      <c r="M360" s="98"/>
      <c r="N360" s="98"/>
      <c r="O360" s="98"/>
      <c r="P360" s="98"/>
      <c r="Q360" s="98"/>
      <c r="R360" s="98"/>
      <c r="S360" s="98"/>
      <c r="T360" s="98"/>
      <c r="U360" s="98"/>
      <c r="V360" s="98"/>
    </row>
    <row r="361" spans="4:22" ht="12.75">
      <c r="D361" s="98"/>
      <c r="E361" s="98"/>
      <c r="F361" s="98"/>
      <c r="G361" s="98"/>
      <c r="H361" s="98"/>
      <c r="I361" s="98"/>
      <c r="J361" s="98"/>
      <c r="K361" s="98"/>
      <c r="L361" s="98"/>
      <c r="M361" s="98"/>
      <c r="N361" s="98"/>
      <c r="O361" s="98"/>
      <c r="P361" s="98"/>
      <c r="Q361" s="98"/>
      <c r="R361" s="98"/>
      <c r="S361" s="98"/>
      <c r="T361" s="98"/>
      <c r="U361" s="98"/>
      <c r="V361" s="98"/>
    </row>
    <row r="362" spans="4:22" ht="12.75">
      <c r="D362" s="98"/>
      <c r="E362" s="98"/>
      <c r="F362" s="98"/>
      <c r="G362" s="98"/>
      <c r="H362" s="98"/>
      <c r="I362" s="98"/>
      <c r="J362" s="98"/>
      <c r="K362" s="98"/>
      <c r="L362" s="98"/>
      <c r="M362" s="98"/>
      <c r="N362" s="98"/>
      <c r="O362" s="98"/>
      <c r="P362" s="98"/>
      <c r="Q362" s="98"/>
      <c r="R362" s="98"/>
      <c r="S362" s="98"/>
      <c r="T362" s="98"/>
      <c r="U362" s="98"/>
      <c r="V362" s="98"/>
    </row>
    <row r="363" spans="4:22" ht="12.75">
      <c r="D363" s="98"/>
      <c r="E363" s="98"/>
      <c r="F363" s="98"/>
      <c r="G363" s="98"/>
      <c r="H363" s="98"/>
      <c r="I363" s="98"/>
      <c r="J363" s="98"/>
      <c r="K363" s="98"/>
      <c r="L363" s="98"/>
      <c r="M363" s="98"/>
      <c r="N363" s="98"/>
      <c r="O363" s="98"/>
      <c r="P363" s="98"/>
      <c r="Q363" s="98"/>
      <c r="R363" s="98"/>
      <c r="S363" s="98"/>
      <c r="T363" s="98"/>
      <c r="U363" s="98"/>
      <c r="V363" s="98"/>
    </row>
    <row r="364" spans="4:22" ht="12.75">
      <c r="D364" s="98"/>
      <c r="E364" s="98"/>
      <c r="F364" s="98"/>
      <c r="G364" s="98"/>
      <c r="H364" s="98"/>
      <c r="I364" s="98"/>
      <c r="J364" s="98"/>
      <c r="K364" s="98"/>
      <c r="L364" s="98"/>
      <c r="M364" s="98"/>
      <c r="N364" s="98"/>
      <c r="O364" s="98"/>
      <c r="P364" s="98"/>
      <c r="Q364" s="98"/>
      <c r="R364" s="98"/>
      <c r="S364" s="98"/>
      <c r="T364" s="98"/>
      <c r="U364" s="98"/>
      <c r="V364" s="98"/>
    </row>
    <row r="365" spans="4:22" ht="12.75">
      <c r="D365" s="98"/>
      <c r="E365" s="98"/>
      <c r="F365" s="98"/>
      <c r="G365" s="98"/>
      <c r="H365" s="98"/>
      <c r="I365" s="98"/>
      <c r="J365" s="98"/>
      <c r="K365" s="98"/>
      <c r="L365" s="98"/>
      <c r="M365" s="98"/>
      <c r="N365" s="98"/>
      <c r="O365" s="98"/>
      <c r="P365" s="98"/>
      <c r="Q365" s="98"/>
      <c r="R365" s="98"/>
      <c r="S365" s="98"/>
      <c r="T365" s="98"/>
      <c r="U365" s="98"/>
      <c r="V365" s="98"/>
    </row>
    <row r="366" spans="4:22" ht="12.75">
      <c r="D366" s="98"/>
      <c r="E366" s="98"/>
      <c r="F366" s="98"/>
      <c r="G366" s="98"/>
      <c r="H366" s="98"/>
      <c r="I366" s="98"/>
      <c r="J366" s="98"/>
      <c r="K366" s="98"/>
      <c r="L366" s="98"/>
      <c r="M366" s="98"/>
      <c r="N366" s="98"/>
      <c r="O366" s="98"/>
      <c r="P366" s="98"/>
      <c r="Q366" s="98"/>
      <c r="R366" s="98"/>
      <c r="S366" s="98"/>
      <c r="T366" s="98"/>
      <c r="U366" s="98"/>
      <c r="V366" s="98"/>
    </row>
    <row r="367" spans="4:22" ht="12.75">
      <c r="D367" s="98"/>
      <c r="E367" s="98"/>
      <c r="F367" s="98"/>
      <c r="G367" s="98"/>
      <c r="H367" s="98"/>
      <c r="I367" s="98"/>
      <c r="J367" s="98"/>
      <c r="K367" s="98"/>
      <c r="L367" s="98"/>
      <c r="M367" s="98"/>
      <c r="N367" s="98"/>
      <c r="O367" s="98"/>
      <c r="P367" s="98"/>
      <c r="Q367" s="98"/>
      <c r="R367" s="98"/>
      <c r="S367" s="98"/>
      <c r="T367" s="98"/>
      <c r="U367" s="98"/>
      <c r="V367" s="98"/>
    </row>
    <row r="368" spans="4:22" ht="12.75">
      <c r="D368" s="98"/>
      <c r="E368" s="98"/>
      <c r="F368" s="98"/>
      <c r="G368" s="98"/>
      <c r="H368" s="98"/>
      <c r="I368" s="98"/>
      <c r="J368" s="98"/>
      <c r="K368" s="98"/>
      <c r="L368" s="98"/>
      <c r="M368" s="98"/>
      <c r="N368" s="98"/>
      <c r="O368" s="98"/>
      <c r="P368" s="98"/>
      <c r="Q368" s="98"/>
      <c r="R368" s="98"/>
      <c r="S368" s="98"/>
      <c r="T368" s="98"/>
      <c r="U368" s="98"/>
      <c r="V368" s="98"/>
    </row>
    <row r="369" spans="4:22" ht="12.75">
      <c r="D369" s="98"/>
      <c r="E369" s="98"/>
      <c r="F369" s="98"/>
      <c r="G369" s="98"/>
      <c r="H369" s="98"/>
      <c r="I369" s="98"/>
      <c r="J369" s="98"/>
      <c r="K369" s="98"/>
      <c r="L369" s="98"/>
      <c r="M369" s="98"/>
      <c r="N369" s="98"/>
      <c r="O369" s="98"/>
      <c r="P369" s="98"/>
      <c r="Q369" s="98"/>
      <c r="R369" s="98"/>
      <c r="S369" s="98"/>
      <c r="T369" s="98"/>
      <c r="U369" s="98"/>
      <c r="V369" s="98"/>
    </row>
    <row r="370" spans="4:22" ht="12.75">
      <c r="D370" s="98"/>
      <c r="E370" s="98"/>
      <c r="F370" s="98"/>
      <c r="G370" s="98"/>
      <c r="H370" s="98"/>
      <c r="I370" s="98"/>
      <c r="J370" s="98"/>
      <c r="K370" s="98"/>
      <c r="L370" s="98"/>
      <c r="M370" s="98"/>
      <c r="N370" s="98"/>
      <c r="O370" s="98"/>
      <c r="P370" s="98"/>
      <c r="Q370" s="98"/>
      <c r="R370" s="98"/>
      <c r="S370" s="98"/>
      <c r="T370" s="98"/>
      <c r="U370" s="98"/>
      <c r="V370" s="98"/>
    </row>
    <row r="371" spans="4:22" ht="12.75">
      <c r="D371" s="98"/>
      <c r="E371" s="98"/>
      <c r="F371" s="98"/>
      <c r="G371" s="98"/>
      <c r="H371" s="98"/>
      <c r="I371" s="98"/>
      <c r="J371" s="98"/>
      <c r="K371" s="98"/>
      <c r="L371" s="98"/>
      <c r="M371" s="98"/>
      <c r="N371" s="98"/>
      <c r="O371" s="98"/>
      <c r="P371" s="98"/>
      <c r="Q371" s="98"/>
      <c r="R371" s="98"/>
      <c r="S371" s="98"/>
      <c r="T371" s="98"/>
      <c r="U371" s="98"/>
      <c r="V371" s="98"/>
    </row>
    <row r="372" spans="4:22" ht="12.75">
      <c r="D372" s="98"/>
      <c r="E372" s="98"/>
      <c r="F372" s="98"/>
      <c r="G372" s="98"/>
      <c r="H372" s="98"/>
      <c r="I372" s="98"/>
      <c r="J372" s="98"/>
      <c r="K372" s="98"/>
      <c r="L372" s="98"/>
      <c r="M372" s="98"/>
      <c r="N372" s="98"/>
      <c r="O372" s="98"/>
      <c r="P372" s="98"/>
      <c r="Q372" s="98"/>
      <c r="R372" s="98"/>
      <c r="S372" s="98"/>
      <c r="T372" s="98"/>
      <c r="U372" s="98"/>
      <c r="V372" s="98"/>
    </row>
    <row r="373" spans="4:22" ht="12.75">
      <c r="D373" s="98"/>
      <c r="E373" s="98"/>
      <c r="F373" s="98"/>
      <c r="G373" s="98"/>
      <c r="H373" s="98"/>
      <c r="I373" s="98"/>
      <c r="J373" s="98"/>
      <c r="K373" s="98"/>
      <c r="L373" s="98"/>
      <c r="M373" s="98"/>
      <c r="N373" s="98"/>
      <c r="O373" s="98"/>
      <c r="P373" s="98"/>
      <c r="Q373" s="98"/>
      <c r="R373" s="98"/>
      <c r="S373" s="98"/>
      <c r="T373" s="98"/>
      <c r="U373" s="98"/>
      <c r="V373" s="98"/>
    </row>
    <row r="374" spans="4:22" ht="12.75">
      <c r="D374" s="98"/>
      <c r="E374" s="98"/>
      <c r="F374" s="98"/>
      <c r="G374" s="98"/>
      <c r="H374" s="98"/>
      <c r="I374" s="98"/>
      <c r="J374" s="98"/>
      <c r="K374" s="98"/>
      <c r="L374" s="98"/>
      <c r="M374" s="98"/>
      <c r="N374" s="98"/>
      <c r="O374" s="98"/>
      <c r="P374" s="98"/>
      <c r="Q374" s="98"/>
      <c r="R374" s="98"/>
      <c r="S374" s="98"/>
      <c r="T374" s="98"/>
      <c r="U374" s="98"/>
      <c r="V374" s="98"/>
    </row>
    <row r="375" spans="4:22" ht="12.75">
      <c r="D375" s="98"/>
      <c r="E375" s="98"/>
      <c r="F375" s="98"/>
      <c r="G375" s="98"/>
      <c r="H375" s="98"/>
      <c r="I375" s="98"/>
      <c r="J375" s="98"/>
      <c r="K375" s="98"/>
      <c r="L375" s="98"/>
      <c r="M375" s="98"/>
      <c r="N375" s="98"/>
      <c r="O375" s="98"/>
      <c r="P375" s="98"/>
      <c r="Q375" s="98"/>
      <c r="R375" s="98"/>
      <c r="S375" s="98"/>
      <c r="T375" s="98"/>
      <c r="U375" s="98"/>
      <c r="V375" s="98"/>
    </row>
    <row r="376" spans="4:22" ht="12.75">
      <c r="D376" s="98"/>
      <c r="E376" s="98"/>
      <c r="F376" s="98"/>
      <c r="G376" s="98"/>
      <c r="H376" s="98"/>
      <c r="I376" s="98"/>
      <c r="J376" s="98"/>
      <c r="K376" s="98"/>
      <c r="L376" s="98"/>
      <c r="M376" s="98"/>
      <c r="N376" s="98"/>
      <c r="O376" s="98"/>
      <c r="P376" s="98"/>
      <c r="Q376" s="98"/>
      <c r="R376" s="98"/>
      <c r="S376" s="98"/>
      <c r="T376" s="98"/>
      <c r="U376" s="98"/>
      <c r="V376" s="98"/>
    </row>
    <row r="377" spans="4:22" ht="12.75">
      <c r="D377" s="98"/>
      <c r="E377" s="98"/>
      <c r="F377" s="98"/>
      <c r="G377" s="98"/>
      <c r="H377" s="98"/>
      <c r="I377" s="98"/>
      <c r="J377" s="98"/>
      <c r="K377" s="98"/>
      <c r="L377" s="98"/>
      <c r="M377" s="98"/>
      <c r="N377" s="98"/>
      <c r="O377" s="98"/>
      <c r="P377" s="98"/>
      <c r="Q377" s="98"/>
      <c r="R377" s="98"/>
      <c r="S377" s="98"/>
      <c r="T377" s="98"/>
      <c r="U377" s="98"/>
      <c r="V377" s="98"/>
    </row>
    <row r="378" spans="4:22" ht="12.75">
      <c r="D378" s="98"/>
      <c r="E378" s="98"/>
      <c r="F378" s="98"/>
      <c r="G378" s="98"/>
      <c r="H378" s="98"/>
      <c r="I378" s="98"/>
      <c r="J378" s="98"/>
      <c r="K378" s="98"/>
      <c r="L378" s="98"/>
      <c r="M378" s="98"/>
      <c r="N378" s="98"/>
      <c r="O378" s="98"/>
      <c r="P378" s="98"/>
      <c r="Q378" s="98"/>
      <c r="R378" s="98"/>
      <c r="S378" s="98"/>
      <c r="T378" s="98"/>
      <c r="U378" s="98"/>
      <c r="V378" s="98"/>
    </row>
    <row r="379" spans="4:22" ht="12.75">
      <c r="D379" s="98"/>
      <c r="E379" s="98"/>
      <c r="F379" s="98"/>
      <c r="G379" s="98"/>
      <c r="H379" s="98"/>
      <c r="I379" s="98"/>
      <c r="J379" s="98"/>
      <c r="K379" s="98"/>
      <c r="L379" s="98"/>
      <c r="M379" s="98"/>
      <c r="N379" s="98"/>
      <c r="O379" s="98"/>
      <c r="P379" s="98"/>
      <c r="Q379" s="98"/>
      <c r="R379" s="98"/>
      <c r="S379" s="98"/>
      <c r="T379" s="98"/>
      <c r="U379" s="98"/>
      <c r="V379" s="98"/>
    </row>
    <row r="380" spans="4:22" ht="12.75">
      <c r="D380" s="98"/>
      <c r="E380" s="98"/>
      <c r="F380" s="98"/>
      <c r="G380" s="98"/>
      <c r="H380" s="98"/>
      <c r="I380" s="98"/>
      <c r="J380" s="98"/>
      <c r="K380" s="98"/>
      <c r="L380" s="98"/>
      <c r="M380" s="98"/>
      <c r="N380" s="98"/>
      <c r="O380" s="98"/>
      <c r="P380" s="98"/>
      <c r="Q380" s="98"/>
      <c r="R380" s="98"/>
      <c r="S380" s="98"/>
      <c r="T380" s="98"/>
      <c r="U380" s="98"/>
      <c r="V380" s="98"/>
    </row>
    <row r="381" spans="4:22" ht="12.75">
      <c r="D381" s="98"/>
      <c r="E381" s="98"/>
      <c r="F381" s="98"/>
      <c r="G381" s="98"/>
      <c r="H381" s="98"/>
      <c r="I381" s="98"/>
      <c r="J381" s="98"/>
      <c r="K381" s="98"/>
      <c r="L381" s="98"/>
      <c r="M381" s="98"/>
      <c r="N381" s="98"/>
      <c r="O381" s="98"/>
      <c r="P381" s="98"/>
      <c r="Q381" s="98"/>
      <c r="R381" s="98"/>
      <c r="S381" s="98"/>
      <c r="T381" s="98"/>
      <c r="U381" s="98"/>
      <c r="V381" s="98"/>
    </row>
    <row r="382" spans="4:22" ht="12.75">
      <c r="D382" s="98"/>
      <c r="E382" s="98"/>
      <c r="F382" s="98"/>
      <c r="G382" s="98"/>
      <c r="H382" s="98"/>
      <c r="I382" s="98"/>
      <c r="J382" s="98"/>
      <c r="K382" s="98"/>
      <c r="L382" s="98"/>
      <c r="M382" s="98"/>
      <c r="N382" s="98"/>
      <c r="O382" s="98"/>
      <c r="P382" s="98"/>
      <c r="Q382" s="98"/>
      <c r="R382" s="98"/>
      <c r="S382" s="98"/>
      <c r="T382" s="98"/>
      <c r="U382" s="98"/>
      <c r="V382" s="98"/>
    </row>
    <row r="383" spans="4:22" ht="12.75">
      <c r="D383" s="98"/>
      <c r="E383" s="98"/>
      <c r="F383" s="98"/>
      <c r="G383" s="98"/>
      <c r="H383" s="98"/>
      <c r="I383" s="98"/>
      <c r="J383" s="98"/>
      <c r="K383" s="98"/>
      <c r="L383" s="98"/>
      <c r="M383" s="98"/>
      <c r="N383" s="98"/>
      <c r="O383" s="98"/>
      <c r="P383" s="98"/>
      <c r="Q383" s="98"/>
      <c r="R383" s="98"/>
      <c r="S383" s="98"/>
      <c r="T383" s="98"/>
      <c r="U383" s="98"/>
      <c r="V383" s="98"/>
    </row>
    <row r="384" spans="4:22" ht="12.75">
      <c r="D384" s="98"/>
      <c r="E384" s="98"/>
      <c r="F384" s="98"/>
      <c r="G384" s="98"/>
      <c r="H384" s="98"/>
      <c r="I384" s="98"/>
      <c r="J384" s="98"/>
      <c r="K384" s="98"/>
      <c r="L384" s="98"/>
      <c r="M384" s="98"/>
      <c r="N384" s="98"/>
      <c r="O384" s="98"/>
      <c r="P384" s="98"/>
      <c r="Q384" s="98"/>
      <c r="R384" s="98"/>
      <c r="S384" s="98"/>
      <c r="T384" s="98"/>
      <c r="U384" s="98"/>
      <c r="V384" s="98"/>
    </row>
    <row r="385" spans="4:22" ht="12.75">
      <c r="D385" s="98"/>
      <c r="E385" s="98"/>
      <c r="F385" s="98"/>
      <c r="G385" s="98"/>
      <c r="H385" s="98"/>
      <c r="I385" s="98"/>
      <c r="J385" s="98"/>
      <c r="K385" s="98"/>
      <c r="L385" s="98"/>
      <c r="M385" s="98"/>
      <c r="N385" s="98"/>
      <c r="O385" s="98"/>
      <c r="P385" s="98"/>
      <c r="Q385" s="98"/>
      <c r="R385" s="98"/>
      <c r="S385" s="98"/>
      <c r="T385" s="98"/>
      <c r="U385" s="98"/>
      <c r="V385" s="98"/>
    </row>
    <row r="386" spans="4:22" ht="12.75">
      <c r="D386" s="98"/>
      <c r="E386" s="98"/>
      <c r="F386" s="98"/>
      <c r="G386" s="98"/>
      <c r="H386" s="98"/>
      <c r="I386" s="98"/>
      <c r="J386" s="98"/>
      <c r="K386" s="98"/>
      <c r="L386" s="98"/>
      <c r="M386" s="98"/>
      <c r="N386" s="98"/>
      <c r="O386" s="98"/>
      <c r="P386" s="98"/>
      <c r="Q386" s="98"/>
      <c r="R386" s="98"/>
      <c r="S386" s="98"/>
      <c r="T386" s="98"/>
      <c r="U386" s="98"/>
      <c r="V386" s="98"/>
    </row>
    <row r="387" spans="4:22" ht="12.75">
      <c r="D387" s="98"/>
      <c r="E387" s="98"/>
      <c r="F387" s="98"/>
      <c r="G387" s="98"/>
      <c r="H387" s="98"/>
      <c r="I387" s="98"/>
      <c r="J387" s="98"/>
      <c r="K387" s="98"/>
      <c r="L387" s="98"/>
      <c r="M387" s="98"/>
      <c r="N387" s="98"/>
      <c r="O387" s="98"/>
      <c r="P387" s="98"/>
      <c r="Q387" s="98"/>
      <c r="R387" s="98"/>
      <c r="S387" s="98"/>
      <c r="T387" s="98"/>
      <c r="U387" s="98"/>
      <c r="V387" s="98"/>
    </row>
    <row r="388" spans="4:22" ht="12.75">
      <c r="D388" s="98"/>
      <c r="E388" s="98"/>
      <c r="F388" s="98"/>
      <c r="G388" s="98"/>
      <c r="H388" s="98"/>
      <c r="I388" s="98"/>
      <c r="J388" s="98"/>
      <c r="K388" s="98"/>
      <c r="L388" s="98"/>
      <c r="M388" s="98"/>
      <c r="N388" s="98"/>
      <c r="O388" s="98"/>
      <c r="P388" s="98"/>
      <c r="Q388" s="98"/>
      <c r="R388" s="98"/>
      <c r="S388" s="98"/>
      <c r="T388" s="98"/>
      <c r="U388" s="98"/>
      <c r="V388" s="98"/>
    </row>
    <row r="389" spans="4:22" ht="12.75">
      <c r="D389" s="98"/>
      <c r="E389" s="98"/>
      <c r="F389" s="98"/>
      <c r="G389" s="98"/>
      <c r="H389" s="98"/>
      <c r="I389" s="98"/>
      <c r="J389" s="98"/>
      <c r="K389" s="98"/>
      <c r="L389" s="98"/>
      <c r="M389" s="98"/>
      <c r="N389" s="98"/>
      <c r="O389" s="98"/>
      <c r="P389" s="98"/>
      <c r="Q389" s="98"/>
      <c r="R389" s="98"/>
      <c r="S389" s="98"/>
      <c r="T389" s="98"/>
      <c r="U389" s="98"/>
      <c r="V389" s="98"/>
    </row>
    <row r="390" spans="4:22" ht="12.75">
      <c r="D390" s="98"/>
      <c r="E390" s="98"/>
      <c r="F390" s="98"/>
      <c r="G390" s="98"/>
      <c r="H390" s="98"/>
      <c r="I390" s="98"/>
      <c r="J390" s="98"/>
      <c r="K390" s="98"/>
      <c r="L390" s="98"/>
      <c r="M390" s="98"/>
      <c r="N390" s="98"/>
      <c r="O390" s="98"/>
      <c r="P390" s="98"/>
      <c r="Q390" s="98"/>
      <c r="R390" s="98"/>
      <c r="S390" s="98"/>
      <c r="T390" s="98"/>
      <c r="U390" s="98"/>
      <c r="V390" s="98"/>
    </row>
    <row r="391" spans="4:22" ht="12.75">
      <c r="D391" s="98"/>
      <c r="E391" s="98"/>
      <c r="F391" s="98"/>
      <c r="G391" s="98"/>
      <c r="H391" s="98"/>
      <c r="I391" s="98"/>
      <c r="J391" s="98"/>
      <c r="K391" s="98"/>
      <c r="L391" s="98"/>
      <c r="M391" s="98"/>
      <c r="N391" s="98"/>
      <c r="O391" s="98"/>
      <c r="P391" s="98"/>
      <c r="Q391" s="98"/>
      <c r="R391" s="98"/>
      <c r="S391" s="98"/>
      <c r="T391" s="98"/>
      <c r="U391" s="98"/>
      <c r="V391" s="98"/>
    </row>
    <row r="392" spans="4:22" ht="12.75">
      <c r="D392" s="98"/>
      <c r="E392" s="98"/>
      <c r="F392" s="98"/>
      <c r="G392" s="98"/>
      <c r="H392" s="98"/>
      <c r="I392" s="98"/>
      <c r="J392" s="98"/>
      <c r="K392" s="98"/>
      <c r="L392" s="98"/>
      <c r="M392" s="98"/>
      <c r="N392" s="98"/>
      <c r="O392" s="98"/>
      <c r="P392" s="98"/>
      <c r="Q392" s="98"/>
      <c r="R392" s="98"/>
      <c r="S392" s="98"/>
      <c r="T392" s="98"/>
      <c r="U392" s="98"/>
      <c r="V392" s="98"/>
    </row>
    <row r="393" spans="4:22" ht="12.75">
      <c r="D393" s="98"/>
      <c r="E393" s="98"/>
      <c r="F393" s="98"/>
      <c r="G393" s="98"/>
      <c r="H393" s="98"/>
      <c r="I393" s="98"/>
      <c r="J393" s="98"/>
      <c r="K393" s="98"/>
      <c r="L393" s="98"/>
      <c r="M393" s="98"/>
      <c r="N393" s="98"/>
      <c r="O393" s="98"/>
      <c r="P393" s="98"/>
      <c r="Q393" s="98"/>
      <c r="R393" s="98"/>
      <c r="S393" s="98"/>
      <c r="T393" s="98"/>
      <c r="U393" s="98"/>
      <c r="V393" s="98"/>
    </row>
    <row r="394" spans="4:22" ht="12.75">
      <c r="D394" s="98"/>
      <c r="E394" s="98"/>
      <c r="F394" s="98"/>
      <c r="G394" s="98"/>
      <c r="H394" s="98"/>
      <c r="I394" s="98"/>
      <c r="J394" s="98"/>
      <c r="K394" s="98"/>
      <c r="L394" s="98"/>
      <c r="M394" s="98"/>
      <c r="N394" s="98"/>
      <c r="O394" s="98"/>
      <c r="P394" s="98"/>
      <c r="Q394" s="98"/>
      <c r="R394" s="98"/>
      <c r="S394" s="98"/>
      <c r="T394" s="98"/>
      <c r="U394" s="98"/>
      <c r="V394" s="98"/>
    </row>
    <row r="395" spans="4:22" ht="12.75">
      <c r="D395" s="98"/>
      <c r="E395" s="98"/>
      <c r="F395" s="98"/>
      <c r="G395" s="98"/>
      <c r="H395" s="98"/>
      <c r="I395" s="98"/>
      <c r="J395" s="98"/>
      <c r="K395" s="98"/>
      <c r="L395" s="98"/>
      <c r="M395" s="98"/>
      <c r="N395" s="98"/>
      <c r="O395" s="98"/>
      <c r="P395" s="98"/>
      <c r="Q395" s="98"/>
      <c r="R395" s="98"/>
      <c r="S395" s="98"/>
      <c r="T395" s="98"/>
      <c r="U395" s="98"/>
      <c r="V395" s="98"/>
    </row>
    <row r="396" spans="4:22" ht="12.75">
      <c r="D396" s="98"/>
      <c r="E396" s="98"/>
      <c r="F396" s="98"/>
      <c r="G396" s="98"/>
      <c r="H396" s="98"/>
      <c r="I396" s="98"/>
      <c r="J396" s="98"/>
      <c r="K396" s="98"/>
      <c r="L396" s="98"/>
      <c r="M396" s="98"/>
      <c r="N396" s="98"/>
      <c r="O396" s="98"/>
      <c r="P396" s="98"/>
      <c r="Q396" s="98"/>
      <c r="R396" s="98"/>
      <c r="S396" s="98"/>
      <c r="T396" s="98"/>
      <c r="U396" s="98"/>
      <c r="V396" s="98"/>
    </row>
    <row r="397" spans="4:22" ht="12.75">
      <c r="D397" s="98"/>
      <c r="E397" s="98"/>
      <c r="F397" s="98"/>
      <c r="G397" s="98"/>
      <c r="H397" s="98"/>
      <c r="I397" s="98"/>
      <c r="J397" s="98"/>
      <c r="K397" s="98"/>
      <c r="L397" s="98"/>
      <c r="M397" s="98"/>
      <c r="N397" s="98"/>
      <c r="O397" s="98"/>
      <c r="P397" s="98"/>
      <c r="Q397" s="98"/>
      <c r="R397" s="98"/>
      <c r="S397" s="98"/>
      <c r="T397" s="98"/>
      <c r="U397" s="98"/>
      <c r="V397" s="98"/>
    </row>
    <row r="398" spans="4:22" ht="12.75">
      <c r="D398" s="98"/>
      <c r="E398" s="98"/>
      <c r="F398" s="98"/>
      <c r="G398" s="98"/>
      <c r="H398" s="98"/>
      <c r="I398" s="98"/>
      <c r="J398" s="98"/>
      <c r="K398" s="98"/>
      <c r="L398" s="98"/>
      <c r="M398" s="98"/>
      <c r="N398" s="98"/>
      <c r="O398" s="98"/>
      <c r="P398" s="98"/>
      <c r="Q398" s="98"/>
      <c r="R398" s="98"/>
      <c r="S398" s="98"/>
      <c r="T398" s="98"/>
      <c r="U398" s="98"/>
      <c r="V398" s="98"/>
    </row>
    <row r="399" spans="4:22" ht="12.75">
      <c r="D399" s="98"/>
      <c r="E399" s="98"/>
      <c r="F399" s="98"/>
      <c r="G399" s="98"/>
      <c r="H399" s="98"/>
      <c r="I399" s="98"/>
      <c r="J399" s="98"/>
      <c r="K399" s="98"/>
      <c r="L399" s="98"/>
      <c r="M399" s="98"/>
      <c r="N399" s="98"/>
      <c r="O399" s="98"/>
      <c r="P399" s="98"/>
      <c r="Q399" s="98"/>
      <c r="R399" s="98"/>
      <c r="S399" s="98"/>
      <c r="T399" s="98"/>
      <c r="U399" s="98"/>
      <c r="V399" s="98"/>
    </row>
    <row r="400" spans="4:22" ht="12.75">
      <c r="D400" s="98"/>
      <c r="E400" s="98"/>
      <c r="F400" s="98"/>
      <c r="G400" s="98"/>
      <c r="H400" s="98"/>
      <c r="I400" s="98"/>
      <c r="J400" s="98"/>
      <c r="K400" s="98"/>
      <c r="L400" s="98"/>
      <c r="M400" s="98"/>
      <c r="N400" s="98"/>
      <c r="O400" s="98"/>
      <c r="P400" s="98"/>
      <c r="Q400" s="98"/>
      <c r="R400" s="98"/>
      <c r="S400" s="98"/>
      <c r="T400" s="98"/>
      <c r="U400" s="98"/>
      <c r="V400" s="98"/>
    </row>
    <row r="401" spans="4:22" ht="12.75">
      <c r="D401" s="98"/>
      <c r="E401" s="98"/>
      <c r="F401" s="98"/>
      <c r="G401" s="98"/>
      <c r="H401" s="98"/>
      <c r="I401" s="98"/>
      <c r="J401" s="98"/>
      <c r="K401" s="98"/>
      <c r="L401" s="98"/>
      <c r="M401" s="98"/>
      <c r="N401" s="98"/>
      <c r="O401" s="98"/>
      <c r="P401" s="98"/>
      <c r="Q401" s="98"/>
      <c r="R401" s="98"/>
      <c r="S401" s="98"/>
      <c r="T401" s="98"/>
      <c r="U401" s="98"/>
      <c r="V401" s="98"/>
    </row>
    <row r="402" spans="4:22" ht="12.75">
      <c r="D402" s="98"/>
      <c r="E402" s="98"/>
      <c r="F402" s="98"/>
      <c r="G402" s="98"/>
      <c r="H402" s="98"/>
      <c r="I402" s="98"/>
      <c r="J402" s="98"/>
      <c r="K402" s="98"/>
      <c r="L402" s="98"/>
      <c r="M402" s="98"/>
      <c r="N402" s="98"/>
      <c r="O402" s="98"/>
      <c r="P402" s="98"/>
      <c r="Q402" s="98"/>
      <c r="R402" s="98"/>
      <c r="S402" s="98"/>
      <c r="T402" s="98"/>
      <c r="U402" s="98"/>
      <c r="V402" s="98"/>
    </row>
    <row r="403" spans="4:22" ht="12.75">
      <c r="D403" s="98"/>
      <c r="E403" s="98"/>
      <c r="F403" s="98"/>
      <c r="G403" s="98"/>
      <c r="H403" s="98"/>
      <c r="I403" s="98"/>
      <c r="J403" s="98"/>
      <c r="K403" s="98"/>
      <c r="L403" s="98"/>
      <c r="M403" s="98"/>
      <c r="N403" s="98"/>
      <c r="O403" s="98"/>
      <c r="P403" s="98"/>
      <c r="Q403" s="98"/>
      <c r="R403" s="98"/>
      <c r="S403" s="98"/>
      <c r="T403" s="98"/>
      <c r="U403" s="98"/>
      <c r="V403" s="98"/>
    </row>
    <row r="404" spans="4:22" ht="12.75">
      <c r="D404" s="98"/>
      <c r="E404" s="98"/>
      <c r="F404" s="98"/>
      <c r="G404" s="98"/>
      <c r="H404" s="98"/>
      <c r="I404" s="98"/>
      <c r="J404" s="98"/>
      <c r="K404" s="98"/>
      <c r="L404" s="98"/>
      <c r="M404" s="98"/>
      <c r="N404" s="98"/>
      <c r="O404" s="98"/>
      <c r="P404" s="98"/>
      <c r="Q404" s="98"/>
      <c r="R404" s="98"/>
      <c r="S404" s="98"/>
      <c r="T404" s="98"/>
      <c r="U404" s="98"/>
      <c r="V404" s="98"/>
    </row>
    <row r="405" spans="4:22" ht="12.75">
      <c r="D405" s="98"/>
      <c r="E405" s="98"/>
      <c r="F405" s="98"/>
      <c r="G405" s="98"/>
      <c r="H405" s="98"/>
      <c r="I405" s="98"/>
      <c r="J405" s="98"/>
      <c r="K405" s="98"/>
      <c r="L405" s="98"/>
      <c r="M405" s="98"/>
      <c r="N405" s="98"/>
      <c r="O405" s="98"/>
      <c r="P405" s="98"/>
      <c r="Q405" s="98"/>
      <c r="R405" s="98"/>
      <c r="S405" s="98"/>
      <c r="T405" s="98"/>
      <c r="U405" s="98"/>
      <c r="V405" s="98"/>
    </row>
    <row r="406" spans="4:22" ht="12.75">
      <c r="D406" s="98"/>
      <c r="E406" s="98"/>
      <c r="F406" s="98"/>
      <c r="G406" s="98"/>
      <c r="H406" s="98"/>
      <c r="I406" s="98"/>
      <c r="J406" s="98"/>
      <c r="K406" s="98"/>
      <c r="L406" s="98"/>
      <c r="M406" s="98"/>
      <c r="N406" s="98"/>
      <c r="O406" s="98"/>
      <c r="P406" s="98"/>
      <c r="Q406" s="98"/>
      <c r="R406" s="98"/>
      <c r="S406" s="98"/>
      <c r="T406" s="98"/>
      <c r="U406" s="98"/>
      <c r="V406" s="98"/>
    </row>
    <row r="407" spans="4:22" ht="12.75">
      <c r="D407" s="98"/>
      <c r="E407" s="98"/>
      <c r="F407" s="98"/>
      <c r="G407" s="98"/>
      <c r="H407" s="98"/>
      <c r="I407" s="98"/>
      <c r="J407" s="98"/>
      <c r="K407" s="98"/>
      <c r="L407" s="98"/>
      <c r="M407" s="98"/>
      <c r="N407" s="98"/>
      <c r="O407" s="98"/>
      <c r="P407" s="98"/>
      <c r="Q407" s="98"/>
      <c r="R407" s="98"/>
      <c r="S407" s="98"/>
      <c r="T407" s="98"/>
      <c r="U407" s="98"/>
      <c r="V407" s="98"/>
    </row>
    <row r="408" spans="4:22" ht="12.75">
      <c r="D408" s="98"/>
      <c r="E408" s="98"/>
      <c r="F408" s="98"/>
      <c r="G408" s="98"/>
      <c r="H408" s="98"/>
      <c r="I408" s="98"/>
      <c r="J408" s="98"/>
      <c r="K408" s="98"/>
      <c r="L408" s="98"/>
      <c r="M408" s="98"/>
      <c r="N408" s="98"/>
      <c r="O408" s="98"/>
      <c r="P408" s="98"/>
      <c r="Q408" s="98"/>
      <c r="R408" s="98"/>
      <c r="S408" s="98"/>
      <c r="T408" s="98"/>
      <c r="U408" s="98"/>
      <c r="V408" s="98"/>
    </row>
    <row r="409" spans="4:22" ht="12.75">
      <c r="D409" s="98"/>
      <c r="E409" s="98"/>
      <c r="F409" s="98"/>
      <c r="G409" s="98"/>
      <c r="H409" s="98"/>
      <c r="I409" s="98"/>
      <c r="J409" s="98"/>
      <c r="K409" s="98"/>
      <c r="L409" s="98"/>
      <c r="M409" s="98"/>
      <c r="N409" s="98"/>
      <c r="O409" s="98"/>
      <c r="P409" s="98"/>
      <c r="Q409" s="98"/>
      <c r="R409" s="98"/>
      <c r="S409" s="98"/>
      <c r="T409" s="98"/>
      <c r="U409" s="98"/>
      <c r="V409" s="98"/>
    </row>
    <row r="410" spans="4:22" ht="12.75">
      <c r="D410" s="98"/>
      <c r="E410" s="98"/>
      <c r="F410" s="98"/>
      <c r="G410" s="98"/>
      <c r="H410" s="98"/>
      <c r="I410" s="98"/>
      <c r="J410" s="98"/>
      <c r="K410" s="98"/>
      <c r="L410" s="98"/>
      <c r="M410" s="98"/>
      <c r="N410" s="98"/>
      <c r="O410" s="98"/>
      <c r="P410" s="98"/>
      <c r="Q410" s="98"/>
      <c r="R410" s="98"/>
      <c r="S410" s="98"/>
      <c r="T410" s="98"/>
      <c r="U410" s="98"/>
      <c r="V410" s="98"/>
    </row>
    <row r="411" spans="4:22" ht="12.75">
      <c r="D411" s="98"/>
      <c r="E411" s="98"/>
      <c r="F411" s="98"/>
      <c r="G411" s="98"/>
      <c r="H411" s="98"/>
      <c r="I411" s="98"/>
      <c r="J411" s="98"/>
      <c r="K411" s="98"/>
      <c r="L411" s="98"/>
      <c r="M411" s="98"/>
      <c r="N411" s="98"/>
      <c r="O411" s="98"/>
      <c r="P411" s="98"/>
      <c r="Q411" s="98"/>
      <c r="R411" s="98"/>
      <c r="S411" s="98"/>
      <c r="T411" s="98"/>
      <c r="U411" s="98"/>
      <c r="V411" s="98"/>
    </row>
    <row r="412" spans="4:22" ht="12.75">
      <c r="D412" s="98"/>
      <c r="E412" s="98"/>
      <c r="F412" s="98"/>
      <c r="G412" s="98"/>
      <c r="H412" s="98"/>
      <c r="I412" s="98"/>
      <c r="J412" s="98"/>
      <c r="K412" s="98"/>
      <c r="L412" s="98"/>
      <c r="M412" s="98"/>
      <c r="N412" s="98"/>
      <c r="O412" s="98"/>
      <c r="P412" s="98"/>
      <c r="Q412" s="98"/>
      <c r="R412" s="98"/>
      <c r="S412" s="98"/>
      <c r="T412" s="98"/>
      <c r="U412" s="98"/>
      <c r="V412" s="98"/>
    </row>
    <row r="413" spans="4:22" ht="12.75">
      <c r="D413" s="98"/>
      <c r="E413" s="98"/>
      <c r="F413" s="98"/>
      <c r="G413" s="98"/>
      <c r="H413" s="98"/>
      <c r="I413" s="98"/>
      <c r="J413" s="98"/>
      <c r="K413" s="98"/>
      <c r="L413" s="98"/>
      <c r="M413" s="98"/>
      <c r="N413" s="98"/>
      <c r="O413" s="98"/>
      <c r="P413" s="98"/>
      <c r="Q413" s="98"/>
      <c r="R413" s="98"/>
      <c r="S413" s="98"/>
      <c r="T413" s="98"/>
      <c r="U413" s="98"/>
      <c r="V413" s="98"/>
    </row>
    <row r="414" spans="4:22" ht="12.75">
      <c r="D414" s="98"/>
      <c r="E414" s="98"/>
      <c r="F414" s="98"/>
      <c r="G414" s="98"/>
      <c r="H414" s="98"/>
      <c r="I414" s="98"/>
      <c r="J414" s="98"/>
      <c r="K414" s="98"/>
      <c r="L414" s="98"/>
      <c r="M414" s="98"/>
      <c r="N414" s="98"/>
      <c r="O414" s="98"/>
      <c r="P414" s="98"/>
      <c r="Q414" s="98"/>
      <c r="R414" s="98"/>
      <c r="S414" s="98"/>
      <c r="T414" s="98"/>
      <c r="U414" s="98"/>
      <c r="V414" s="98"/>
    </row>
    <row r="415" spans="4:22" ht="12.75">
      <c r="D415" s="98"/>
      <c r="E415" s="98"/>
      <c r="F415" s="98"/>
      <c r="G415" s="98"/>
      <c r="H415" s="98"/>
      <c r="I415" s="98"/>
      <c r="J415" s="98"/>
      <c r="K415" s="98"/>
      <c r="L415" s="98"/>
      <c r="M415" s="98"/>
      <c r="N415" s="98"/>
      <c r="O415" s="98"/>
      <c r="P415" s="98"/>
      <c r="Q415" s="98"/>
      <c r="R415" s="98"/>
      <c r="S415" s="98"/>
      <c r="T415" s="98"/>
      <c r="U415" s="98"/>
      <c r="V415" s="98"/>
    </row>
    <row r="416" spans="4:22" ht="12.75">
      <c r="D416" s="98"/>
      <c r="E416" s="98"/>
      <c r="F416" s="98"/>
      <c r="G416" s="98"/>
      <c r="H416" s="98"/>
      <c r="I416" s="98"/>
      <c r="J416" s="98"/>
      <c r="K416" s="98"/>
      <c r="L416" s="98"/>
      <c r="M416" s="98"/>
      <c r="N416" s="98"/>
      <c r="O416" s="98"/>
      <c r="P416" s="98"/>
      <c r="Q416" s="98"/>
      <c r="R416" s="98"/>
      <c r="S416" s="98"/>
      <c r="T416" s="98"/>
      <c r="U416" s="98"/>
      <c r="V416" s="98"/>
    </row>
    <row r="417" spans="4:22" ht="12.75">
      <c r="D417" s="98"/>
      <c r="E417" s="98"/>
      <c r="F417" s="98"/>
      <c r="G417" s="98"/>
      <c r="H417" s="98"/>
      <c r="I417" s="98"/>
      <c r="J417" s="98"/>
      <c r="K417" s="98"/>
      <c r="L417" s="98"/>
      <c r="M417" s="98"/>
      <c r="N417" s="98"/>
      <c r="O417" s="98"/>
      <c r="P417" s="98"/>
      <c r="Q417" s="98"/>
      <c r="R417" s="98"/>
      <c r="S417" s="98"/>
      <c r="T417" s="98"/>
      <c r="U417" s="98"/>
      <c r="V417" s="98"/>
    </row>
    <row r="418" spans="4:22" ht="12.75">
      <c r="D418" s="98"/>
      <c r="E418" s="98"/>
      <c r="F418" s="98"/>
      <c r="G418" s="98"/>
      <c r="H418" s="98"/>
      <c r="I418" s="98"/>
      <c r="J418" s="98"/>
      <c r="K418" s="98"/>
      <c r="L418" s="98"/>
      <c r="M418" s="98"/>
      <c r="N418" s="98"/>
      <c r="O418" s="98"/>
      <c r="P418" s="98"/>
      <c r="Q418" s="98"/>
      <c r="R418" s="98"/>
      <c r="S418" s="98"/>
      <c r="T418" s="98"/>
      <c r="U418" s="98"/>
      <c r="V418" s="98"/>
    </row>
    <row r="419" spans="4:22" ht="12.75">
      <c r="D419" s="98"/>
      <c r="E419" s="98"/>
      <c r="F419" s="98"/>
      <c r="G419" s="98"/>
      <c r="H419" s="98"/>
      <c r="I419" s="98"/>
      <c r="J419" s="98"/>
      <c r="K419" s="98"/>
      <c r="L419" s="98"/>
      <c r="M419" s="98"/>
      <c r="N419" s="98"/>
      <c r="O419" s="98"/>
      <c r="P419" s="98"/>
      <c r="Q419" s="98"/>
      <c r="R419" s="98"/>
      <c r="S419" s="98"/>
      <c r="T419" s="98"/>
      <c r="U419" s="98"/>
      <c r="V419" s="98"/>
    </row>
    <row r="420" spans="4:22" ht="12.75">
      <c r="D420" s="98"/>
      <c r="E420" s="98"/>
      <c r="F420" s="98"/>
      <c r="G420" s="98"/>
      <c r="H420" s="98"/>
      <c r="I420" s="98"/>
      <c r="J420" s="98"/>
      <c r="K420" s="98"/>
      <c r="L420" s="98"/>
      <c r="M420" s="98"/>
      <c r="N420" s="98"/>
      <c r="O420" s="98"/>
      <c r="P420" s="98"/>
      <c r="Q420" s="98"/>
      <c r="R420" s="98"/>
      <c r="S420" s="98"/>
      <c r="T420" s="98"/>
      <c r="U420" s="98"/>
      <c r="V420" s="98"/>
    </row>
    <row r="421" spans="4:22" ht="12.75">
      <c r="D421" s="98"/>
      <c r="E421" s="98"/>
      <c r="F421" s="98"/>
      <c r="G421" s="98"/>
      <c r="H421" s="98"/>
      <c r="I421" s="98"/>
      <c r="J421" s="98"/>
      <c r="K421" s="98"/>
      <c r="L421" s="98"/>
      <c r="M421" s="98"/>
      <c r="N421" s="98"/>
      <c r="O421" s="98"/>
      <c r="P421" s="98"/>
      <c r="Q421" s="98"/>
      <c r="R421" s="98"/>
      <c r="S421" s="98"/>
      <c r="T421" s="98"/>
      <c r="U421" s="98"/>
      <c r="V421" s="98"/>
    </row>
    <row r="422" spans="4:22" ht="12.75">
      <c r="D422" s="98"/>
      <c r="E422" s="98"/>
      <c r="F422" s="98"/>
      <c r="G422" s="98"/>
      <c r="H422" s="98"/>
      <c r="I422" s="98"/>
      <c r="J422" s="98"/>
      <c r="K422" s="98"/>
      <c r="L422" s="98"/>
      <c r="M422" s="98"/>
      <c r="N422" s="98"/>
      <c r="O422" s="98"/>
      <c r="P422" s="98"/>
      <c r="Q422" s="98"/>
      <c r="R422" s="98"/>
      <c r="S422" s="98"/>
      <c r="T422" s="98"/>
      <c r="U422" s="98"/>
      <c r="V422" s="98"/>
    </row>
    <row r="423" spans="4:22" ht="12.75">
      <c r="D423" s="98"/>
      <c r="E423" s="98"/>
      <c r="F423" s="98"/>
      <c r="G423" s="98"/>
      <c r="H423" s="98"/>
      <c r="I423" s="98"/>
      <c r="J423" s="98"/>
      <c r="K423" s="98"/>
      <c r="L423" s="98"/>
      <c r="M423" s="98"/>
      <c r="N423" s="98"/>
      <c r="O423" s="98"/>
      <c r="P423" s="98"/>
      <c r="Q423" s="98"/>
      <c r="R423" s="98"/>
      <c r="S423" s="98"/>
      <c r="T423" s="98"/>
      <c r="U423" s="98"/>
      <c r="V423" s="98"/>
    </row>
    <row r="424" spans="4:22" ht="12.75">
      <c r="D424" s="98"/>
      <c r="E424" s="98"/>
      <c r="F424" s="98"/>
      <c r="G424" s="98"/>
      <c r="H424" s="98"/>
      <c r="I424" s="98"/>
      <c r="J424" s="98"/>
      <c r="K424" s="98"/>
      <c r="L424" s="98"/>
      <c r="M424" s="98"/>
      <c r="N424" s="98"/>
      <c r="O424" s="98"/>
      <c r="P424" s="98"/>
      <c r="Q424" s="98"/>
      <c r="R424" s="98"/>
      <c r="S424" s="98"/>
      <c r="T424" s="98"/>
      <c r="U424" s="98"/>
      <c r="V424" s="98"/>
    </row>
    <row r="425" spans="4:22" ht="12.75">
      <c r="D425" s="98"/>
      <c r="E425" s="98"/>
      <c r="F425" s="98"/>
      <c r="G425" s="98"/>
      <c r="H425" s="98"/>
      <c r="I425" s="98"/>
      <c r="J425" s="98"/>
      <c r="K425" s="98"/>
      <c r="L425" s="98"/>
      <c r="M425" s="98"/>
      <c r="N425" s="98"/>
      <c r="O425" s="98"/>
      <c r="P425" s="98"/>
      <c r="Q425" s="98"/>
      <c r="R425" s="98"/>
      <c r="S425" s="98"/>
      <c r="T425" s="98"/>
      <c r="U425" s="98"/>
      <c r="V425" s="98"/>
    </row>
    <row r="426" spans="4:22" ht="12.75">
      <c r="D426" s="98"/>
      <c r="E426" s="98"/>
      <c r="F426" s="98"/>
      <c r="G426" s="98"/>
      <c r="H426" s="98"/>
      <c r="I426" s="98"/>
      <c r="J426" s="98"/>
      <c r="K426" s="98"/>
      <c r="L426" s="98"/>
      <c r="M426" s="98"/>
      <c r="N426" s="98"/>
      <c r="O426" s="98"/>
      <c r="P426" s="98"/>
      <c r="Q426" s="98"/>
      <c r="R426" s="98"/>
      <c r="S426" s="98"/>
      <c r="T426" s="98"/>
      <c r="U426" s="98"/>
      <c r="V426" s="98"/>
    </row>
    <row r="427" spans="4:22" ht="12.75">
      <c r="D427" s="98"/>
      <c r="E427" s="98"/>
      <c r="F427" s="98"/>
      <c r="G427" s="98"/>
      <c r="H427" s="98"/>
      <c r="I427" s="98"/>
      <c r="J427" s="98"/>
      <c r="K427" s="98"/>
      <c r="L427" s="98"/>
      <c r="M427" s="98"/>
      <c r="N427" s="98"/>
      <c r="O427" s="98"/>
      <c r="P427" s="98"/>
      <c r="Q427" s="98"/>
      <c r="R427" s="98"/>
      <c r="S427" s="98"/>
      <c r="T427" s="98"/>
      <c r="U427" s="98"/>
      <c r="V427" s="98"/>
    </row>
    <row r="428" spans="4:22" ht="12.75">
      <c r="D428" s="98"/>
      <c r="E428" s="98"/>
      <c r="F428" s="98"/>
      <c r="G428" s="98"/>
      <c r="H428" s="98"/>
      <c r="I428" s="98"/>
      <c r="J428" s="98"/>
      <c r="K428" s="98"/>
      <c r="L428" s="98"/>
      <c r="M428" s="98"/>
      <c r="N428" s="98"/>
      <c r="O428" s="98"/>
      <c r="P428" s="98"/>
      <c r="Q428" s="98"/>
      <c r="R428" s="98"/>
      <c r="S428" s="98"/>
      <c r="T428" s="98"/>
      <c r="U428" s="98"/>
      <c r="V428" s="98"/>
    </row>
    <row r="429" spans="4:22" ht="12.75">
      <c r="D429" s="98"/>
      <c r="E429" s="98"/>
      <c r="F429" s="98"/>
      <c r="G429" s="98"/>
      <c r="H429" s="98"/>
      <c r="I429" s="98"/>
      <c r="J429" s="98"/>
      <c r="K429" s="98"/>
      <c r="L429" s="98"/>
      <c r="M429" s="98"/>
      <c r="N429" s="98"/>
      <c r="O429" s="98"/>
      <c r="P429" s="98"/>
      <c r="Q429" s="98"/>
      <c r="R429" s="98"/>
      <c r="S429" s="98"/>
      <c r="T429" s="98"/>
      <c r="U429" s="98"/>
      <c r="V429" s="98"/>
    </row>
    <row r="430" spans="4:22" ht="12.75">
      <c r="D430" s="98"/>
      <c r="E430" s="98"/>
      <c r="F430" s="98"/>
      <c r="G430" s="98"/>
      <c r="H430" s="98"/>
      <c r="I430" s="98"/>
      <c r="J430" s="98"/>
      <c r="K430" s="98"/>
      <c r="L430" s="98"/>
      <c r="M430" s="98"/>
      <c r="N430" s="98"/>
      <c r="O430" s="98"/>
      <c r="P430" s="98"/>
      <c r="Q430" s="98"/>
      <c r="R430" s="98"/>
      <c r="S430" s="98"/>
      <c r="T430" s="98"/>
      <c r="U430" s="98"/>
      <c r="V430" s="98"/>
    </row>
    <row r="431" spans="4:22" ht="12.75">
      <c r="D431" s="98"/>
      <c r="E431" s="98"/>
      <c r="F431" s="98"/>
      <c r="G431" s="98"/>
      <c r="H431" s="98"/>
      <c r="I431" s="98"/>
      <c r="J431" s="98"/>
      <c r="K431" s="98"/>
      <c r="L431" s="98"/>
      <c r="M431" s="98"/>
      <c r="N431" s="98"/>
      <c r="O431" s="98"/>
      <c r="P431" s="98"/>
      <c r="Q431" s="98"/>
      <c r="R431" s="98"/>
      <c r="S431" s="98"/>
      <c r="T431" s="98"/>
      <c r="U431" s="98"/>
      <c r="V431" s="98"/>
    </row>
    <row r="432" spans="4:22" ht="12.75">
      <c r="D432" s="98"/>
      <c r="E432" s="98"/>
      <c r="F432" s="98"/>
      <c r="G432" s="98"/>
      <c r="H432" s="98"/>
      <c r="I432" s="98"/>
      <c r="J432" s="98"/>
      <c r="K432" s="98"/>
      <c r="L432" s="98"/>
      <c r="M432" s="98"/>
      <c r="N432" s="98"/>
      <c r="O432" s="98"/>
      <c r="P432" s="98"/>
      <c r="Q432" s="98"/>
      <c r="R432" s="98"/>
      <c r="S432" s="98"/>
      <c r="T432" s="98"/>
      <c r="U432" s="98"/>
      <c r="V432" s="98"/>
    </row>
    <row r="433" spans="4:22" ht="12.75">
      <c r="D433" s="98"/>
      <c r="E433" s="98"/>
      <c r="F433" s="98"/>
      <c r="G433" s="98"/>
      <c r="H433" s="98"/>
      <c r="I433" s="98"/>
      <c r="J433" s="98"/>
      <c r="K433" s="98"/>
      <c r="L433" s="98"/>
      <c r="M433" s="98"/>
      <c r="N433" s="98"/>
      <c r="O433" s="98"/>
      <c r="P433" s="98"/>
      <c r="Q433" s="98"/>
      <c r="R433" s="98"/>
      <c r="S433" s="98"/>
      <c r="T433" s="98"/>
      <c r="U433" s="98"/>
      <c r="V433" s="98"/>
    </row>
    <row r="434" spans="4:22" ht="12.75">
      <c r="D434" s="98"/>
      <c r="E434" s="98"/>
      <c r="F434" s="98"/>
      <c r="G434" s="98"/>
      <c r="H434" s="98"/>
      <c r="I434" s="98"/>
      <c r="J434" s="98"/>
      <c r="K434" s="98"/>
      <c r="L434" s="98"/>
      <c r="M434" s="98"/>
      <c r="N434" s="98"/>
      <c r="O434" s="98"/>
      <c r="P434" s="98"/>
      <c r="Q434" s="98"/>
      <c r="R434" s="98"/>
      <c r="S434" s="98"/>
      <c r="T434" s="98"/>
      <c r="U434" s="98"/>
      <c r="V434" s="98"/>
    </row>
    <row r="435" spans="4:22" ht="12.75">
      <c r="D435" s="98"/>
      <c r="E435" s="98"/>
      <c r="F435" s="98"/>
      <c r="G435" s="98"/>
      <c r="H435" s="98"/>
      <c r="I435" s="98"/>
      <c r="J435" s="98"/>
      <c r="K435" s="98"/>
      <c r="L435" s="98"/>
      <c r="M435" s="98"/>
      <c r="N435" s="98"/>
      <c r="O435" s="98"/>
      <c r="P435" s="98"/>
      <c r="Q435" s="98"/>
      <c r="R435" s="98"/>
      <c r="S435" s="98"/>
      <c r="T435" s="98"/>
      <c r="U435" s="98"/>
      <c r="V435" s="98"/>
    </row>
    <row r="436" spans="4:22" ht="12.75">
      <c r="D436" s="98"/>
      <c r="E436" s="98"/>
      <c r="F436" s="98"/>
      <c r="G436" s="98"/>
      <c r="H436" s="98"/>
      <c r="I436" s="98"/>
      <c r="J436" s="98"/>
      <c r="K436" s="98"/>
      <c r="L436" s="98"/>
      <c r="M436" s="98"/>
      <c r="N436" s="98"/>
      <c r="O436" s="98"/>
      <c r="P436" s="98"/>
      <c r="Q436" s="98"/>
      <c r="R436" s="98"/>
      <c r="S436" s="98"/>
      <c r="T436" s="98"/>
      <c r="U436" s="98"/>
      <c r="V436" s="98"/>
    </row>
    <row r="437" spans="4:22" ht="12.75">
      <c r="D437" s="98"/>
      <c r="E437" s="98"/>
      <c r="F437" s="98"/>
      <c r="G437" s="98"/>
      <c r="H437" s="98"/>
      <c r="I437" s="98"/>
      <c r="J437" s="98"/>
      <c r="K437" s="98"/>
      <c r="L437" s="98"/>
      <c r="M437" s="98"/>
      <c r="N437" s="98"/>
      <c r="O437" s="98"/>
      <c r="P437" s="98"/>
      <c r="Q437" s="98"/>
      <c r="R437" s="98"/>
      <c r="S437" s="98"/>
      <c r="T437" s="98"/>
      <c r="U437" s="98"/>
      <c r="V437" s="98"/>
    </row>
    <row r="438" spans="4:22" ht="12.75">
      <c r="D438" s="98"/>
      <c r="E438" s="98"/>
      <c r="F438" s="98"/>
      <c r="G438" s="98"/>
      <c r="H438" s="98"/>
      <c r="I438" s="98"/>
      <c r="J438" s="98"/>
      <c r="K438" s="98"/>
      <c r="L438" s="98"/>
      <c r="M438" s="98"/>
      <c r="N438" s="98"/>
      <c r="O438" s="98"/>
      <c r="P438" s="98"/>
      <c r="Q438" s="98"/>
      <c r="R438" s="98"/>
      <c r="S438" s="98"/>
      <c r="T438" s="98"/>
      <c r="U438" s="98"/>
      <c r="V438" s="98"/>
    </row>
    <row r="439" spans="4:22" ht="12.75">
      <c r="D439" s="98"/>
      <c r="E439" s="98"/>
      <c r="F439" s="98"/>
      <c r="G439" s="98"/>
      <c r="H439" s="98"/>
      <c r="I439" s="98"/>
      <c r="J439" s="98"/>
      <c r="K439" s="98"/>
      <c r="L439" s="98"/>
      <c r="M439" s="98"/>
      <c r="N439" s="98"/>
      <c r="O439" s="98"/>
      <c r="P439" s="98"/>
      <c r="Q439" s="98"/>
      <c r="R439" s="98"/>
      <c r="S439" s="98"/>
      <c r="T439" s="98"/>
      <c r="U439" s="98"/>
      <c r="V439" s="98"/>
    </row>
    <row r="440" spans="4:22" ht="12.75">
      <c r="D440" s="98"/>
      <c r="E440" s="98"/>
      <c r="F440" s="98"/>
      <c r="G440" s="98"/>
      <c r="H440" s="98"/>
      <c r="I440" s="98"/>
      <c r="J440" s="98"/>
      <c r="K440" s="98"/>
      <c r="L440" s="98"/>
      <c r="M440" s="98"/>
      <c r="N440" s="98"/>
      <c r="O440" s="98"/>
      <c r="P440" s="98"/>
      <c r="Q440" s="98"/>
      <c r="R440" s="98"/>
      <c r="S440" s="98"/>
      <c r="T440" s="98"/>
      <c r="U440" s="98"/>
      <c r="V440" s="98"/>
    </row>
    <row r="441" spans="4:22" ht="12.75">
      <c r="D441" s="98"/>
      <c r="E441" s="98"/>
      <c r="F441" s="98"/>
      <c r="G441" s="98"/>
      <c r="H441" s="98"/>
      <c r="I441" s="98"/>
      <c r="J441" s="98"/>
      <c r="K441" s="98"/>
      <c r="L441" s="98"/>
      <c r="M441" s="98"/>
      <c r="N441" s="98"/>
      <c r="O441" s="98"/>
      <c r="P441" s="98"/>
      <c r="Q441" s="98"/>
      <c r="R441" s="98"/>
      <c r="S441" s="98"/>
      <c r="T441" s="98"/>
      <c r="U441" s="98"/>
      <c r="V441" s="98"/>
    </row>
    <row r="442" spans="4:22" ht="12.75">
      <c r="D442" s="98"/>
      <c r="E442" s="98"/>
      <c r="F442" s="98"/>
      <c r="G442" s="98"/>
      <c r="H442" s="98"/>
      <c r="I442" s="98"/>
      <c r="J442" s="98"/>
      <c r="K442" s="98"/>
      <c r="L442" s="98"/>
      <c r="M442" s="98"/>
      <c r="N442" s="98"/>
      <c r="O442" s="98"/>
      <c r="P442" s="98"/>
      <c r="Q442" s="98"/>
      <c r="R442" s="98"/>
      <c r="S442" s="98"/>
      <c r="T442" s="98"/>
      <c r="U442" s="98"/>
      <c r="V442" s="98"/>
    </row>
    <row r="443" spans="4:22" ht="12.75">
      <c r="D443" s="98"/>
      <c r="E443" s="98"/>
      <c r="F443" s="98"/>
      <c r="G443" s="98"/>
      <c r="H443" s="98"/>
      <c r="I443" s="98"/>
      <c r="J443" s="98"/>
      <c r="K443" s="98"/>
      <c r="L443" s="98"/>
      <c r="M443" s="98"/>
      <c r="N443" s="98"/>
      <c r="O443" s="98"/>
      <c r="P443" s="98"/>
      <c r="Q443" s="98"/>
      <c r="R443" s="98"/>
      <c r="S443" s="98"/>
      <c r="T443" s="98"/>
      <c r="U443" s="98"/>
      <c r="V443" s="98"/>
    </row>
    <row r="444" spans="4:22" ht="12.75">
      <c r="D444" s="98"/>
      <c r="E444" s="98"/>
      <c r="F444" s="98"/>
      <c r="G444" s="98"/>
      <c r="H444" s="98"/>
      <c r="I444" s="98"/>
      <c r="J444" s="98"/>
      <c r="K444" s="98"/>
      <c r="L444" s="98"/>
      <c r="M444" s="98"/>
      <c r="N444" s="98"/>
      <c r="O444" s="98"/>
      <c r="P444" s="98"/>
      <c r="Q444" s="98"/>
      <c r="R444" s="98"/>
      <c r="S444" s="98"/>
      <c r="T444" s="98"/>
      <c r="U444" s="98"/>
      <c r="V444" s="98"/>
    </row>
    <row r="445" spans="4:22" ht="12.75">
      <c r="D445" s="98"/>
      <c r="E445" s="98"/>
      <c r="F445" s="98"/>
      <c r="G445" s="98"/>
      <c r="H445" s="98"/>
      <c r="I445" s="98"/>
      <c r="J445" s="98"/>
      <c r="K445" s="98"/>
      <c r="L445" s="98"/>
      <c r="M445" s="98"/>
      <c r="N445" s="98"/>
      <c r="O445" s="98"/>
      <c r="P445" s="98"/>
      <c r="Q445" s="98"/>
      <c r="R445" s="98"/>
      <c r="S445" s="98"/>
      <c r="T445" s="98"/>
      <c r="U445" s="98"/>
      <c r="V445" s="98"/>
    </row>
    <row r="446" spans="4:22" ht="12.75">
      <c r="D446" s="98"/>
      <c r="E446" s="98"/>
      <c r="F446" s="98"/>
      <c r="G446" s="98"/>
      <c r="H446" s="98"/>
      <c r="I446" s="98"/>
      <c r="J446" s="98"/>
      <c r="K446" s="98"/>
      <c r="L446" s="98"/>
      <c r="M446" s="98"/>
      <c r="N446" s="98"/>
      <c r="O446" s="98"/>
      <c r="P446" s="98"/>
      <c r="Q446" s="98"/>
      <c r="R446" s="98"/>
      <c r="S446" s="98"/>
      <c r="T446" s="98"/>
      <c r="U446" s="98"/>
      <c r="V446" s="98"/>
    </row>
    <row r="447" spans="4:22" ht="12.75">
      <c r="D447" s="98"/>
      <c r="E447" s="98"/>
      <c r="F447" s="98"/>
      <c r="G447" s="98"/>
      <c r="H447" s="98"/>
      <c r="I447" s="98"/>
      <c r="J447" s="98"/>
      <c r="K447" s="98"/>
      <c r="L447" s="98"/>
      <c r="M447" s="98"/>
      <c r="N447" s="98"/>
      <c r="O447" s="98"/>
      <c r="P447" s="98"/>
      <c r="Q447" s="98"/>
      <c r="R447" s="98"/>
      <c r="S447" s="98"/>
      <c r="T447" s="98"/>
      <c r="U447" s="98"/>
      <c r="V447" s="98"/>
    </row>
    <row r="448" spans="4:22" ht="12.75">
      <c r="D448" s="98"/>
      <c r="E448" s="98"/>
      <c r="F448" s="98"/>
      <c r="G448" s="98"/>
      <c r="H448" s="98"/>
      <c r="I448" s="98"/>
      <c r="J448" s="98"/>
      <c r="K448" s="98"/>
      <c r="L448" s="98"/>
      <c r="M448" s="98"/>
      <c r="N448" s="98"/>
      <c r="O448" s="98"/>
      <c r="P448" s="98"/>
      <c r="Q448" s="98"/>
      <c r="R448" s="98"/>
      <c r="S448" s="98"/>
      <c r="T448" s="98"/>
      <c r="U448" s="98"/>
      <c r="V448" s="98"/>
    </row>
    <row r="449" spans="4:22" ht="12.75">
      <c r="D449" s="98"/>
      <c r="E449" s="98"/>
      <c r="F449" s="98"/>
      <c r="G449" s="98"/>
      <c r="H449" s="98"/>
      <c r="I449" s="98"/>
      <c r="J449" s="98"/>
      <c r="K449" s="98"/>
      <c r="L449" s="98"/>
      <c r="M449" s="98"/>
      <c r="N449" s="98"/>
      <c r="O449" s="98"/>
      <c r="P449" s="98"/>
      <c r="Q449" s="98"/>
      <c r="R449" s="98"/>
      <c r="S449" s="98"/>
      <c r="T449" s="98"/>
      <c r="U449" s="98"/>
      <c r="V449" s="98"/>
    </row>
    <row r="450" spans="4:22" ht="12.75">
      <c r="D450" s="98"/>
      <c r="E450" s="98"/>
      <c r="F450" s="98"/>
      <c r="G450" s="98"/>
      <c r="H450" s="98"/>
      <c r="I450" s="98"/>
      <c r="J450" s="98"/>
      <c r="K450" s="98"/>
      <c r="L450" s="98"/>
      <c r="M450" s="98"/>
      <c r="N450" s="98"/>
      <c r="O450" s="98"/>
      <c r="P450" s="98"/>
      <c r="Q450" s="98"/>
      <c r="R450" s="98"/>
      <c r="S450" s="98"/>
      <c r="T450" s="98"/>
      <c r="U450" s="98"/>
      <c r="V450" s="98"/>
    </row>
    <row r="451" spans="4:22" ht="12.75">
      <c r="D451" s="98"/>
      <c r="E451" s="98"/>
      <c r="F451" s="98"/>
      <c r="G451" s="98"/>
      <c r="H451" s="98"/>
      <c r="I451" s="98"/>
      <c r="J451" s="98"/>
      <c r="K451" s="98"/>
      <c r="L451" s="98"/>
      <c r="M451" s="98"/>
      <c r="N451" s="98"/>
      <c r="O451" s="98"/>
      <c r="P451" s="98"/>
      <c r="Q451" s="98"/>
      <c r="R451" s="98"/>
      <c r="S451" s="98"/>
      <c r="T451" s="98"/>
      <c r="U451" s="98"/>
      <c r="V451" s="98"/>
    </row>
    <row r="452" spans="4:22" ht="12.75">
      <c r="D452" s="98"/>
      <c r="E452" s="98"/>
      <c r="F452" s="98"/>
      <c r="G452" s="98"/>
      <c r="H452" s="98"/>
      <c r="I452" s="98"/>
      <c r="J452" s="98"/>
      <c r="K452" s="98"/>
      <c r="L452" s="98"/>
      <c r="M452" s="98"/>
      <c r="N452" s="98"/>
      <c r="O452" s="98"/>
      <c r="P452" s="98"/>
      <c r="Q452" s="98"/>
      <c r="R452" s="98"/>
      <c r="S452" s="98"/>
      <c r="T452" s="98"/>
      <c r="U452" s="98"/>
      <c r="V452" s="98"/>
    </row>
    <row r="453" spans="4:22" ht="12.75">
      <c r="D453" s="98"/>
      <c r="E453" s="98"/>
      <c r="F453" s="98"/>
      <c r="G453" s="98"/>
      <c r="H453" s="98"/>
      <c r="I453" s="98"/>
      <c r="J453" s="98"/>
      <c r="K453" s="98"/>
      <c r="L453" s="98"/>
      <c r="M453" s="98"/>
      <c r="N453" s="98"/>
      <c r="O453" s="98"/>
      <c r="P453" s="98"/>
      <c r="Q453" s="98"/>
      <c r="R453" s="98"/>
      <c r="S453" s="98"/>
      <c r="T453" s="98"/>
      <c r="U453" s="98"/>
      <c r="V453" s="98"/>
    </row>
    <row r="454" spans="4:22" ht="12.75">
      <c r="D454" s="98"/>
      <c r="E454" s="98"/>
      <c r="F454" s="98"/>
      <c r="G454" s="98"/>
      <c r="H454" s="98"/>
      <c r="I454" s="98"/>
      <c r="J454" s="98"/>
      <c r="K454" s="98"/>
      <c r="L454" s="98"/>
      <c r="M454" s="98"/>
      <c r="N454" s="98"/>
      <c r="O454" s="98"/>
      <c r="P454" s="98"/>
      <c r="Q454" s="98"/>
      <c r="R454" s="98"/>
      <c r="S454" s="98"/>
      <c r="T454" s="98"/>
      <c r="U454" s="98"/>
      <c r="V454" s="98"/>
    </row>
    <row r="455" spans="4:22" ht="12.75">
      <c r="D455" s="98"/>
      <c r="E455" s="98"/>
      <c r="F455" s="98"/>
      <c r="G455" s="98"/>
      <c r="H455" s="98"/>
      <c r="I455" s="98"/>
      <c r="J455" s="98"/>
      <c r="K455" s="98"/>
      <c r="L455" s="98"/>
      <c r="M455" s="98"/>
      <c r="N455" s="98"/>
      <c r="O455" s="98"/>
      <c r="P455" s="98"/>
      <c r="Q455" s="98"/>
      <c r="R455" s="98"/>
      <c r="S455" s="98"/>
      <c r="T455" s="98"/>
      <c r="U455" s="98"/>
      <c r="V455" s="98"/>
    </row>
    <row r="456" spans="4:22" ht="12.75">
      <c r="D456" s="98"/>
      <c r="E456" s="98"/>
      <c r="F456" s="98"/>
      <c r="G456" s="98"/>
      <c r="H456" s="98"/>
      <c r="I456" s="98"/>
      <c r="J456" s="98"/>
      <c r="K456" s="98"/>
      <c r="L456" s="98"/>
      <c r="M456" s="98"/>
      <c r="N456" s="98"/>
      <c r="O456" s="98"/>
      <c r="P456" s="98"/>
      <c r="Q456" s="98"/>
      <c r="R456" s="98"/>
      <c r="S456" s="98"/>
      <c r="T456" s="98"/>
      <c r="U456" s="98"/>
      <c r="V456" s="98"/>
    </row>
    <row r="457" spans="4:22" ht="12.75">
      <c r="D457" s="98"/>
      <c r="E457" s="98"/>
      <c r="F457" s="98"/>
      <c r="G457" s="98"/>
      <c r="H457" s="98"/>
      <c r="I457" s="98"/>
      <c r="J457" s="98"/>
      <c r="K457" s="98"/>
      <c r="L457" s="98"/>
      <c r="M457" s="98"/>
      <c r="N457" s="98"/>
      <c r="O457" s="98"/>
      <c r="P457" s="98"/>
      <c r="Q457" s="98"/>
      <c r="R457" s="98"/>
      <c r="S457" s="98"/>
      <c r="T457" s="98"/>
      <c r="U457" s="98"/>
      <c r="V457" s="98"/>
    </row>
    <row r="458" spans="4:22" ht="12.75">
      <c r="D458" s="98"/>
      <c r="E458" s="98"/>
      <c r="F458" s="98"/>
      <c r="G458" s="98"/>
      <c r="H458" s="98"/>
      <c r="I458" s="98"/>
      <c r="J458" s="98"/>
      <c r="K458" s="98"/>
      <c r="L458" s="98"/>
      <c r="M458" s="98"/>
      <c r="N458" s="98"/>
      <c r="O458" s="98"/>
      <c r="P458" s="98"/>
      <c r="Q458" s="98"/>
      <c r="R458" s="98"/>
      <c r="S458" s="98"/>
      <c r="T458" s="98"/>
      <c r="U458" s="98"/>
      <c r="V458" s="98"/>
    </row>
    <row r="459" spans="4:22" ht="12.75">
      <c r="D459" s="98"/>
      <c r="E459" s="98"/>
      <c r="F459" s="98"/>
      <c r="G459" s="98"/>
      <c r="H459" s="98"/>
      <c r="I459" s="98"/>
      <c r="J459" s="98"/>
      <c r="K459" s="98"/>
      <c r="L459" s="98"/>
      <c r="M459" s="98"/>
      <c r="N459" s="98"/>
      <c r="O459" s="98"/>
      <c r="P459" s="98"/>
      <c r="Q459" s="98"/>
      <c r="R459" s="98"/>
      <c r="S459" s="98"/>
      <c r="T459" s="98"/>
      <c r="U459" s="98"/>
      <c r="V459" s="98"/>
    </row>
    <row r="460" spans="4:22" ht="12.75">
      <c r="D460" s="98"/>
      <c r="E460" s="98"/>
      <c r="F460" s="98"/>
      <c r="G460" s="98"/>
      <c r="H460" s="98"/>
      <c r="I460" s="98"/>
      <c r="J460" s="98"/>
      <c r="K460" s="98"/>
      <c r="L460" s="98"/>
      <c r="M460" s="98"/>
      <c r="N460" s="98"/>
      <c r="O460" s="98"/>
      <c r="P460" s="98"/>
      <c r="Q460" s="98"/>
      <c r="R460" s="98"/>
      <c r="S460" s="98"/>
      <c r="T460" s="98"/>
      <c r="U460" s="98"/>
      <c r="V460" s="98"/>
    </row>
    <row r="461" spans="4:22" ht="12.75">
      <c r="D461" s="98"/>
      <c r="E461" s="98"/>
      <c r="F461" s="98"/>
      <c r="G461" s="98"/>
      <c r="H461" s="98"/>
      <c r="I461" s="98"/>
      <c r="J461" s="98"/>
      <c r="K461" s="98"/>
      <c r="L461" s="98"/>
      <c r="M461" s="98"/>
      <c r="N461" s="98"/>
      <c r="O461" s="98"/>
      <c r="P461" s="98"/>
      <c r="Q461" s="98"/>
      <c r="R461" s="98"/>
      <c r="S461" s="98"/>
      <c r="T461" s="98"/>
      <c r="U461" s="98"/>
      <c r="V461" s="98"/>
    </row>
    <row r="462" spans="4:22" ht="12.75">
      <c r="D462" s="98"/>
      <c r="E462" s="98"/>
      <c r="F462" s="98"/>
      <c r="G462" s="98"/>
      <c r="H462" s="98"/>
      <c r="I462" s="98"/>
      <c r="J462" s="98"/>
      <c r="K462" s="98"/>
      <c r="L462" s="98"/>
      <c r="M462" s="98"/>
      <c r="N462" s="98"/>
      <c r="O462" s="98"/>
      <c r="P462" s="98"/>
      <c r="Q462" s="98"/>
      <c r="R462" s="98"/>
      <c r="S462" s="98"/>
      <c r="T462" s="98"/>
      <c r="U462" s="98"/>
      <c r="V462" s="98"/>
    </row>
    <row r="463" spans="4:22" ht="12.75">
      <c r="D463" s="98"/>
      <c r="E463" s="98"/>
      <c r="F463" s="98"/>
      <c r="G463" s="98"/>
      <c r="H463" s="98"/>
      <c r="I463" s="98"/>
      <c r="J463" s="98"/>
      <c r="K463" s="98"/>
      <c r="L463" s="98"/>
      <c r="M463" s="98"/>
      <c r="N463" s="98"/>
      <c r="O463" s="98"/>
      <c r="P463" s="98"/>
      <c r="Q463" s="98"/>
      <c r="R463" s="98"/>
      <c r="S463" s="98"/>
      <c r="T463" s="98"/>
      <c r="U463" s="98"/>
      <c r="V463" s="98"/>
    </row>
    <row r="464" spans="4:22" ht="12.75">
      <c r="D464" s="98"/>
      <c r="E464" s="98"/>
      <c r="F464" s="98"/>
      <c r="G464" s="98"/>
      <c r="H464" s="98"/>
      <c r="I464" s="98"/>
      <c r="J464" s="98"/>
      <c r="K464" s="98"/>
      <c r="L464" s="98"/>
      <c r="M464" s="98"/>
      <c r="N464" s="98"/>
      <c r="O464" s="98"/>
      <c r="P464" s="98"/>
      <c r="Q464" s="98"/>
      <c r="R464" s="98"/>
      <c r="S464" s="98"/>
      <c r="T464" s="98"/>
      <c r="U464" s="98"/>
      <c r="V464" s="98"/>
    </row>
    <row r="465" spans="4:22" ht="12.75">
      <c r="D465" s="98"/>
      <c r="E465" s="98"/>
      <c r="F465" s="98"/>
      <c r="G465" s="98"/>
      <c r="H465" s="98"/>
      <c r="I465" s="98"/>
      <c r="J465" s="98"/>
      <c r="K465" s="98"/>
      <c r="L465" s="98"/>
      <c r="M465" s="98"/>
      <c r="N465" s="98"/>
      <c r="O465" s="98"/>
      <c r="P465" s="98"/>
      <c r="Q465" s="98"/>
      <c r="R465" s="98"/>
      <c r="S465" s="98"/>
      <c r="T465" s="98"/>
      <c r="U465" s="98"/>
      <c r="V465" s="98"/>
    </row>
    <row r="466" spans="4:22" ht="12.75">
      <c r="D466" s="98"/>
      <c r="E466" s="98"/>
      <c r="F466" s="98"/>
      <c r="G466" s="98"/>
      <c r="H466" s="98"/>
      <c r="I466" s="98"/>
      <c r="J466" s="98"/>
      <c r="K466" s="98"/>
      <c r="L466" s="98"/>
      <c r="M466" s="98"/>
      <c r="N466" s="98"/>
      <c r="O466" s="98"/>
      <c r="P466" s="98"/>
      <c r="Q466" s="98"/>
      <c r="R466" s="98"/>
      <c r="S466" s="98"/>
      <c r="T466" s="98"/>
      <c r="U466" s="98"/>
      <c r="V466" s="98"/>
    </row>
    <row r="467" spans="4:22" ht="12.75">
      <c r="D467" s="98"/>
      <c r="E467" s="98"/>
      <c r="F467" s="98"/>
      <c r="G467" s="98"/>
      <c r="H467" s="98"/>
      <c r="I467" s="98"/>
      <c r="J467" s="98"/>
      <c r="K467" s="98"/>
      <c r="L467" s="98"/>
      <c r="M467" s="98"/>
      <c r="N467" s="98"/>
      <c r="O467" s="98"/>
      <c r="P467" s="98"/>
      <c r="Q467" s="98"/>
      <c r="R467" s="98"/>
      <c r="S467" s="98"/>
      <c r="T467" s="98"/>
      <c r="U467" s="98"/>
      <c r="V467" s="98"/>
    </row>
    <row r="468" spans="4:22" ht="12.75">
      <c r="D468" s="98"/>
      <c r="E468" s="98"/>
      <c r="F468" s="98"/>
      <c r="G468" s="98"/>
      <c r="H468" s="98"/>
      <c r="I468" s="98"/>
      <c r="J468" s="98"/>
      <c r="K468" s="98"/>
      <c r="L468" s="98"/>
      <c r="M468" s="98"/>
      <c r="N468" s="98"/>
      <c r="O468" s="98"/>
      <c r="P468" s="98"/>
      <c r="Q468" s="98"/>
      <c r="R468" s="98"/>
      <c r="S468" s="98"/>
      <c r="T468" s="98"/>
      <c r="U468" s="98"/>
      <c r="V468" s="98"/>
    </row>
    <row r="469" spans="4:22" ht="12.75">
      <c r="D469" s="98"/>
      <c r="E469" s="98"/>
      <c r="F469" s="98"/>
      <c r="G469" s="98"/>
      <c r="H469" s="98"/>
      <c r="I469" s="98"/>
      <c r="J469" s="98"/>
      <c r="K469" s="98"/>
      <c r="L469" s="98"/>
      <c r="M469" s="98"/>
      <c r="N469" s="98"/>
      <c r="O469" s="98"/>
      <c r="P469" s="98"/>
      <c r="Q469" s="98"/>
      <c r="R469" s="98"/>
      <c r="S469" s="98"/>
      <c r="T469" s="98"/>
      <c r="U469" s="98"/>
      <c r="V469" s="98"/>
    </row>
    <row r="470" spans="4:22" ht="12.75">
      <c r="D470" s="98"/>
      <c r="E470" s="98"/>
      <c r="F470" s="98"/>
      <c r="G470" s="98"/>
      <c r="H470" s="98"/>
      <c r="I470" s="98"/>
      <c r="J470" s="98"/>
      <c r="K470" s="98"/>
      <c r="L470" s="98"/>
      <c r="M470" s="98"/>
      <c r="N470" s="98"/>
      <c r="O470" s="98"/>
      <c r="P470" s="98"/>
      <c r="Q470" s="98"/>
      <c r="R470" s="98"/>
      <c r="S470" s="98"/>
      <c r="T470" s="98"/>
      <c r="U470" s="98"/>
      <c r="V470" s="98"/>
    </row>
    <row r="471" spans="4:22" ht="12.75">
      <c r="D471" s="98"/>
      <c r="E471" s="98"/>
      <c r="F471" s="98"/>
      <c r="G471" s="98"/>
      <c r="H471" s="98"/>
      <c r="I471" s="98"/>
      <c r="J471" s="98"/>
      <c r="K471" s="98"/>
      <c r="L471" s="98"/>
      <c r="M471" s="98"/>
      <c r="N471" s="98"/>
      <c r="O471" s="98"/>
      <c r="P471" s="98"/>
      <c r="Q471" s="98"/>
      <c r="R471" s="98"/>
      <c r="S471" s="98"/>
      <c r="T471" s="98"/>
      <c r="U471" s="98"/>
      <c r="V471" s="98"/>
    </row>
    <row r="472" spans="4:22" ht="12.75">
      <c r="D472" s="98"/>
      <c r="E472" s="98"/>
      <c r="F472" s="98"/>
      <c r="G472" s="98"/>
      <c r="H472" s="98"/>
      <c r="I472" s="98"/>
      <c r="J472" s="98"/>
      <c r="K472" s="98"/>
      <c r="L472" s="98"/>
      <c r="M472" s="98"/>
      <c r="N472" s="98"/>
      <c r="O472" s="98"/>
      <c r="P472" s="98"/>
      <c r="Q472" s="98"/>
      <c r="R472" s="98"/>
      <c r="S472" s="98"/>
      <c r="T472" s="98"/>
      <c r="U472" s="98"/>
      <c r="V472" s="98"/>
    </row>
    <row r="473" spans="4:22" ht="12.75">
      <c r="D473" s="98"/>
      <c r="E473" s="98"/>
      <c r="F473" s="98"/>
      <c r="G473" s="98"/>
      <c r="H473" s="98"/>
      <c r="I473" s="98"/>
      <c r="J473" s="98"/>
      <c r="K473" s="98"/>
      <c r="L473" s="98"/>
      <c r="M473" s="98"/>
      <c r="N473" s="98"/>
      <c r="O473" s="98"/>
      <c r="P473" s="98"/>
      <c r="Q473" s="98"/>
      <c r="R473" s="98"/>
      <c r="S473" s="98"/>
      <c r="T473" s="98"/>
      <c r="U473" s="98"/>
      <c r="V473" s="98"/>
    </row>
    <row r="474" spans="4:22" ht="12.75">
      <c r="D474" s="98"/>
      <c r="E474" s="98"/>
      <c r="F474" s="98"/>
      <c r="G474" s="98"/>
      <c r="H474" s="98"/>
      <c r="I474" s="98"/>
      <c r="J474" s="98"/>
      <c r="K474" s="98"/>
      <c r="L474" s="98"/>
      <c r="M474" s="98"/>
      <c r="N474" s="98"/>
      <c r="O474" s="98"/>
      <c r="P474" s="98"/>
      <c r="Q474" s="98"/>
      <c r="R474" s="98"/>
      <c r="S474" s="98"/>
      <c r="T474" s="98"/>
      <c r="U474" s="98"/>
      <c r="V474" s="98"/>
    </row>
    <row r="475" spans="4:22" ht="12.75">
      <c r="D475" s="98"/>
      <c r="E475" s="98"/>
      <c r="F475" s="98"/>
      <c r="G475" s="98"/>
      <c r="H475" s="98"/>
      <c r="I475" s="98"/>
      <c r="J475" s="98"/>
      <c r="K475" s="98"/>
      <c r="L475" s="98"/>
      <c r="M475" s="98"/>
      <c r="N475" s="98"/>
      <c r="O475" s="98"/>
      <c r="P475" s="98"/>
      <c r="Q475" s="98"/>
      <c r="R475" s="98"/>
      <c r="S475" s="98"/>
      <c r="T475" s="98"/>
      <c r="U475" s="98"/>
      <c r="V475" s="98"/>
    </row>
    <row r="476" spans="4:22" ht="12.75">
      <c r="D476" s="98"/>
      <c r="E476" s="98"/>
      <c r="F476" s="98"/>
      <c r="G476" s="98"/>
      <c r="H476" s="98"/>
      <c r="I476" s="98"/>
      <c r="J476" s="98"/>
      <c r="K476" s="98"/>
      <c r="L476" s="98"/>
      <c r="M476" s="98"/>
      <c r="N476" s="98"/>
      <c r="O476" s="98"/>
      <c r="P476" s="98"/>
      <c r="Q476" s="98"/>
      <c r="R476" s="98"/>
      <c r="S476" s="98"/>
      <c r="T476" s="98"/>
      <c r="U476" s="98"/>
      <c r="V476" s="98"/>
    </row>
    <row r="477" spans="4:22" ht="12.75">
      <c r="D477" s="98"/>
      <c r="E477" s="98"/>
      <c r="F477" s="98"/>
      <c r="G477" s="98"/>
      <c r="H477" s="98"/>
      <c r="I477" s="98"/>
      <c r="J477" s="98"/>
      <c r="K477" s="98"/>
      <c r="L477" s="98"/>
      <c r="M477" s="98"/>
      <c r="N477" s="98"/>
      <c r="O477" s="98"/>
      <c r="P477" s="98"/>
      <c r="Q477" s="98"/>
      <c r="R477" s="98"/>
      <c r="S477" s="98"/>
      <c r="T477" s="98"/>
      <c r="U477" s="98"/>
      <c r="V477" s="98"/>
    </row>
    <row r="478" spans="4:22" ht="12.75">
      <c r="D478" s="98"/>
      <c r="E478" s="98"/>
      <c r="F478" s="98"/>
      <c r="G478" s="98"/>
      <c r="H478" s="98"/>
      <c r="I478" s="98"/>
      <c r="J478" s="98"/>
      <c r="K478" s="98"/>
      <c r="L478" s="98"/>
      <c r="M478" s="98"/>
      <c r="N478" s="98"/>
      <c r="O478" s="98"/>
      <c r="P478" s="98"/>
      <c r="Q478" s="98"/>
      <c r="R478" s="98"/>
      <c r="S478" s="98"/>
      <c r="T478" s="98"/>
      <c r="U478" s="98"/>
      <c r="V478" s="98"/>
    </row>
    <row r="479" spans="4:22" ht="12.75">
      <c r="D479" s="98"/>
      <c r="E479" s="98"/>
      <c r="F479" s="98"/>
      <c r="G479" s="98"/>
      <c r="H479" s="98"/>
      <c r="I479" s="98"/>
      <c r="J479" s="98"/>
      <c r="K479" s="98"/>
      <c r="L479" s="98"/>
      <c r="M479" s="98"/>
      <c r="N479" s="98"/>
      <c r="O479" s="98"/>
      <c r="P479" s="98"/>
      <c r="Q479" s="98"/>
      <c r="R479" s="98"/>
      <c r="S479" s="98"/>
      <c r="T479" s="98"/>
      <c r="U479" s="98"/>
      <c r="V479" s="98"/>
    </row>
    <row r="480" spans="4:22" ht="12.75">
      <c r="D480" s="98"/>
      <c r="E480" s="98"/>
      <c r="F480" s="98"/>
      <c r="G480" s="98"/>
      <c r="H480" s="98"/>
      <c r="I480" s="98"/>
      <c r="J480" s="98"/>
      <c r="K480" s="98"/>
      <c r="L480" s="98"/>
      <c r="M480" s="98"/>
      <c r="N480" s="98"/>
      <c r="O480" s="98"/>
      <c r="P480" s="98"/>
      <c r="Q480" s="98"/>
      <c r="R480" s="98"/>
      <c r="S480" s="98"/>
      <c r="T480" s="98"/>
      <c r="U480" s="98"/>
      <c r="V480" s="98"/>
    </row>
    <row r="481" spans="4:22" ht="12.75">
      <c r="D481" s="98"/>
      <c r="E481" s="98"/>
      <c r="F481" s="98"/>
      <c r="G481" s="98"/>
      <c r="H481" s="98"/>
      <c r="I481" s="98"/>
      <c r="J481" s="98"/>
      <c r="K481" s="98"/>
      <c r="L481" s="98"/>
      <c r="M481" s="98"/>
      <c r="N481" s="98"/>
      <c r="O481" s="98"/>
      <c r="P481" s="98"/>
      <c r="Q481" s="98"/>
      <c r="R481" s="98"/>
      <c r="S481" s="98"/>
      <c r="T481" s="98"/>
      <c r="U481" s="98"/>
      <c r="V481" s="98"/>
    </row>
    <row r="482" spans="4:22" ht="12.75">
      <c r="D482" s="98"/>
      <c r="E482" s="98"/>
      <c r="F482" s="98"/>
      <c r="G482" s="98"/>
      <c r="H482" s="98"/>
      <c r="I482" s="98"/>
      <c r="J482" s="98"/>
      <c r="K482" s="98"/>
      <c r="L482" s="98"/>
      <c r="M482" s="98"/>
      <c r="N482" s="98"/>
      <c r="O482" s="98"/>
      <c r="P482" s="98"/>
      <c r="Q482" s="98"/>
      <c r="R482" s="98"/>
      <c r="S482" s="98"/>
      <c r="T482" s="98"/>
      <c r="U482" s="98"/>
      <c r="V482" s="98"/>
    </row>
    <row r="483" spans="4:22" ht="12.75">
      <c r="D483" s="98"/>
      <c r="E483" s="98"/>
      <c r="F483" s="98"/>
      <c r="G483" s="98"/>
      <c r="H483" s="98"/>
      <c r="I483" s="98"/>
      <c r="J483" s="98"/>
      <c r="K483" s="98"/>
      <c r="L483" s="98"/>
      <c r="M483" s="98"/>
      <c r="N483" s="98"/>
      <c r="O483" s="98"/>
      <c r="P483" s="98"/>
      <c r="Q483" s="98"/>
      <c r="R483" s="98"/>
      <c r="S483" s="98"/>
      <c r="T483" s="98"/>
      <c r="U483" s="98"/>
      <c r="V483" s="98"/>
    </row>
    <row r="484" spans="4:22" ht="12.75">
      <c r="D484" s="98"/>
      <c r="E484" s="98"/>
      <c r="F484" s="98"/>
      <c r="G484" s="98"/>
      <c r="H484" s="98"/>
      <c r="I484" s="98"/>
      <c r="J484" s="98"/>
      <c r="K484" s="98"/>
      <c r="L484" s="98"/>
      <c r="M484" s="98"/>
      <c r="N484" s="98"/>
      <c r="O484" s="98"/>
      <c r="P484" s="98"/>
      <c r="Q484" s="98"/>
      <c r="R484" s="98"/>
      <c r="S484" s="98"/>
      <c r="T484" s="98"/>
      <c r="U484" s="98"/>
      <c r="V484" s="98"/>
    </row>
    <row r="485" spans="4:22" ht="12.75">
      <c r="D485" s="98"/>
      <c r="E485" s="98"/>
      <c r="F485" s="98"/>
      <c r="G485" s="98"/>
      <c r="H485" s="98"/>
      <c r="I485" s="98"/>
      <c r="J485" s="98"/>
      <c r="K485" s="98"/>
      <c r="L485" s="98"/>
      <c r="M485" s="98"/>
      <c r="N485" s="98"/>
      <c r="O485" s="98"/>
      <c r="P485" s="98"/>
      <c r="Q485" s="98"/>
      <c r="R485" s="98"/>
      <c r="S485" s="98"/>
      <c r="T485" s="98"/>
      <c r="U485" s="98"/>
      <c r="V485" s="98"/>
    </row>
    <row r="486" spans="4:22" ht="12.75">
      <c r="D486" s="98"/>
      <c r="E486" s="98"/>
      <c r="F486" s="98"/>
      <c r="G486" s="98"/>
      <c r="H486" s="98"/>
      <c r="I486" s="98"/>
      <c r="J486" s="98"/>
      <c r="K486" s="98"/>
      <c r="L486" s="98"/>
      <c r="M486" s="98"/>
      <c r="N486" s="98"/>
      <c r="O486" s="98"/>
      <c r="P486" s="98"/>
      <c r="Q486" s="98"/>
      <c r="R486" s="98"/>
      <c r="S486" s="98"/>
      <c r="T486" s="98"/>
      <c r="U486" s="98"/>
      <c r="V486" s="98"/>
    </row>
    <row r="487" spans="4:22" ht="12.75">
      <c r="D487" s="98"/>
      <c r="E487" s="98"/>
      <c r="F487" s="98"/>
      <c r="G487" s="98"/>
      <c r="H487" s="98"/>
      <c r="I487" s="98"/>
      <c r="J487" s="98"/>
      <c r="K487" s="98"/>
      <c r="L487" s="98"/>
      <c r="M487" s="98"/>
      <c r="N487" s="98"/>
      <c r="O487" s="98"/>
      <c r="P487" s="98"/>
      <c r="Q487" s="98"/>
      <c r="R487" s="98"/>
      <c r="S487" s="98"/>
      <c r="T487" s="98"/>
      <c r="U487" s="98"/>
      <c r="V487" s="98"/>
    </row>
    <row r="488" spans="4:22" ht="12.75">
      <c r="D488" s="98"/>
      <c r="E488" s="98"/>
      <c r="F488" s="98"/>
      <c r="G488" s="98"/>
      <c r="H488" s="98"/>
      <c r="I488" s="98"/>
      <c r="J488" s="98"/>
      <c r="K488" s="98"/>
      <c r="L488" s="98"/>
      <c r="M488" s="98"/>
      <c r="N488" s="98"/>
      <c r="O488" s="98"/>
      <c r="P488" s="98"/>
      <c r="Q488" s="98"/>
      <c r="R488" s="98"/>
      <c r="S488" s="98"/>
      <c r="T488" s="98"/>
      <c r="U488" s="98"/>
      <c r="V488" s="98"/>
    </row>
    <row r="489" spans="4:22" ht="12.75">
      <c r="D489" s="98"/>
      <c r="E489" s="98"/>
      <c r="F489" s="98"/>
      <c r="G489" s="98"/>
      <c r="H489" s="98"/>
      <c r="I489" s="98"/>
      <c r="J489" s="98"/>
      <c r="K489" s="98"/>
      <c r="L489" s="98"/>
      <c r="M489" s="98"/>
      <c r="N489" s="98"/>
      <c r="O489" s="98"/>
      <c r="P489" s="98"/>
      <c r="Q489" s="98"/>
      <c r="R489" s="98"/>
      <c r="S489" s="98"/>
      <c r="T489" s="98"/>
      <c r="U489" s="98"/>
      <c r="V489" s="98"/>
    </row>
    <row r="490" spans="4:22" ht="12.75">
      <c r="D490" s="98"/>
      <c r="E490" s="98"/>
      <c r="F490" s="98"/>
      <c r="G490" s="98"/>
      <c r="H490" s="98"/>
      <c r="I490" s="98"/>
      <c r="J490" s="98"/>
      <c r="K490" s="98"/>
      <c r="L490" s="98"/>
      <c r="M490" s="98"/>
      <c r="N490" s="98"/>
      <c r="O490" s="98"/>
      <c r="P490" s="98"/>
      <c r="Q490" s="98"/>
      <c r="R490" s="98"/>
      <c r="S490" s="98"/>
      <c r="T490" s="98"/>
      <c r="U490" s="98"/>
      <c r="V490" s="98"/>
    </row>
    <row r="491" spans="4:22" ht="12.75">
      <c r="D491" s="98"/>
      <c r="E491" s="98"/>
      <c r="F491" s="98"/>
      <c r="G491" s="98"/>
      <c r="H491" s="98"/>
      <c r="I491" s="98"/>
      <c r="J491" s="98"/>
      <c r="K491" s="98"/>
      <c r="L491" s="98"/>
      <c r="M491" s="98"/>
      <c r="N491" s="98"/>
      <c r="O491" s="98"/>
      <c r="P491" s="98"/>
      <c r="Q491" s="98"/>
      <c r="R491" s="98"/>
      <c r="S491" s="98"/>
      <c r="T491" s="98"/>
      <c r="U491" s="98"/>
      <c r="V491" s="98"/>
    </row>
    <row r="492" spans="4:22" ht="12.75">
      <c r="D492" s="98"/>
      <c r="E492" s="98"/>
      <c r="F492" s="98"/>
      <c r="G492" s="98"/>
      <c r="H492" s="98"/>
      <c r="I492" s="98"/>
      <c r="J492" s="98"/>
      <c r="K492" s="98"/>
      <c r="L492" s="98"/>
      <c r="M492" s="98"/>
      <c r="N492" s="98"/>
      <c r="O492" s="98"/>
      <c r="P492" s="98"/>
      <c r="Q492" s="98"/>
      <c r="R492" s="98"/>
      <c r="S492" s="98"/>
      <c r="T492" s="98"/>
      <c r="U492" s="98"/>
      <c r="V492" s="98"/>
    </row>
    <row r="493" spans="4:22" ht="12.75">
      <c r="D493" s="98"/>
      <c r="E493" s="98"/>
      <c r="F493" s="98"/>
      <c r="G493" s="98"/>
      <c r="H493" s="98"/>
      <c r="I493" s="98"/>
      <c r="J493" s="98"/>
      <c r="K493" s="98"/>
      <c r="L493" s="98"/>
      <c r="M493" s="98"/>
      <c r="N493" s="98"/>
      <c r="O493" s="98"/>
      <c r="P493" s="98"/>
      <c r="Q493" s="98"/>
      <c r="R493" s="98"/>
      <c r="S493" s="98"/>
      <c r="T493" s="98"/>
      <c r="U493" s="98"/>
      <c r="V493" s="98"/>
    </row>
    <row r="494" spans="4:22" ht="12.75">
      <c r="D494" s="98"/>
      <c r="E494" s="98"/>
      <c r="F494" s="98"/>
      <c r="G494" s="98"/>
      <c r="H494" s="98"/>
      <c r="I494" s="98"/>
      <c r="J494" s="98"/>
      <c r="K494" s="98"/>
      <c r="L494" s="98"/>
      <c r="M494" s="98"/>
      <c r="N494" s="98"/>
      <c r="O494" s="98"/>
      <c r="P494" s="98"/>
      <c r="Q494" s="98"/>
      <c r="R494" s="98"/>
      <c r="S494" s="98"/>
      <c r="T494" s="98"/>
      <c r="U494" s="98"/>
      <c r="V494" s="98"/>
    </row>
    <row r="495" spans="4:22" ht="12.75">
      <c r="D495" s="98"/>
      <c r="E495" s="98"/>
      <c r="F495" s="98"/>
      <c r="G495" s="98"/>
      <c r="H495" s="98"/>
      <c r="I495" s="98"/>
      <c r="J495" s="98"/>
      <c r="K495" s="98"/>
      <c r="L495" s="98"/>
      <c r="M495" s="98"/>
      <c r="N495" s="98"/>
      <c r="O495" s="98"/>
      <c r="P495" s="98"/>
      <c r="Q495" s="98"/>
      <c r="R495" s="98"/>
      <c r="S495" s="98"/>
      <c r="T495" s="98"/>
      <c r="U495" s="98"/>
      <c r="V495" s="98"/>
    </row>
    <row r="496" spans="4:22" ht="12.75">
      <c r="D496" s="98"/>
      <c r="E496" s="98"/>
      <c r="F496" s="98"/>
      <c r="G496" s="98"/>
      <c r="H496" s="98"/>
      <c r="I496" s="98"/>
      <c r="J496" s="98"/>
      <c r="K496" s="98"/>
      <c r="L496" s="98"/>
      <c r="M496" s="98"/>
      <c r="N496" s="98"/>
      <c r="O496" s="98"/>
      <c r="P496" s="98"/>
      <c r="Q496" s="98"/>
      <c r="R496" s="98"/>
      <c r="S496" s="98"/>
      <c r="T496" s="98"/>
      <c r="U496" s="98"/>
      <c r="V496" s="98"/>
    </row>
    <row r="497" spans="4:22" ht="12.75">
      <c r="D497" s="98"/>
      <c r="E497" s="98"/>
      <c r="F497" s="98"/>
      <c r="G497" s="98"/>
      <c r="H497" s="98"/>
      <c r="I497" s="98"/>
      <c r="J497" s="98"/>
      <c r="K497" s="98"/>
      <c r="L497" s="98"/>
      <c r="M497" s="98"/>
      <c r="N497" s="98"/>
      <c r="O497" s="98"/>
      <c r="P497" s="98"/>
      <c r="Q497" s="98"/>
      <c r="R497" s="98"/>
      <c r="S497" s="98"/>
      <c r="T497" s="98"/>
      <c r="U497" s="98"/>
      <c r="V497" s="98"/>
    </row>
    <row r="498" spans="4:22" ht="12.75">
      <c r="D498" s="98"/>
      <c r="E498" s="98"/>
      <c r="F498" s="98"/>
      <c r="G498" s="98"/>
      <c r="H498" s="98"/>
      <c r="I498" s="98"/>
      <c r="J498" s="98"/>
      <c r="K498" s="98"/>
      <c r="L498" s="98"/>
      <c r="M498" s="98"/>
      <c r="N498" s="98"/>
      <c r="O498" s="98"/>
      <c r="P498" s="98"/>
      <c r="Q498" s="98"/>
      <c r="R498" s="98"/>
      <c r="S498" s="98"/>
      <c r="T498" s="98"/>
      <c r="U498" s="98"/>
      <c r="V498" s="98"/>
    </row>
    <row r="499" spans="4:22" ht="12.75">
      <c r="D499" s="98"/>
      <c r="E499" s="98"/>
      <c r="F499" s="98"/>
      <c r="G499" s="98"/>
      <c r="H499" s="98"/>
      <c r="I499" s="98"/>
      <c r="J499" s="98"/>
      <c r="K499" s="98"/>
      <c r="L499" s="98"/>
      <c r="M499" s="98"/>
      <c r="N499" s="98"/>
      <c r="O499" s="98"/>
      <c r="P499" s="98"/>
      <c r="Q499" s="98"/>
      <c r="R499" s="98"/>
      <c r="S499" s="98"/>
      <c r="T499" s="98"/>
      <c r="U499" s="98"/>
      <c r="V499" s="98"/>
    </row>
    <row r="500" spans="4:22" ht="12.75">
      <c r="D500" s="98"/>
      <c r="E500" s="98"/>
      <c r="F500" s="98"/>
      <c r="G500" s="98"/>
      <c r="H500" s="98"/>
      <c r="I500" s="98"/>
      <c r="J500" s="98"/>
      <c r="K500" s="98"/>
      <c r="L500" s="98"/>
      <c r="M500" s="98"/>
      <c r="N500" s="98"/>
      <c r="O500" s="98"/>
      <c r="P500" s="98"/>
      <c r="Q500" s="98"/>
      <c r="R500" s="98"/>
      <c r="S500" s="98"/>
      <c r="T500" s="98"/>
      <c r="U500" s="98"/>
      <c r="V500" s="98"/>
    </row>
    <row r="501" spans="4:22" ht="12.75">
      <c r="D501" s="98"/>
      <c r="E501" s="98"/>
      <c r="F501" s="98"/>
      <c r="G501" s="98"/>
      <c r="H501" s="98"/>
      <c r="I501" s="98"/>
      <c r="J501" s="98"/>
      <c r="K501" s="98"/>
      <c r="L501" s="98"/>
      <c r="M501" s="98"/>
      <c r="N501" s="98"/>
      <c r="O501" s="98"/>
      <c r="P501" s="98"/>
      <c r="Q501" s="98"/>
      <c r="R501" s="98"/>
      <c r="S501" s="98"/>
      <c r="T501" s="98"/>
      <c r="U501" s="98"/>
      <c r="V501" s="98"/>
    </row>
    <row r="502" spans="4:22" ht="12.75">
      <c r="D502" s="98"/>
      <c r="E502" s="98"/>
      <c r="F502" s="98"/>
      <c r="G502" s="98"/>
      <c r="H502" s="98"/>
      <c r="I502" s="98"/>
      <c r="J502" s="98"/>
      <c r="K502" s="98"/>
      <c r="L502" s="98"/>
      <c r="M502" s="98"/>
      <c r="N502" s="98"/>
      <c r="O502" s="98"/>
      <c r="P502" s="98"/>
      <c r="Q502" s="98"/>
      <c r="R502" s="98"/>
      <c r="S502" s="98"/>
      <c r="T502" s="98"/>
      <c r="U502" s="98"/>
      <c r="V502" s="98"/>
    </row>
    <row r="503" spans="4:22" ht="12.75">
      <c r="D503" s="98"/>
      <c r="E503" s="98"/>
      <c r="F503" s="98"/>
      <c r="G503" s="98"/>
      <c r="H503" s="98"/>
      <c r="I503" s="98"/>
      <c r="J503" s="98"/>
      <c r="K503" s="98"/>
      <c r="L503" s="98"/>
      <c r="M503" s="98"/>
      <c r="N503" s="98"/>
      <c r="O503" s="98"/>
      <c r="P503" s="98"/>
      <c r="Q503" s="98"/>
      <c r="R503" s="98"/>
      <c r="S503" s="98"/>
      <c r="T503" s="98"/>
      <c r="U503" s="98"/>
      <c r="V503" s="98"/>
    </row>
    <row r="504" spans="4:22" ht="12.75">
      <c r="D504" s="98"/>
      <c r="E504" s="98"/>
      <c r="F504" s="98"/>
      <c r="G504" s="98"/>
      <c r="H504" s="98"/>
      <c r="I504" s="98"/>
      <c r="J504" s="98"/>
      <c r="K504" s="98"/>
      <c r="L504" s="98"/>
      <c r="M504" s="98"/>
      <c r="N504" s="98"/>
      <c r="O504" s="98"/>
      <c r="P504" s="98"/>
      <c r="Q504" s="98"/>
      <c r="R504" s="98"/>
      <c r="S504" s="98"/>
      <c r="T504" s="98"/>
      <c r="U504" s="98"/>
      <c r="V504" s="98"/>
    </row>
    <row r="505" spans="4:22" ht="12.75">
      <c r="D505" s="98"/>
      <c r="E505" s="98"/>
      <c r="F505" s="98"/>
      <c r="G505" s="98"/>
      <c r="H505" s="98"/>
      <c r="I505" s="98"/>
      <c r="J505" s="98"/>
      <c r="K505" s="98"/>
      <c r="L505" s="98"/>
      <c r="M505" s="98"/>
      <c r="N505" s="98"/>
      <c r="O505" s="98"/>
      <c r="P505" s="98"/>
      <c r="Q505" s="98"/>
      <c r="R505" s="98"/>
      <c r="S505" s="98"/>
      <c r="T505" s="98"/>
      <c r="U505" s="98"/>
      <c r="V505" s="98"/>
    </row>
    <row r="506" spans="4:22" ht="12.75">
      <c r="D506" s="98"/>
      <c r="E506" s="98"/>
      <c r="F506" s="98"/>
      <c r="G506" s="98"/>
      <c r="H506" s="98"/>
      <c r="I506" s="98"/>
      <c r="J506" s="98"/>
      <c r="K506" s="98"/>
      <c r="L506" s="98"/>
      <c r="M506" s="98"/>
      <c r="N506" s="98"/>
      <c r="O506" s="98"/>
      <c r="P506" s="98"/>
      <c r="Q506" s="98"/>
      <c r="R506" s="98"/>
      <c r="S506" s="98"/>
      <c r="T506" s="98"/>
      <c r="U506" s="98"/>
      <c r="V506" s="98"/>
    </row>
    <row r="507" spans="4:22" ht="12.75">
      <c r="D507" s="98"/>
      <c r="E507" s="98"/>
      <c r="F507" s="98"/>
      <c r="G507" s="98"/>
      <c r="H507" s="98"/>
      <c r="I507" s="98"/>
      <c r="J507" s="98"/>
      <c r="K507" s="98"/>
      <c r="L507" s="98"/>
      <c r="M507" s="98"/>
      <c r="N507" s="98"/>
      <c r="O507" s="98"/>
      <c r="P507" s="98"/>
      <c r="Q507" s="98"/>
      <c r="R507" s="98"/>
      <c r="S507" s="98"/>
      <c r="T507" s="98"/>
      <c r="U507" s="98"/>
      <c r="V507" s="98"/>
    </row>
    <row r="508" spans="4:22" ht="12.75">
      <c r="D508" s="98"/>
      <c r="E508" s="98"/>
      <c r="F508" s="98"/>
      <c r="G508" s="98"/>
      <c r="H508" s="98"/>
      <c r="I508" s="98"/>
      <c r="J508" s="98"/>
      <c r="K508" s="98"/>
      <c r="L508" s="98"/>
      <c r="M508" s="98"/>
      <c r="N508" s="98"/>
      <c r="O508" s="98"/>
      <c r="P508" s="98"/>
      <c r="Q508" s="98"/>
      <c r="R508" s="98"/>
      <c r="S508" s="98"/>
      <c r="T508" s="98"/>
      <c r="U508" s="98"/>
      <c r="V508" s="98"/>
    </row>
    <row r="509" spans="4:22" ht="12.75">
      <c r="D509" s="98"/>
      <c r="E509" s="98"/>
      <c r="F509" s="98"/>
      <c r="G509" s="98"/>
      <c r="H509" s="98"/>
      <c r="I509" s="98"/>
      <c r="J509" s="98"/>
      <c r="K509" s="98"/>
      <c r="L509" s="98"/>
      <c r="M509" s="98"/>
      <c r="N509" s="98"/>
      <c r="O509" s="98"/>
      <c r="P509" s="98"/>
      <c r="Q509" s="98"/>
      <c r="R509" s="98"/>
      <c r="S509" s="98"/>
      <c r="T509" s="98"/>
      <c r="U509" s="98"/>
      <c r="V509" s="98"/>
    </row>
    <row r="510" spans="4:22" ht="12.75">
      <c r="D510" s="98"/>
      <c r="E510" s="98"/>
      <c r="F510" s="98"/>
      <c r="G510" s="98"/>
      <c r="H510" s="98"/>
      <c r="I510" s="98"/>
      <c r="J510" s="98"/>
      <c r="K510" s="98"/>
      <c r="L510" s="98"/>
      <c r="M510" s="98"/>
      <c r="N510" s="98"/>
      <c r="O510" s="98"/>
      <c r="P510" s="98"/>
      <c r="Q510" s="98"/>
      <c r="R510" s="98"/>
      <c r="S510" s="98"/>
      <c r="T510" s="98"/>
      <c r="U510" s="98"/>
      <c r="V510" s="98"/>
    </row>
    <row r="511" spans="4:22" ht="12.75">
      <c r="D511" s="98"/>
      <c r="E511" s="98"/>
      <c r="F511" s="98"/>
      <c r="G511" s="98"/>
      <c r="H511" s="98"/>
      <c r="I511" s="98"/>
      <c r="J511" s="98"/>
      <c r="K511" s="98"/>
      <c r="L511" s="98"/>
      <c r="M511" s="98"/>
      <c r="N511" s="98"/>
      <c r="O511" s="98"/>
      <c r="P511" s="98"/>
      <c r="Q511" s="98"/>
      <c r="R511" s="98"/>
      <c r="S511" s="98"/>
      <c r="T511" s="98"/>
      <c r="U511" s="98"/>
      <c r="V511" s="98"/>
    </row>
    <row r="512" spans="4:22" ht="12.75">
      <c r="D512" s="98"/>
      <c r="E512" s="98"/>
      <c r="F512" s="98"/>
      <c r="G512" s="98"/>
      <c r="H512" s="98"/>
      <c r="I512" s="98"/>
      <c r="J512" s="98"/>
      <c r="K512" s="98"/>
      <c r="L512" s="98"/>
      <c r="M512" s="98"/>
      <c r="N512" s="98"/>
      <c r="O512" s="98"/>
      <c r="P512" s="98"/>
      <c r="Q512" s="98"/>
      <c r="R512" s="98"/>
      <c r="S512" s="98"/>
      <c r="T512" s="98"/>
      <c r="U512" s="98"/>
      <c r="V512" s="98"/>
    </row>
    <row r="513" spans="4:22" ht="12.75">
      <c r="D513" s="98"/>
      <c r="E513" s="98"/>
      <c r="F513" s="98"/>
      <c r="G513" s="98"/>
      <c r="H513" s="98"/>
      <c r="I513" s="98"/>
      <c r="J513" s="98"/>
      <c r="K513" s="98"/>
      <c r="L513" s="98"/>
      <c r="M513" s="98"/>
      <c r="N513" s="98"/>
      <c r="O513" s="98"/>
      <c r="P513" s="98"/>
      <c r="Q513" s="98"/>
      <c r="R513" s="98"/>
      <c r="S513" s="98"/>
      <c r="T513" s="98"/>
      <c r="U513" s="98"/>
      <c r="V513" s="98"/>
    </row>
    <row r="514" spans="4:22" ht="12.75">
      <c r="D514" s="98"/>
      <c r="E514" s="98"/>
      <c r="F514" s="98"/>
      <c r="G514" s="98"/>
      <c r="H514" s="98"/>
      <c r="I514" s="98"/>
      <c r="J514" s="98"/>
      <c r="K514" s="98"/>
      <c r="L514" s="98"/>
      <c r="M514" s="98"/>
      <c r="N514" s="98"/>
      <c r="O514" s="98"/>
      <c r="P514" s="98"/>
      <c r="Q514" s="98"/>
      <c r="R514" s="98"/>
      <c r="S514" s="98"/>
      <c r="T514" s="98"/>
      <c r="U514" s="98"/>
      <c r="V514" s="98"/>
    </row>
    <row r="515" spans="4:22" ht="12.75">
      <c r="D515" s="98"/>
      <c r="E515" s="98"/>
      <c r="F515" s="98"/>
      <c r="G515" s="98"/>
      <c r="H515" s="98"/>
      <c r="I515" s="98"/>
      <c r="J515" s="98"/>
      <c r="K515" s="98"/>
      <c r="L515" s="98"/>
      <c r="M515" s="98"/>
      <c r="N515" s="98"/>
      <c r="O515" s="98"/>
      <c r="P515" s="98"/>
      <c r="Q515" s="98"/>
      <c r="R515" s="98"/>
      <c r="S515" s="98"/>
      <c r="T515" s="98"/>
      <c r="U515" s="98"/>
      <c r="V515" s="98"/>
    </row>
    <row r="516" spans="4:22" ht="12.75">
      <c r="D516" s="98"/>
      <c r="E516" s="98"/>
      <c r="F516" s="98"/>
      <c r="G516" s="98"/>
      <c r="H516" s="98"/>
      <c r="I516" s="98"/>
      <c r="J516" s="98"/>
      <c r="K516" s="98"/>
      <c r="L516" s="98"/>
      <c r="M516" s="98"/>
      <c r="N516" s="98"/>
      <c r="O516" s="98"/>
      <c r="P516" s="98"/>
      <c r="Q516" s="98"/>
      <c r="R516" s="98"/>
      <c r="S516" s="98"/>
      <c r="T516" s="98"/>
      <c r="U516" s="98"/>
      <c r="V516" s="98"/>
    </row>
    <row r="517" spans="4:22" ht="12.75">
      <c r="D517" s="98"/>
      <c r="E517" s="98"/>
      <c r="F517" s="98"/>
      <c r="G517" s="98"/>
      <c r="H517" s="98"/>
      <c r="I517" s="98"/>
      <c r="J517" s="98"/>
      <c r="K517" s="98"/>
      <c r="L517" s="98"/>
      <c r="M517" s="98"/>
      <c r="N517" s="98"/>
      <c r="O517" s="98"/>
      <c r="P517" s="98"/>
      <c r="Q517" s="98"/>
      <c r="R517" s="98"/>
      <c r="S517" s="98"/>
      <c r="T517" s="98"/>
      <c r="U517" s="98"/>
      <c r="V517" s="98"/>
    </row>
    <row r="518" spans="4:22" ht="12.75">
      <c r="D518" s="98"/>
      <c r="E518" s="98"/>
      <c r="F518" s="98"/>
      <c r="G518" s="98"/>
      <c r="H518" s="98"/>
      <c r="I518" s="98"/>
      <c r="J518" s="98"/>
      <c r="K518" s="98"/>
      <c r="L518" s="98"/>
      <c r="M518" s="98"/>
      <c r="N518" s="98"/>
      <c r="O518" s="98"/>
      <c r="P518" s="98"/>
      <c r="Q518" s="98"/>
      <c r="R518" s="98"/>
      <c r="S518" s="98"/>
      <c r="T518" s="98"/>
      <c r="U518" s="98"/>
      <c r="V518" s="98"/>
    </row>
    <row r="519" spans="4:22" ht="12.75">
      <c r="D519" s="98"/>
      <c r="E519" s="98"/>
      <c r="F519" s="98"/>
      <c r="G519" s="98"/>
      <c r="H519" s="98"/>
      <c r="I519" s="98"/>
      <c r="J519" s="98"/>
      <c r="K519" s="98"/>
      <c r="L519" s="98"/>
      <c r="M519" s="98"/>
      <c r="N519" s="98"/>
      <c r="O519" s="98"/>
      <c r="P519" s="98"/>
      <c r="Q519" s="98"/>
      <c r="R519" s="98"/>
      <c r="S519" s="98"/>
      <c r="T519" s="98"/>
      <c r="U519" s="98"/>
      <c r="V519" s="98"/>
    </row>
    <row r="520" spans="4:22" ht="12.75">
      <c r="D520" s="98"/>
      <c r="E520" s="98"/>
      <c r="F520" s="98"/>
      <c r="G520" s="98"/>
      <c r="H520" s="98"/>
      <c r="I520" s="98"/>
      <c r="J520" s="98"/>
      <c r="K520" s="98"/>
      <c r="L520" s="98"/>
      <c r="M520" s="98"/>
      <c r="N520" s="98"/>
      <c r="O520" s="98"/>
      <c r="P520" s="98"/>
      <c r="Q520" s="98"/>
      <c r="R520" s="98"/>
      <c r="S520" s="98"/>
      <c r="T520" s="98"/>
      <c r="U520" s="98"/>
      <c r="V520" s="98"/>
    </row>
    <row r="521" spans="4:22" ht="12.75">
      <c r="D521" s="98"/>
      <c r="E521" s="98"/>
      <c r="F521" s="98"/>
      <c r="G521" s="98"/>
      <c r="H521" s="98"/>
      <c r="I521" s="98"/>
      <c r="J521" s="98"/>
      <c r="K521" s="98"/>
      <c r="L521" s="98"/>
      <c r="M521" s="98"/>
      <c r="N521" s="98"/>
      <c r="O521" s="98"/>
      <c r="P521" s="98"/>
      <c r="Q521" s="98"/>
      <c r="R521" s="98"/>
      <c r="S521" s="98"/>
      <c r="T521" s="98"/>
      <c r="U521" s="98"/>
      <c r="V521" s="98"/>
    </row>
    <row r="522" spans="4:22" ht="12.75">
      <c r="D522" s="98"/>
      <c r="E522" s="98"/>
      <c r="F522" s="98"/>
      <c r="G522" s="98"/>
      <c r="H522" s="98"/>
      <c r="I522" s="98"/>
      <c r="J522" s="98"/>
      <c r="K522" s="98"/>
      <c r="L522" s="98"/>
      <c r="M522" s="98"/>
      <c r="N522" s="98"/>
      <c r="O522" s="98"/>
      <c r="P522" s="98"/>
      <c r="Q522" s="98"/>
      <c r="R522" s="98"/>
      <c r="S522" s="98"/>
      <c r="T522" s="98"/>
      <c r="U522" s="98"/>
      <c r="V522" s="98"/>
    </row>
    <row r="523" spans="4:22" ht="12.75">
      <c r="D523" s="98"/>
      <c r="E523" s="98"/>
      <c r="F523" s="98"/>
      <c r="G523" s="98"/>
      <c r="H523" s="98"/>
      <c r="I523" s="98"/>
      <c r="J523" s="98"/>
      <c r="K523" s="98"/>
      <c r="L523" s="98"/>
      <c r="M523" s="98"/>
      <c r="N523" s="98"/>
      <c r="O523" s="98"/>
      <c r="P523" s="98"/>
      <c r="Q523" s="98"/>
      <c r="R523" s="98"/>
      <c r="S523" s="98"/>
      <c r="T523" s="98"/>
      <c r="U523" s="98"/>
      <c r="V523" s="98"/>
    </row>
    <row r="524" spans="4:22" ht="12.75">
      <c r="D524" s="98"/>
      <c r="E524" s="98"/>
      <c r="F524" s="98"/>
      <c r="G524" s="98"/>
      <c r="H524" s="98"/>
      <c r="I524" s="98"/>
      <c r="J524" s="98"/>
      <c r="K524" s="98"/>
      <c r="L524" s="98"/>
      <c r="M524" s="98"/>
      <c r="N524" s="98"/>
      <c r="O524" s="98"/>
      <c r="P524" s="98"/>
      <c r="Q524" s="98"/>
      <c r="R524" s="98"/>
      <c r="S524" s="98"/>
      <c r="T524" s="98"/>
      <c r="U524" s="98"/>
      <c r="V524" s="98"/>
    </row>
    <row r="525" spans="4:22" ht="12.75">
      <c r="D525" s="98"/>
      <c r="E525" s="98"/>
      <c r="F525" s="98"/>
      <c r="G525" s="98"/>
      <c r="H525" s="98"/>
      <c r="I525" s="98"/>
      <c r="J525" s="98"/>
      <c r="K525" s="98"/>
      <c r="L525" s="98"/>
      <c r="M525" s="98"/>
      <c r="N525" s="98"/>
      <c r="O525" s="98"/>
      <c r="P525" s="98"/>
      <c r="Q525" s="98"/>
      <c r="R525" s="98"/>
      <c r="S525" s="98"/>
      <c r="T525" s="98"/>
      <c r="U525" s="98"/>
      <c r="V525" s="98"/>
    </row>
    <row r="526" spans="4:22" ht="12.75">
      <c r="D526" s="98"/>
      <c r="E526" s="98"/>
      <c r="F526" s="98"/>
      <c r="G526" s="98"/>
      <c r="H526" s="98"/>
      <c r="I526" s="98"/>
      <c r="J526" s="98"/>
      <c r="K526" s="98"/>
      <c r="L526" s="98"/>
      <c r="M526" s="98"/>
      <c r="N526" s="98"/>
      <c r="O526" s="98"/>
      <c r="P526" s="98"/>
      <c r="Q526" s="98"/>
      <c r="R526" s="98"/>
      <c r="S526" s="98"/>
      <c r="T526" s="98"/>
      <c r="U526" s="98"/>
      <c r="V526" s="98"/>
    </row>
    <row r="527" spans="4:22" ht="12.75">
      <c r="D527" s="98"/>
      <c r="E527" s="98"/>
      <c r="F527" s="98"/>
      <c r="G527" s="98"/>
      <c r="H527" s="98"/>
      <c r="I527" s="98"/>
      <c r="J527" s="98"/>
      <c r="K527" s="98"/>
      <c r="L527" s="98"/>
      <c r="M527" s="98"/>
      <c r="N527" s="98"/>
      <c r="O527" s="98"/>
      <c r="P527" s="98"/>
      <c r="Q527" s="98"/>
      <c r="R527" s="98"/>
      <c r="S527" s="98"/>
      <c r="T527" s="98"/>
      <c r="U527" s="98"/>
      <c r="V527" s="98"/>
    </row>
    <row r="528" spans="4:22" ht="12.75">
      <c r="D528" s="98"/>
      <c r="E528" s="98"/>
      <c r="F528" s="98"/>
      <c r="G528" s="98"/>
      <c r="H528" s="98"/>
      <c r="I528" s="98"/>
      <c r="J528" s="98"/>
      <c r="K528" s="98"/>
      <c r="L528" s="98"/>
      <c r="M528" s="98"/>
      <c r="N528" s="98"/>
      <c r="O528" s="98"/>
      <c r="P528" s="98"/>
      <c r="Q528" s="98"/>
      <c r="R528" s="98"/>
      <c r="S528" s="98"/>
      <c r="T528" s="98"/>
      <c r="U528" s="98"/>
      <c r="V528" s="98"/>
    </row>
    <row r="529" spans="4:22" ht="12.75">
      <c r="D529" s="98"/>
      <c r="E529" s="98"/>
      <c r="F529" s="98"/>
      <c r="G529" s="98"/>
      <c r="H529" s="98"/>
      <c r="I529" s="98"/>
      <c r="J529" s="98"/>
      <c r="K529" s="98"/>
      <c r="L529" s="98"/>
      <c r="M529" s="98"/>
      <c r="N529" s="98"/>
      <c r="O529" s="98"/>
      <c r="P529" s="98"/>
      <c r="Q529" s="98"/>
      <c r="R529" s="98"/>
      <c r="S529" s="98"/>
      <c r="T529" s="98"/>
      <c r="U529" s="98"/>
      <c r="V529" s="98"/>
    </row>
    <row r="530" spans="4:22" ht="12.75">
      <c r="D530" s="98"/>
      <c r="E530" s="98"/>
      <c r="F530" s="98"/>
      <c r="G530" s="98"/>
      <c r="H530" s="98"/>
      <c r="I530" s="98"/>
      <c r="J530" s="98"/>
      <c r="K530" s="98"/>
      <c r="L530" s="98"/>
      <c r="M530" s="98"/>
      <c r="N530" s="98"/>
      <c r="O530" s="98"/>
      <c r="P530" s="98"/>
      <c r="Q530" s="98"/>
      <c r="R530" s="98"/>
      <c r="S530" s="98"/>
      <c r="T530" s="98"/>
      <c r="U530" s="98"/>
      <c r="V530" s="98"/>
    </row>
    <row r="531" spans="4:22" ht="12.75">
      <c r="D531" s="98"/>
      <c r="E531" s="98"/>
      <c r="F531" s="98"/>
      <c r="G531" s="98"/>
      <c r="H531" s="98"/>
      <c r="I531" s="98"/>
      <c r="J531" s="98"/>
      <c r="K531" s="98"/>
      <c r="L531" s="98"/>
      <c r="M531" s="98"/>
      <c r="N531" s="98"/>
      <c r="O531" s="98"/>
      <c r="P531" s="98"/>
      <c r="Q531" s="98"/>
      <c r="R531" s="98"/>
      <c r="S531" s="98"/>
      <c r="T531" s="98"/>
      <c r="U531" s="98"/>
      <c r="V531" s="98"/>
    </row>
    <row r="532" spans="4:22" ht="12.75">
      <c r="D532" s="98"/>
      <c r="E532" s="98"/>
      <c r="F532" s="98"/>
      <c r="G532" s="98"/>
      <c r="H532" s="98"/>
      <c r="I532" s="98"/>
      <c r="J532" s="98"/>
      <c r="K532" s="98"/>
      <c r="L532" s="98"/>
      <c r="M532" s="98"/>
      <c r="N532" s="98"/>
      <c r="O532" s="98"/>
      <c r="P532" s="98"/>
      <c r="Q532" s="98"/>
      <c r="R532" s="98"/>
      <c r="S532" s="98"/>
      <c r="T532" s="98"/>
      <c r="U532" s="98"/>
      <c r="V532" s="98"/>
    </row>
    <row r="533" spans="4:22" ht="12.75">
      <c r="D533" s="98"/>
      <c r="E533" s="98"/>
      <c r="F533" s="98"/>
      <c r="G533" s="98"/>
      <c r="H533" s="98"/>
      <c r="I533" s="98"/>
      <c r="J533" s="98"/>
      <c r="K533" s="98"/>
      <c r="L533" s="98"/>
      <c r="M533" s="98"/>
      <c r="N533" s="98"/>
      <c r="O533" s="98"/>
      <c r="P533" s="98"/>
      <c r="Q533" s="98"/>
      <c r="R533" s="98"/>
      <c r="S533" s="98"/>
      <c r="T533" s="98"/>
      <c r="U533" s="98"/>
      <c r="V533" s="98"/>
    </row>
    <row r="534" spans="4:22" ht="12.75">
      <c r="D534" s="98"/>
      <c r="E534" s="98"/>
      <c r="F534" s="98"/>
      <c r="G534" s="98"/>
      <c r="H534" s="98"/>
      <c r="I534" s="98"/>
      <c r="J534" s="98"/>
      <c r="K534" s="98"/>
      <c r="L534" s="98"/>
      <c r="M534" s="98"/>
      <c r="N534" s="98"/>
      <c r="O534" s="98"/>
      <c r="P534" s="98"/>
      <c r="Q534" s="98"/>
      <c r="R534" s="98"/>
      <c r="S534" s="98"/>
      <c r="T534" s="98"/>
      <c r="U534" s="98"/>
      <c r="V534" s="98"/>
    </row>
    <row r="535" spans="4:22" ht="12.75">
      <c r="D535" s="98"/>
      <c r="E535" s="98"/>
      <c r="F535" s="98"/>
      <c r="G535" s="98"/>
      <c r="H535" s="98"/>
      <c r="I535" s="98"/>
      <c r="J535" s="98"/>
      <c r="K535" s="98"/>
      <c r="L535" s="98"/>
      <c r="M535" s="98"/>
      <c r="N535" s="98"/>
      <c r="O535" s="98"/>
      <c r="P535" s="98"/>
      <c r="Q535" s="98"/>
      <c r="R535" s="98"/>
      <c r="S535" s="98"/>
      <c r="T535" s="98"/>
      <c r="U535" s="98"/>
      <c r="V535" s="98"/>
    </row>
    <row r="536" spans="4:22" ht="12.75">
      <c r="D536" s="98"/>
      <c r="E536" s="98"/>
      <c r="F536" s="98"/>
      <c r="G536" s="98"/>
      <c r="H536" s="98"/>
      <c r="I536" s="98"/>
      <c r="J536" s="98"/>
      <c r="K536" s="98"/>
      <c r="L536" s="98"/>
      <c r="M536" s="98"/>
      <c r="N536" s="98"/>
      <c r="O536" s="98"/>
      <c r="P536" s="98"/>
      <c r="Q536" s="98"/>
      <c r="R536" s="98"/>
      <c r="S536" s="98"/>
      <c r="T536" s="98"/>
      <c r="U536" s="98"/>
      <c r="V536" s="98"/>
    </row>
    <row r="537" spans="4:22" ht="12.75">
      <c r="D537" s="98"/>
      <c r="E537" s="98"/>
      <c r="F537" s="98"/>
      <c r="G537" s="98"/>
      <c r="H537" s="98"/>
      <c r="I537" s="98"/>
      <c r="J537" s="98"/>
      <c r="K537" s="98"/>
      <c r="L537" s="98"/>
      <c r="M537" s="98"/>
      <c r="N537" s="98"/>
      <c r="O537" s="98"/>
      <c r="P537" s="98"/>
      <c r="Q537" s="98"/>
      <c r="R537" s="98"/>
      <c r="S537" s="98"/>
      <c r="T537" s="98"/>
      <c r="U537" s="98"/>
      <c r="V537" s="98"/>
    </row>
    <row r="538" spans="4:22" ht="12.75">
      <c r="D538" s="98"/>
      <c r="E538" s="98"/>
      <c r="F538" s="98"/>
      <c r="G538" s="98"/>
      <c r="H538" s="98"/>
      <c r="I538" s="98"/>
      <c r="J538" s="98"/>
      <c r="K538" s="98"/>
      <c r="L538" s="98"/>
      <c r="M538" s="98"/>
      <c r="N538" s="98"/>
      <c r="O538" s="98"/>
      <c r="P538" s="98"/>
      <c r="Q538" s="98"/>
      <c r="R538" s="98"/>
      <c r="S538" s="98"/>
      <c r="T538" s="98"/>
      <c r="U538" s="98"/>
      <c r="V538" s="98"/>
    </row>
    <row r="539" spans="4:22" ht="12.75">
      <c r="D539" s="98"/>
      <c r="E539" s="98"/>
      <c r="F539" s="98"/>
      <c r="G539" s="98"/>
      <c r="H539" s="98"/>
      <c r="I539" s="98"/>
      <c r="J539" s="98"/>
      <c r="K539" s="98"/>
      <c r="L539" s="98"/>
      <c r="M539" s="98"/>
      <c r="N539" s="98"/>
      <c r="O539" s="98"/>
      <c r="P539" s="98"/>
      <c r="Q539" s="98"/>
      <c r="R539" s="98"/>
      <c r="S539" s="98"/>
      <c r="T539" s="98"/>
      <c r="U539" s="98"/>
      <c r="V539" s="98"/>
    </row>
    <row r="540" spans="4:22" ht="12.75">
      <c r="D540" s="98"/>
      <c r="E540" s="98"/>
      <c r="F540" s="98"/>
      <c r="G540" s="98"/>
      <c r="H540" s="98"/>
      <c r="I540" s="98"/>
      <c r="J540" s="98"/>
      <c r="K540" s="98"/>
      <c r="L540" s="98"/>
      <c r="M540" s="98"/>
      <c r="N540" s="98"/>
      <c r="O540" s="98"/>
      <c r="P540" s="98"/>
      <c r="Q540" s="98"/>
      <c r="R540" s="98"/>
      <c r="S540" s="98"/>
      <c r="T540" s="98"/>
      <c r="U540" s="98"/>
      <c r="V540" s="98"/>
    </row>
    <row r="541" spans="4:22" ht="12.75">
      <c r="D541" s="98"/>
      <c r="E541" s="98"/>
      <c r="F541" s="98"/>
      <c r="G541" s="98"/>
      <c r="H541" s="98"/>
      <c r="I541" s="98"/>
      <c r="J541" s="98"/>
      <c r="K541" s="98"/>
      <c r="L541" s="98"/>
      <c r="M541" s="98"/>
      <c r="N541" s="98"/>
      <c r="O541" s="98"/>
      <c r="P541" s="98"/>
      <c r="Q541" s="98"/>
      <c r="R541" s="98"/>
      <c r="S541" s="98"/>
      <c r="T541" s="98"/>
      <c r="U541" s="98"/>
      <c r="V541" s="98"/>
    </row>
    <row r="542" spans="4:22" ht="12.75">
      <c r="D542" s="98"/>
      <c r="E542" s="98"/>
      <c r="F542" s="98"/>
      <c r="G542" s="98"/>
      <c r="H542" s="98"/>
      <c r="I542" s="98"/>
      <c r="J542" s="98"/>
      <c r="K542" s="98"/>
      <c r="L542" s="98"/>
      <c r="M542" s="98"/>
      <c r="N542" s="98"/>
      <c r="O542" s="98"/>
      <c r="P542" s="98"/>
      <c r="Q542" s="98"/>
      <c r="R542" s="98"/>
      <c r="S542" s="98"/>
      <c r="T542" s="98"/>
      <c r="U542" s="98"/>
      <c r="V542" s="98"/>
    </row>
    <row r="543" spans="4:22" ht="12.75">
      <c r="D543" s="98"/>
      <c r="E543" s="98"/>
      <c r="F543" s="98"/>
      <c r="G543" s="98"/>
      <c r="H543" s="98"/>
      <c r="I543" s="98"/>
      <c r="J543" s="98"/>
      <c r="K543" s="98"/>
      <c r="L543" s="98"/>
      <c r="M543" s="98"/>
      <c r="N543" s="98"/>
      <c r="O543" s="98"/>
      <c r="P543" s="98"/>
      <c r="Q543" s="98"/>
      <c r="R543" s="98"/>
      <c r="S543" s="98"/>
      <c r="T543" s="98"/>
      <c r="U543" s="98"/>
      <c r="V543" s="98"/>
    </row>
    <row r="544" spans="4:22" ht="12.75">
      <c r="D544" s="98"/>
      <c r="E544" s="98"/>
      <c r="F544" s="98"/>
      <c r="G544" s="98"/>
      <c r="H544" s="98"/>
      <c r="I544" s="98"/>
      <c r="J544" s="98"/>
      <c r="K544" s="98"/>
      <c r="L544" s="98"/>
      <c r="M544" s="98"/>
      <c r="N544" s="98"/>
      <c r="O544" s="98"/>
      <c r="P544" s="98"/>
      <c r="Q544" s="98"/>
      <c r="R544" s="98"/>
      <c r="S544" s="98"/>
      <c r="T544" s="98"/>
      <c r="U544" s="98"/>
      <c r="V544" s="98"/>
    </row>
    <row r="545" spans="4:22" ht="12.75">
      <c r="D545" s="98"/>
      <c r="E545" s="98"/>
      <c r="F545" s="98"/>
      <c r="G545" s="98"/>
      <c r="H545" s="98"/>
      <c r="I545" s="98"/>
      <c r="J545" s="98"/>
      <c r="K545" s="98"/>
      <c r="L545" s="98"/>
      <c r="M545" s="98"/>
      <c r="N545" s="98"/>
      <c r="O545" s="98"/>
      <c r="P545" s="98"/>
      <c r="Q545" s="98"/>
      <c r="R545" s="98"/>
      <c r="S545" s="98"/>
      <c r="T545" s="98"/>
      <c r="U545" s="98"/>
      <c r="V545" s="98"/>
    </row>
    <row r="546" spans="4:22" ht="12.75">
      <c r="D546" s="98"/>
      <c r="E546" s="98"/>
      <c r="F546" s="98"/>
      <c r="G546" s="98"/>
      <c r="H546" s="98"/>
      <c r="I546" s="98"/>
      <c r="J546" s="98"/>
      <c r="K546" s="98"/>
      <c r="L546" s="98"/>
      <c r="M546" s="98"/>
      <c r="N546" s="98"/>
      <c r="O546" s="98"/>
      <c r="P546" s="98"/>
      <c r="Q546" s="98"/>
      <c r="R546" s="98"/>
      <c r="S546" s="98"/>
      <c r="T546" s="98"/>
      <c r="U546" s="98"/>
      <c r="V546" s="98"/>
    </row>
    <row r="547" spans="4:22" ht="12.75">
      <c r="D547" s="98"/>
      <c r="E547" s="98"/>
      <c r="F547" s="98"/>
      <c r="G547" s="98"/>
      <c r="H547" s="98"/>
      <c r="I547" s="98"/>
      <c r="J547" s="98"/>
      <c r="K547" s="98"/>
      <c r="L547" s="98"/>
      <c r="M547" s="98"/>
      <c r="N547" s="98"/>
      <c r="O547" s="98"/>
      <c r="P547" s="98"/>
      <c r="Q547" s="98"/>
      <c r="R547" s="98"/>
      <c r="S547" s="98"/>
      <c r="T547" s="98"/>
      <c r="U547" s="98"/>
      <c r="V547" s="98"/>
    </row>
    <row r="548" spans="4:22" ht="12.75">
      <c r="D548" s="98"/>
      <c r="E548" s="98"/>
      <c r="F548" s="98"/>
      <c r="G548" s="98"/>
      <c r="H548" s="98"/>
      <c r="I548" s="98"/>
      <c r="J548" s="98"/>
      <c r="K548" s="98"/>
      <c r="L548" s="98"/>
      <c r="M548" s="98"/>
      <c r="N548" s="98"/>
      <c r="O548" s="98"/>
      <c r="P548" s="98"/>
      <c r="Q548" s="98"/>
      <c r="R548" s="98"/>
      <c r="S548" s="98"/>
      <c r="T548" s="98"/>
      <c r="U548" s="98"/>
      <c r="V548" s="98"/>
    </row>
    <row r="549" spans="4:22" ht="12.75">
      <c r="D549" s="98"/>
      <c r="E549" s="98"/>
      <c r="F549" s="98"/>
      <c r="G549" s="98"/>
      <c r="H549" s="98"/>
      <c r="I549" s="98"/>
      <c r="J549" s="98"/>
      <c r="K549" s="98"/>
      <c r="L549" s="98"/>
      <c r="M549" s="98"/>
      <c r="N549" s="98"/>
      <c r="O549" s="98"/>
      <c r="P549" s="98"/>
      <c r="Q549" s="98"/>
      <c r="R549" s="98"/>
      <c r="S549" s="98"/>
      <c r="T549" s="98"/>
      <c r="U549" s="98"/>
      <c r="V549" s="98"/>
    </row>
    <row r="550" spans="4:22" ht="12.75">
      <c r="D550" s="98"/>
      <c r="E550" s="98"/>
      <c r="F550" s="98"/>
      <c r="G550" s="98"/>
      <c r="H550" s="98"/>
      <c r="I550" s="98"/>
      <c r="J550" s="98"/>
      <c r="K550" s="98"/>
      <c r="L550" s="98"/>
      <c r="M550" s="98"/>
      <c r="N550" s="98"/>
      <c r="O550" s="98"/>
      <c r="P550" s="98"/>
      <c r="Q550" s="98"/>
      <c r="R550" s="98"/>
      <c r="S550" s="98"/>
      <c r="T550" s="98"/>
      <c r="U550" s="98"/>
      <c r="V550" s="98"/>
    </row>
    <row r="551" spans="4:22" ht="12.75">
      <c r="D551" s="98"/>
      <c r="E551" s="98"/>
      <c r="F551" s="98"/>
      <c r="G551" s="98"/>
      <c r="H551" s="98"/>
      <c r="I551" s="98"/>
      <c r="J551" s="98"/>
      <c r="K551" s="98"/>
      <c r="L551" s="98"/>
      <c r="M551" s="98"/>
      <c r="N551" s="98"/>
      <c r="O551" s="98"/>
      <c r="P551" s="98"/>
      <c r="Q551" s="98"/>
      <c r="R551" s="98"/>
      <c r="S551" s="98"/>
      <c r="T551" s="98"/>
      <c r="U551" s="98"/>
      <c r="V551" s="98"/>
    </row>
    <row r="552" spans="4:22" ht="12.75">
      <c r="D552" s="98"/>
      <c r="E552" s="98"/>
      <c r="F552" s="98"/>
      <c r="G552" s="98"/>
      <c r="H552" s="98"/>
      <c r="I552" s="98"/>
      <c r="J552" s="98"/>
      <c r="K552" s="98"/>
      <c r="L552" s="98"/>
      <c r="M552" s="98"/>
      <c r="N552" s="98"/>
      <c r="O552" s="98"/>
      <c r="P552" s="98"/>
      <c r="Q552" s="98"/>
      <c r="R552" s="98"/>
      <c r="S552" s="98"/>
      <c r="T552" s="98"/>
      <c r="U552" s="98"/>
      <c r="V552" s="98"/>
    </row>
    <row r="553" spans="4:22" ht="12.75">
      <c r="D553" s="98"/>
      <c r="E553" s="98"/>
      <c r="F553" s="98"/>
      <c r="G553" s="98"/>
      <c r="H553" s="98"/>
      <c r="I553" s="98"/>
      <c r="J553" s="98"/>
      <c r="K553" s="98"/>
      <c r="L553" s="98"/>
      <c r="M553" s="98"/>
      <c r="N553" s="98"/>
      <c r="O553" s="98"/>
      <c r="P553" s="98"/>
      <c r="Q553" s="98"/>
      <c r="R553" s="98"/>
      <c r="S553" s="98"/>
      <c r="T553" s="98"/>
      <c r="U553" s="98"/>
      <c r="V553" s="98"/>
    </row>
    <row r="554" spans="4:22" ht="12.75">
      <c r="D554" s="98"/>
      <c r="E554" s="98"/>
      <c r="F554" s="98"/>
      <c r="G554" s="98"/>
      <c r="H554" s="98"/>
      <c r="I554" s="98"/>
      <c r="J554" s="98"/>
      <c r="K554" s="98"/>
      <c r="L554" s="98"/>
      <c r="M554" s="98"/>
      <c r="N554" s="98"/>
      <c r="O554" s="98"/>
      <c r="P554" s="98"/>
      <c r="Q554" s="98"/>
      <c r="R554" s="98"/>
      <c r="S554" s="98"/>
      <c r="T554" s="98"/>
      <c r="U554" s="98"/>
      <c r="V554" s="98"/>
    </row>
    <row r="555" spans="4:22" ht="12.75">
      <c r="D555" s="98"/>
      <c r="E555" s="98"/>
      <c r="F555" s="98"/>
      <c r="G555" s="98"/>
      <c r="H555" s="98"/>
      <c r="I555" s="98"/>
      <c r="J555" s="98"/>
      <c r="K555" s="98"/>
      <c r="L555" s="98"/>
      <c r="M555" s="98"/>
      <c r="N555" s="98"/>
      <c r="O555" s="98"/>
      <c r="P555" s="98"/>
      <c r="Q555" s="98"/>
      <c r="R555" s="98"/>
      <c r="S555" s="98"/>
      <c r="T555" s="98"/>
      <c r="U555" s="98"/>
      <c r="V555" s="98"/>
    </row>
    <row r="556" spans="4:22" ht="12.75">
      <c r="D556" s="98"/>
      <c r="E556" s="98"/>
      <c r="F556" s="98"/>
      <c r="G556" s="98"/>
      <c r="H556" s="98"/>
      <c r="I556" s="98"/>
      <c r="J556" s="98"/>
      <c r="K556" s="98"/>
      <c r="L556" s="98"/>
      <c r="M556" s="98"/>
      <c r="N556" s="98"/>
      <c r="O556" s="98"/>
      <c r="P556" s="98"/>
      <c r="Q556" s="98"/>
      <c r="R556" s="98"/>
      <c r="S556" s="98"/>
      <c r="T556" s="98"/>
      <c r="U556" s="98"/>
      <c r="V556" s="98"/>
    </row>
    <row r="557" spans="4:22" ht="12.75">
      <c r="D557" s="98"/>
      <c r="E557" s="98"/>
      <c r="F557" s="98"/>
      <c r="G557" s="98"/>
      <c r="H557" s="98"/>
      <c r="I557" s="98"/>
      <c r="J557" s="98"/>
      <c r="K557" s="98"/>
      <c r="L557" s="98"/>
      <c r="M557" s="98"/>
      <c r="N557" s="98"/>
      <c r="O557" s="98"/>
      <c r="P557" s="98"/>
      <c r="Q557" s="98"/>
      <c r="R557" s="98"/>
      <c r="S557" s="98"/>
      <c r="T557" s="98"/>
      <c r="U557" s="98"/>
      <c r="V557" s="98"/>
    </row>
    <row r="558" spans="4:22" ht="12.75">
      <c r="D558" s="98"/>
      <c r="E558" s="98"/>
      <c r="F558" s="98"/>
      <c r="G558" s="98"/>
      <c r="H558" s="98"/>
      <c r="I558" s="98"/>
      <c r="J558" s="98"/>
      <c r="K558" s="98"/>
      <c r="L558" s="98"/>
      <c r="M558" s="98"/>
      <c r="N558" s="98"/>
      <c r="O558" s="98"/>
      <c r="P558" s="98"/>
      <c r="Q558" s="98"/>
      <c r="R558" s="98"/>
      <c r="S558" s="98"/>
      <c r="T558" s="98"/>
      <c r="U558" s="98"/>
      <c r="V558" s="98"/>
    </row>
    <row r="559" spans="4:22" ht="12.75">
      <c r="D559" s="98"/>
      <c r="E559" s="98"/>
      <c r="F559" s="98"/>
      <c r="G559" s="98"/>
      <c r="H559" s="98"/>
      <c r="I559" s="98"/>
      <c r="J559" s="98"/>
      <c r="K559" s="98"/>
      <c r="L559" s="98"/>
      <c r="M559" s="98"/>
      <c r="N559" s="98"/>
      <c r="O559" s="98"/>
      <c r="P559" s="98"/>
      <c r="Q559" s="98"/>
      <c r="R559" s="98"/>
      <c r="S559" s="98"/>
      <c r="T559" s="98"/>
      <c r="U559" s="98"/>
      <c r="V559" s="98"/>
    </row>
    <row r="560" spans="4:22" ht="12.75">
      <c r="D560" s="98"/>
      <c r="E560" s="98"/>
      <c r="F560" s="98"/>
      <c r="G560" s="98"/>
      <c r="H560" s="98"/>
      <c r="I560" s="98"/>
      <c r="J560" s="98"/>
      <c r="K560" s="98"/>
      <c r="L560" s="98"/>
      <c r="M560" s="98"/>
      <c r="N560" s="98"/>
      <c r="O560" s="98"/>
      <c r="P560" s="98"/>
      <c r="Q560" s="98"/>
      <c r="R560" s="98"/>
      <c r="S560" s="98"/>
      <c r="T560" s="98"/>
      <c r="U560" s="98"/>
      <c r="V560" s="98"/>
    </row>
    <row r="561" spans="4:22" ht="12.75">
      <c r="D561" s="98"/>
      <c r="E561" s="98"/>
      <c r="F561" s="98"/>
      <c r="G561" s="98"/>
      <c r="H561" s="98"/>
      <c r="I561" s="98"/>
      <c r="J561" s="98"/>
      <c r="K561" s="98"/>
      <c r="L561" s="98"/>
      <c r="M561" s="98"/>
      <c r="N561" s="98"/>
      <c r="O561" s="98"/>
      <c r="P561" s="98"/>
      <c r="Q561" s="98"/>
      <c r="R561" s="98"/>
      <c r="S561" s="98"/>
      <c r="T561" s="98"/>
      <c r="U561" s="98"/>
      <c r="V561" s="98"/>
    </row>
    <row r="562" spans="4:22" ht="12.75">
      <c r="D562" s="98"/>
      <c r="E562" s="98"/>
      <c r="F562" s="98"/>
      <c r="G562" s="98"/>
      <c r="H562" s="98"/>
      <c r="I562" s="98"/>
      <c r="J562" s="98"/>
      <c r="K562" s="98"/>
      <c r="L562" s="98"/>
      <c r="M562" s="98"/>
      <c r="N562" s="98"/>
      <c r="O562" s="98"/>
      <c r="P562" s="98"/>
      <c r="Q562" s="98"/>
      <c r="R562" s="98"/>
      <c r="S562" s="98"/>
      <c r="T562" s="98"/>
      <c r="U562" s="98"/>
      <c r="V562" s="98"/>
    </row>
    <row r="563" spans="4:22" ht="12.75">
      <c r="D563" s="98"/>
      <c r="E563" s="98"/>
      <c r="F563" s="98"/>
      <c r="G563" s="98"/>
      <c r="H563" s="98"/>
      <c r="I563" s="98"/>
      <c r="J563" s="98"/>
      <c r="K563" s="98"/>
      <c r="L563" s="98"/>
      <c r="M563" s="98"/>
      <c r="N563" s="98"/>
      <c r="O563" s="98"/>
      <c r="P563" s="98"/>
      <c r="Q563" s="98"/>
      <c r="R563" s="98"/>
      <c r="S563" s="98"/>
      <c r="T563" s="98"/>
      <c r="U563" s="98"/>
      <c r="V563" s="98"/>
    </row>
    <row r="564" spans="4:22" ht="12.75">
      <c r="D564" s="98"/>
      <c r="E564" s="98"/>
      <c r="F564" s="98"/>
      <c r="G564" s="98"/>
      <c r="H564" s="98"/>
      <c r="I564" s="98"/>
      <c r="J564" s="98"/>
      <c r="K564" s="98"/>
      <c r="L564" s="98"/>
      <c r="M564" s="98"/>
      <c r="N564" s="98"/>
      <c r="O564" s="98"/>
      <c r="P564" s="98"/>
      <c r="Q564" s="98"/>
      <c r="R564" s="98"/>
      <c r="S564" s="98"/>
      <c r="T564" s="98"/>
      <c r="U564" s="98"/>
      <c r="V564" s="98"/>
    </row>
    <row r="565" spans="4:22" ht="12.75">
      <c r="D565" s="98"/>
      <c r="E565" s="98"/>
      <c r="F565" s="98"/>
      <c r="G565" s="98"/>
      <c r="H565" s="98"/>
      <c r="I565" s="98"/>
      <c r="J565" s="98"/>
      <c r="K565" s="98"/>
      <c r="L565" s="98"/>
      <c r="M565" s="98"/>
      <c r="N565" s="98"/>
      <c r="O565" s="98"/>
      <c r="P565" s="98"/>
      <c r="Q565" s="98"/>
      <c r="R565" s="98"/>
      <c r="S565" s="98"/>
      <c r="T565" s="98"/>
      <c r="U565" s="98"/>
      <c r="V565" s="98"/>
    </row>
    <row r="566" spans="4:22" ht="12.75">
      <c r="D566" s="98"/>
      <c r="E566" s="98"/>
      <c r="F566" s="98"/>
      <c r="G566" s="98"/>
      <c r="H566" s="98"/>
      <c r="I566" s="98"/>
      <c r="J566" s="98"/>
      <c r="K566" s="98"/>
      <c r="L566" s="98"/>
      <c r="M566" s="98"/>
      <c r="N566" s="98"/>
      <c r="O566" s="98"/>
      <c r="P566" s="98"/>
      <c r="Q566" s="98"/>
      <c r="R566" s="98"/>
      <c r="S566" s="98"/>
      <c r="T566" s="98"/>
      <c r="U566" s="98"/>
      <c r="V566" s="98"/>
    </row>
    <row r="567" spans="4:22" ht="12.75">
      <c r="D567" s="98"/>
      <c r="E567" s="98"/>
      <c r="F567" s="98"/>
      <c r="G567" s="98"/>
      <c r="H567" s="98"/>
      <c r="I567" s="98"/>
      <c r="J567" s="98"/>
      <c r="K567" s="98"/>
      <c r="L567" s="98"/>
      <c r="M567" s="98"/>
      <c r="N567" s="98"/>
      <c r="O567" s="98"/>
      <c r="P567" s="98"/>
      <c r="Q567" s="98"/>
      <c r="R567" s="98"/>
      <c r="S567" s="98"/>
      <c r="T567" s="98"/>
      <c r="U567" s="98"/>
      <c r="V567" s="98"/>
    </row>
    <row r="568" spans="4:22" ht="12.75">
      <c r="D568" s="98"/>
      <c r="E568" s="98"/>
      <c r="F568" s="98"/>
      <c r="G568" s="98"/>
      <c r="H568" s="98"/>
      <c r="I568" s="98"/>
      <c r="J568" s="98"/>
      <c r="K568" s="98"/>
      <c r="L568" s="98"/>
      <c r="M568" s="98"/>
      <c r="N568" s="98"/>
      <c r="O568" s="98"/>
      <c r="P568" s="98"/>
      <c r="Q568" s="98"/>
      <c r="R568" s="98"/>
      <c r="S568" s="98"/>
      <c r="T568" s="98"/>
      <c r="U568" s="98"/>
      <c r="V568" s="98"/>
    </row>
    <row r="569" spans="4:22" ht="12.75">
      <c r="D569" s="98"/>
      <c r="E569" s="98"/>
      <c r="F569" s="98"/>
      <c r="G569" s="98"/>
      <c r="H569" s="98"/>
      <c r="I569" s="98"/>
      <c r="J569" s="98"/>
      <c r="K569" s="98"/>
      <c r="L569" s="98"/>
      <c r="M569" s="98"/>
      <c r="N569" s="98"/>
      <c r="O569" s="98"/>
      <c r="P569" s="98"/>
      <c r="Q569" s="98"/>
      <c r="R569" s="98"/>
      <c r="S569" s="98"/>
      <c r="T569" s="98"/>
      <c r="U569" s="98"/>
      <c r="V569" s="98"/>
    </row>
    <row r="570" spans="4:22" ht="12.75">
      <c r="D570" s="98"/>
      <c r="E570" s="98"/>
      <c r="F570" s="98"/>
      <c r="G570" s="98"/>
      <c r="H570" s="98"/>
      <c r="I570" s="98"/>
      <c r="J570" s="98"/>
      <c r="K570" s="98"/>
      <c r="L570" s="98"/>
      <c r="M570" s="98"/>
      <c r="N570" s="98"/>
      <c r="O570" s="98"/>
      <c r="P570" s="98"/>
      <c r="Q570" s="98"/>
      <c r="R570" s="98"/>
      <c r="S570" s="98"/>
      <c r="T570" s="98"/>
      <c r="U570" s="98"/>
      <c r="V570" s="98"/>
    </row>
    <row r="571" spans="4:22" ht="12.75">
      <c r="D571" s="98"/>
      <c r="E571" s="98"/>
      <c r="F571" s="98"/>
      <c r="G571" s="98"/>
      <c r="H571" s="98"/>
      <c r="I571" s="98"/>
      <c r="J571" s="98"/>
      <c r="K571" s="98"/>
      <c r="L571" s="98"/>
      <c r="M571" s="98"/>
      <c r="N571" s="98"/>
      <c r="O571" s="98"/>
      <c r="P571" s="98"/>
      <c r="Q571" s="98"/>
      <c r="R571" s="98"/>
      <c r="S571" s="98"/>
      <c r="T571" s="98"/>
      <c r="U571" s="98"/>
      <c r="V571" s="98"/>
    </row>
    <row r="572" spans="4:22" ht="12.75">
      <c r="D572" s="98"/>
      <c r="E572" s="98"/>
      <c r="F572" s="98"/>
      <c r="G572" s="98"/>
      <c r="H572" s="98"/>
      <c r="I572" s="98"/>
      <c r="J572" s="98"/>
      <c r="K572" s="98"/>
      <c r="L572" s="98"/>
      <c r="M572" s="98"/>
      <c r="N572" s="98"/>
      <c r="O572" s="98"/>
      <c r="P572" s="98"/>
      <c r="Q572" s="98"/>
      <c r="R572" s="98"/>
      <c r="S572" s="98"/>
      <c r="T572" s="98"/>
      <c r="U572" s="98"/>
      <c r="V572" s="98"/>
    </row>
    <row r="573" spans="4:22" ht="12.75">
      <c r="D573" s="98"/>
      <c r="E573" s="98"/>
      <c r="F573" s="98"/>
      <c r="G573" s="98"/>
      <c r="H573" s="98"/>
      <c r="I573" s="98"/>
      <c r="J573" s="98"/>
      <c r="K573" s="98"/>
      <c r="L573" s="98"/>
      <c r="M573" s="98"/>
      <c r="N573" s="98"/>
      <c r="O573" s="98"/>
      <c r="P573" s="98"/>
      <c r="Q573" s="98"/>
      <c r="R573" s="98"/>
      <c r="S573" s="98"/>
      <c r="T573" s="98"/>
      <c r="U573" s="98"/>
      <c r="V573" s="98"/>
    </row>
    <row r="574" spans="4:22" ht="12.75">
      <c r="D574" s="98"/>
      <c r="E574" s="98"/>
      <c r="F574" s="98"/>
      <c r="G574" s="98"/>
      <c r="H574" s="98"/>
      <c r="I574" s="98"/>
      <c r="J574" s="98"/>
      <c r="K574" s="98"/>
      <c r="L574" s="98"/>
      <c r="M574" s="98"/>
      <c r="N574" s="98"/>
      <c r="O574" s="98"/>
      <c r="P574" s="98"/>
      <c r="Q574" s="98"/>
      <c r="R574" s="98"/>
      <c r="S574" s="98"/>
      <c r="T574" s="98"/>
      <c r="U574" s="98"/>
      <c r="V574" s="98"/>
    </row>
    <row r="575" spans="4:22" ht="12.75">
      <c r="D575" s="98"/>
      <c r="E575" s="98"/>
      <c r="F575" s="98"/>
      <c r="G575" s="98"/>
      <c r="H575" s="98"/>
      <c r="I575" s="98"/>
      <c r="J575" s="98"/>
      <c r="K575" s="98"/>
      <c r="L575" s="98"/>
      <c r="M575" s="98"/>
      <c r="N575" s="98"/>
      <c r="O575" s="98"/>
      <c r="P575" s="98"/>
      <c r="Q575" s="98"/>
      <c r="R575" s="98"/>
      <c r="S575" s="98"/>
      <c r="T575" s="98"/>
      <c r="U575" s="98"/>
      <c r="V575" s="98"/>
    </row>
    <row r="576" spans="4:22" ht="12.75">
      <c r="D576" s="98"/>
      <c r="E576" s="98"/>
      <c r="F576" s="98"/>
      <c r="G576" s="98"/>
      <c r="H576" s="98"/>
      <c r="I576" s="98"/>
      <c r="J576" s="98"/>
      <c r="K576" s="98"/>
      <c r="L576" s="98"/>
      <c r="M576" s="98"/>
      <c r="N576" s="98"/>
      <c r="O576" s="98"/>
      <c r="P576" s="98"/>
      <c r="Q576" s="98"/>
      <c r="R576" s="98"/>
      <c r="S576" s="98"/>
      <c r="T576" s="98"/>
      <c r="U576" s="98"/>
      <c r="V576" s="98"/>
    </row>
    <row r="577" spans="4:22" ht="12.75">
      <c r="D577" s="98"/>
      <c r="E577" s="98"/>
      <c r="F577" s="98"/>
      <c r="G577" s="98"/>
      <c r="H577" s="98"/>
      <c r="I577" s="98"/>
      <c r="J577" s="98"/>
      <c r="K577" s="98"/>
      <c r="L577" s="98"/>
      <c r="M577" s="98"/>
      <c r="N577" s="98"/>
      <c r="O577" s="98"/>
      <c r="P577" s="98"/>
      <c r="Q577" s="98"/>
      <c r="R577" s="98"/>
      <c r="S577" s="98"/>
      <c r="T577" s="98"/>
      <c r="U577" s="98"/>
      <c r="V577" s="98"/>
    </row>
    <row r="578" spans="4:22" ht="12.75">
      <c r="D578" s="98"/>
      <c r="E578" s="98"/>
      <c r="F578" s="98"/>
      <c r="G578" s="98"/>
      <c r="H578" s="98"/>
      <c r="I578" s="98"/>
      <c r="J578" s="98"/>
      <c r="K578" s="98"/>
      <c r="L578" s="98"/>
      <c r="M578" s="98"/>
      <c r="N578" s="98"/>
      <c r="O578" s="98"/>
      <c r="P578" s="98"/>
      <c r="Q578" s="98"/>
      <c r="R578" s="98"/>
      <c r="S578" s="98"/>
      <c r="T578" s="98"/>
      <c r="U578" s="98"/>
      <c r="V578" s="98"/>
    </row>
    <row r="579" spans="4:22" ht="12.75">
      <c r="D579" s="98"/>
      <c r="E579" s="98"/>
      <c r="F579" s="98"/>
      <c r="G579" s="98"/>
      <c r="H579" s="98"/>
      <c r="I579" s="98"/>
      <c r="J579" s="98"/>
      <c r="K579" s="98"/>
      <c r="L579" s="98"/>
      <c r="M579" s="98"/>
      <c r="N579" s="98"/>
      <c r="O579" s="98"/>
      <c r="P579" s="98"/>
      <c r="Q579" s="98"/>
      <c r="R579" s="98"/>
      <c r="S579" s="98"/>
      <c r="T579" s="98"/>
      <c r="U579" s="98"/>
      <c r="V579" s="98"/>
    </row>
    <row r="580" spans="4:22" ht="12.75">
      <c r="D580" s="98"/>
      <c r="E580" s="98"/>
      <c r="F580" s="98"/>
      <c r="G580" s="98"/>
      <c r="H580" s="98"/>
      <c r="I580" s="98"/>
      <c r="J580" s="98"/>
      <c r="K580" s="98"/>
      <c r="L580" s="98"/>
      <c r="M580" s="98"/>
      <c r="N580" s="98"/>
      <c r="O580" s="98"/>
      <c r="P580" s="98"/>
      <c r="Q580" s="98"/>
      <c r="R580" s="98"/>
      <c r="S580" s="98"/>
      <c r="T580" s="98"/>
      <c r="U580" s="98"/>
      <c r="V580" s="98"/>
    </row>
    <row r="581" spans="4:22" ht="12.75">
      <c r="D581" s="98"/>
      <c r="E581" s="98"/>
      <c r="F581" s="98"/>
      <c r="G581" s="98"/>
      <c r="H581" s="98"/>
      <c r="I581" s="98"/>
      <c r="J581" s="98"/>
      <c r="K581" s="98"/>
      <c r="L581" s="98"/>
      <c r="M581" s="98"/>
      <c r="N581" s="98"/>
      <c r="O581" s="98"/>
      <c r="P581" s="98"/>
      <c r="Q581" s="98"/>
      <c r="R581" s="98"/>
      <c r="S581" s="98"/>
      <c r="T581" s="98"/>
      <c r="U581" s="98"/>
      <c r="V581" s="98"/>
    </row>
    <row r="582" spans="4:22" ht="12.75">
      <c r="D582" s="98"/>
      <c r="E582" s="98"/>
      <c r="F582" s="98"/>
      <c r="G582" s="98"/>
      <c r="H582" s="98"/>
      <c r="I582" s="98"/>
      <c r="J582" s="98"/>
      <c r="K582" s="98"/>
      <c r="L582" s="98"/>
      <c r="M582" s="98"/>
      <c r="N582" s="98"/>
      <c r="O582" s="98"/>
      <c r="P582" s="98"/>
      <c r="Q582" s="98"/>
      <c r="R582" s="98"/>
      <c r="S582" s="98"/>
      <c r="T582" s="98"/>
      <c r="U582" s="98"/>
      <c r="V582" s="98"/>
    </row>
    <row r="583" spans="4:22" ht="12.75">
      <c r="D583" s="98"/>
      <c r="E583" s="98"/>
      <c r="F583" s="98"/>
      <c r="G583" s="98"/>
      <c r="H583" s="98"/>
      <c r="I583" s="98"/>
      <c r="J583" s="98"/>
      <c r="K583" s="98"/>
      <c r="L583" s="98"/>
      <c r="M583" s="98"/>
      <c r="N583" s="98"/>
      <c r="O583" s="98"/>
      <c r="P583" s="98"/>
      <c r="Q583" s="98"/>
      <c r="R583" s="98"/>
      <c r="S583" s="98"/>
      <c r="T583" s="98"/>
      <c r="U583" s="98"/>
      <c r="V583" s="98"/>
    </row>
    <row r="584" spans="4:22" ht="12.75">
      <c r="D584" s="98"/>
      <c r="E584" s="98"/>
      <c r="F584" s="98"/>
      <c r="G584" s="98"/>
      <c r="H584" s="98"/>
      <c r="I584" s="98"/>
      <c r="J584" s="98"/>
      <c r="K584" s="98"/>
      <c r="L584" s="98"/>
      <c r="M584" s="98"/>
      <c r="N584" s="98"/>
      <c r="O584" s="98"/>
      <c r="P584" s="98"/>
      <c r="Q584" s="98"/>
      <c r="R584" s="98"/>
      <c r="S584" s="98"/>
      <c r="T584" s="98"/>
      <c r="U584" s="98"/>
      <c r="V584" s="98"/>
    </row>
    <row r="585" spans="4:22" ht="12.75">
      <c r="D585" s="98"/>
      <c r="E585" s="98"/>
      <c r="F585" s="98"/>
      <c r="G585" s="98"/>
      <c r="H585" s="98"/>
      <c r="I585" s="98"/>
      <c r="J585" s="98"/>
      <c r="K585" s="98"/>
      <c r="L585" s="98"/>
      <c r="M585" s="98"/>
      <c r="N585" s="98"/>
      <c r="O585" s="98"/>
      <c r="P585" s="98"/>
      <c r="Q585" s="98"/>
      <c r="R585" s="98"/>
      <c r="S585" s="98"/>
      <c r="T585" s="98"/>
      <c r="U585" s="98"/>
      <c r="V585" s="98"/>
    </row>
    <row r="586" spans="4:22" ht="12.75">
      <c r="D586" s="98"/>
      <c r="E586" s="98"/>
      <c r="F586" s="98"/>
      <c r="G586" s="98"/>
      <c r="H586" s="98"/>
      <c r="I586" s="98"/>
      <c r="J586" s="98"/>
      <c r="K586" s="98"/>
      <c r="L586" s="98"/>
      <c r="M586" s="98"/>
      <c r="N586" s="98"/>
      <c r="O586" s="98"/>
      <c r="P586" s="98"/>
      <c r="Q586" s="98"/>
      <c r="R586" s="98"/>
      <c r="S586" s="98"/>
      <c r="T586" s="98"/>
      <c r="U586" s="98"/>
      <c r="V586" s="98"/>
    </row>
    <row r="587" spans="4:22" ht="12.75">
      <c r="D587" s="98"/>
      <c r="E587" s="98"/>
      <c r="F587" s="98"/>
      <c r="G587" s="98"/>
      <c r="H587" s="98"/>
      <c r="I587" s="98"/>
      <c r="J587" s="98"/>
      <c r="K587" s="98"/>
      <c r="L587" s="98"/>
      <c r="M587" s="98"/>
      <c r="N587" s="98"/>
      <c r="O587" s="98"/>
      <c r="P587" s="98"/>
      <c r="Q587" s="98"/>
      <c r="R587" s="98"/>
      <c r="S587" s="98"/>
      <c r="T587" s="98"/>
      <c r="U587" s="98"/>
      <c r="V587" s="98"/>
    </row>
    <row r="588" spans="4:22" ht="12.75">
      <c r="D588" s="98"/>
      <c r="E588" s="98"/>
      <c r="F588" s="98"/>
      <c r="G588" s="98"/>
      <c r="H588" s="98"/>
      <c r="I588" s="98"/>
      <c r="J588" s="98"/>
      <c r="K588" s="98"/>
      <c r="L588" s="98"/>
      <c r="M588" s="98"/>
      <c r="N588" s="98"/>
      <c r="O588" s="98"/>
      <c r="P588" s="98"/>
      <c r="Q588" s="98"/>
      <c r="R588" s="98"/>
      <c r="S588" s="98"/>
      <c r="T588" s="98"/>
      <c r="U588" s="98"/>
      <c r="V588" s="98"/>
    </row>
    <row r="589" spans="4:22" ht="12.75">
      <c r="D589" s="98"/>
      <c r="E589" s="98"/>
      <c r="F589" s="98"/>
      <c r="G589" s="98"/>
      <c r="H589" s="98"/>
      <c r="I589" s="98"/>
      <c r="J589" s="98"/>
      <c r="K589" s="98"/>
      <c r="L589" s="98"/>
      <c r="M589" s="98"/>
      <c r="N589" s="98"/>
      <c r="O589" s="98"/>
      <c r="P589" s="98"/>
      <c r="Q589" s="98"/>
      <c r="R589" s="98"/>
      <c r="S589" s="98"/>
      <c r="T589" s="98"/>
      <c r="U589" s="98"/>
      <c r="V589" s="98"/>
    </row>
    <row r="590" spans="4:22" ht="12.75">
      <c r="D590" s="98"/>
      <c r="E590" s="98"/>
      <c r="F590" s="98"/>
      <c r="G590" s="98"/>
      <c r="H590" s="98"/>
      <c r="I590" s="98"/>
      <c r="J590" s="98"/>
      <c r="K590" s="98"/>
      <c r="L590" s="98"/>
      <c r="M590" s="98"/>
      <c r="N590" s="98"/>
      <c r="O590" s="98"/>
      <c r="P590" s="98"/>
      <c r="Q590" s="98"/>
      <c r="R590" s="98"/>
      <c r="S590" s="98"/>
      <c r="T590" s="98"/>
      <c r="U590" s="98"/>
      <c r="V590" s="98"/>
    </row>
    <row r="591" spans="4:22" ht="12.75">
      <c r="D591" s="98"/>
      <c r="E591" s="98"/>
      <c r="F591" s="98"/>
      <c r="G591" s="98"/>
      <c r="H591" s="98"/>
      <c r="I591" s="98"/>
      <c r="J591" s="98"/>
      <c r="K591" s="98"/>
      <c r="L591" s="98"/>
      <c r="M591" s="98"/>
      <c r="N591" s="98"/>
      <c r="O591" s="98"/>
      <c r="P591" s="98"/>
      <c r="Q591" s="98"/>
      <c r="R591" s="98"/>
      <c r="S591" s="98"/>
      <c r="T591" s="98"/>
      <c r="U591" s="98"/>
      <c r="V591" s="98"/>
    </row>
    <row r="592" spans="4:22" ht="12.75">
      <c r="D592" s="98"/>
      <c r="E592" s="98"/>
      <c r="F592" s="98"/>
      <c r="G592" s="98"/>
      <c r="H592" s="98"/>
      <c r="I592" s="98"/>
      <c r="J592" s="98"/>
      <c r="K592" s="98"/>
      <c r="L592" s="98"/>
      <c r="M592" s="98"/>
      <c r="N592" s="98"/>
      <c r="O592" s="98"/>
      <c r="P592" s="98"/>
      <c r="Q592" s="98"/>
      <c r="R592" s="98"/>
      <c r="S592" s="98"/>
      <c r="T592" s="98"/>
      <c r="U592" s="98"/>
      <c r="V592" s="98"/>
    </row>
    <row r="593" spans="4:22" ht="12.75">
      <c r="D593" s="98"/>
      <c r="E593" s="98"/>
      <c r="F593" s="98"/>
      <c r="G593" s="98"/>
      <c r="H593" s="98"/>
      <c r="I593" s="98"/>
      <c r="J593" s="98"/>
      <c r="K593" s="98"/>
      <c r="L593" s="98"/>
      <c r="M593" s="98"/>
      <c r="N593" s="98"/>
      <c r="O593" s="98"/>
      <c r="P593" s="98"/>
      <c r="Q593" s="98"/>
      <c r="R593" s="98"/>
      <c r="S593" s="98"/>
      <c r="T593" s="98"/>
      <c r="U593" s="98"/>
      <c r="V593" s="98"/>
    </row>
    <row r="594" spans="4:22" ht="12.75">
      <c r="D594" s="98"/>
      <c r="E594" s="98"/>
      <c r="F594" s="98"/>
      <c r="G594" s="98"/>
      <c r="H594" s="98"/>
      <c r="I594" s="98"/>
      <c r="J594" s="98"/>
      <c r="K594" s="98"/>
      <c r="L594" s="98"/>
      <c r="M594" s="98"/>
      <c r="N594" s="98"/>
      <c r="O594" s="98"/>
      <c r="P594" s="98"/>
      <c r="Q594" s="98"/>
      <c r="R594" s="98"/>
      <c r="S594" s="98"/>
      <c r="T594" s="98"/>
      <c r="U594" s="98"/>
      <c r="V594" s="98"/>
    </row>
    <row r="595" spans="4:22" ht="12.75">
      <c r="D595" s="98"/>
      <c r="E595" s="98"/>
      <c r="F595" s="98"/>
      <c r="G595" s="98"/>
      <c r="H595" s="98"/>
      <c r="I595" s="98"/>
      <c r="J595" s="98"/>
      <c r="K595" s="98"/>
      <c r="L595" s="98"/>
      <c r="M595" s="98"/>
      <c r="N595" s="98"/>
      <c r="O595" s="98"/>
      <c r="P595" s="98"/>
      <c r="Q595" s="98"/>
      <c r="R595" s="98"/>
      <c r="S595" s="98"/>
      <c r="T595" s="98"/>
      <c r="U595" s="98"/>
      <c r="V595" s="98"/>
    </row>
    <row r="596" spans="4:22" ht="12.75">
      <c r="D596" s="98"/>
      <c r="E596" s="98"/>
      <c r="F596" s="98"/>
      <c r="G596" s="98"/>
      <c r="H596" s="98"/>
      <c r="I596" s="98"/>
      <c r="J596" s="98"/>
      <c r="K596" s="98"/>
      <c r="L596" s="98"/>
      <c r="M596" s="98"/>
      <c r="N596" s="98"/>
      <c r="O596" s="98"/>
      <c r="P596" s="98"/>
      <c r="Q596" s="98"/>
      <c r="R596" s="98"/>
      <c r="S596" s="98"/>
      <c r="T596" s="98"/>
      <c r="U596" s="98"/>
      <c r="V596" s="98"/>
    </row>
    <row r="597" spans="4:22" ht="12.75">
      <c r="D597" s="98"/>
      <c r="E597" s="98"/>
      <c r="F597" s="98"/>
      <c r="G597" s="98"/>
      <c r="H597" s="98"/>
      <c r="I597" s="98"/>
      <c r="J597" s="98"/>
      <c r="K597" s="98"/>
      <c r="L597" s="98"/>
      <c r="M597" s="98"/>
      <c r="N597" s="98"/>
      <c r="O597" s="98"/>
      <c r="P597" s="98"/>
      <c r="Q597" s="98"/>
      <c r="R597" s="98"/>
      <c r="S597" s="98"/>
      <c r="T597" s="98"/>
      <c r="U597" s="98"/>
      <c r="V597" s="98"/>
    </row>
    <row r="598" spans="4:22" ht="12.75">
      <c r="D598" s="98"/>
      <c r="E598" s="98"/>
      <c r="F598" s="98"/>
      <c r="G598" s="98"/>
      <c r="H598" s="98"/>
      <c r="I598" s="98"/>
      <c r="J598" s="98"/>
      <c r="K598" s="98"/>
      <c r="L598" s="98"/>
      <c r="M598" s="98"/>
      <c r="N598" s="98"/>
      <c r="O598" s="98"/>
      <c r="P598" s="98"/>
      <c r="Q598" s="98"/>
      <c r="R598" s="98"/>
      <c r="S598" s="98"/>
      <c r="T598" s="98"/>
      <c r="U598" s="98"/>
      <c r="V598" s="98"/>
    </row>
    <row r="599" spans="4:22" ht="12.75">
      <c r="D599" s="98"/>
      <c r="E599" s="98"/>
      <c r="F599" s="98"/>
      <c r="G599" s="98"/>
      <c r="H599" s="98"/>
      <c r="I599" s="98"/>
      <c r="J599" s="98"/>
      <c r="K599" s="98"/>
      <c r="L599" s="98"/>
      <c r="M599" s="98"/>
      <c r="N599" s="98"/>
      <c r="O599" s="98"/>
      <c r="P599" s="98"/>
      <c r="Q599" s="98"/>
      <c r="R599" s="98"/>
      <c r="S599" s="98"/>
      <c r="T599" s="98"/>
      <c r="U599" s="98"/>
      <c r="V599" s="98"/>
    </row>
    <row r="600" spans="4:22" ht="12.75">
      <c r="D600" s="98"/>
      <c r="E600" s="98"/>
      <c r="F600" s="98"/>
      <c r="G600" s="98"/>
      <c r="H600" s="98"/>
      <c r="I600" s="98"/>
      <c r="J600" s="98"/>
      <c r="K600" s="98"/>
      <c r="L600" s="98"/>
      <c r="M600" s="98"/>
      <c r="N600" s="98"/>
      <c r="O600" s="98"/>
      <c r="P600" s="98"/>
      <c r="Q600" s="98"/>
      <c r="R600" s="98"/>
      <c r="S600" s="98"/>
      <c r="T600" s="98"/>
      <c r="U600" s="98"/>
      <c r="V600" s="98"/>
    </row>
    <row r="601" spans="4:22" ht="12.75">
      <c r="D601" s="98"/>
      <c r="E601" s="98"/>
      <c r="F601" s="98"/>
      <c r="G601" s="98"/>
      <c r="H601" s="98"/>
      <c r="I601" s="98"/>
      <c r="J601" s="98"/>
      <c r="K601" s="98"/>
      <c r="L601" s="98"/>
      <c r="M601" s="98"/>
      <c r="N601" s="98"/>
      <c r="O601" s="98"/>
      <c r="P601" s="98"/>
      <c r="Q601" s="98"/>
      <c r="R601" s="98"/>
      <c r="S601" s="98"/>
      <c r="T601" s="98"/>
      <c r="U601" s="98"/>
      <c r="V601" s="98"/>
    </row>
    <row r="602" spans="4:22" ht="12.75">
      <c r="D602" s="98"/>
      <c r="E602" s="98"/>
      <c r="F602" s="98"/>
      <c r="G602" s="98"/>
      <c r="H602" s="98"/>
      <c r="I602" s="98"/>
      <c r="J602" s="98"/>
      <c r="K602" s="98"/>
      <c r="L602" s="98"/>
      <c r="M602" s="98"/>
      <c r="N602" s="98"/>
      <c r="O602" s="98"/>
      <c r="P602" s="98"/>
      <c r="Q602" s="98"/>
      <c r="R602" s="98"/>
      <c r="S602" s="98"/>
      <c r="T602" s="98"/>
      <c r="U602" s="98"/>
      <c r="V602" s="98"/>
    </row>
    <row r="603" spans="4:22" ht="12.75">
      <c r="D603" s="98"/>
      <c r="E603" s="98"/>
      <c r="F603" s="98"/>
      <c r="G603" s="98"/>
      <c r="H603" s="98"/>
      <c r="I603" s="98"/>
      <c r="J603" s="98"/>
      <c r="K603" s="98"/>
      <c r="L603" s="98"/>
      <c r="M603" s="98"/>
      <c r="N603" s="98"/>
      <c r="O603" s="98"/>
      <c r="P603" s="98"/>
      <c r="Q603" s="98"/>
      <c r="R603" s="98"/>
      <c r="S603" s="98"/>
      <c r="T603" s="98"/>
      <c r="U603" s="98"/>
      <c r="V603" s="98"/>
    </row>
    <row r="604" spans="4:22" ht="12.75">
      <c r="D604" s="98"/>
      <c r="E604" s="98"/>
      <c r="F604" s="98"/>
      <c r="G604" s="98"/>
      <c r="H604" s="98"/>
      <c r="I604" s="98"/>
      <c r="J604" s="98"/>
      <c r="K604" s="98"/>
      <c r="L604" s="98"/>
      <c r="M604" s="98"/>
      <c r="N604" s="98"/>
      <c r="O604" s="98"/>
      <c r="P604" s="98"/>
      <c r="Q604" s="98"/>
      <c r="R604" s="98"/>
      <c r="S604" s="98"/>
      <c r="T604" s="98"/>
      <c r="U604" s="98"/>
      <c r="V604" s="98"/>
    </row>
    <row r="605" spans="4:22" ht="12.75">
      <c r="D605" s="98"/>
      <c r="E605" s="98"/>
      <c r="F605" s="98"/>
      <c r="G605" s="98"/>
      <c r="H605" s="98"/>
      <c r="I605" s="98"/>
      <c r="J605" s="98"/>
      <c r="K605" s="98"/>
      <c r="L605" s="98"/>
      <c r="M605" s="98"/>
      <c r="N605" s="98"/>
      <c r="O605" s="98"/>
      <c r="P605" s="98"/>
      <c r="Q605" s="98"/>
      <c r="R605" s="98"/>
      <c r="S605" s="98"/>
      <c r="T605" s="98"/>
      <c r="U605" s="98"/>
      <c r="V605" s="98"/>
    </row>
    <row r="606" spans="4:22" ht="12.75">
      <c r="D606" s="98"/>
      <c r="E606" s="98"/>
      <c r="F606" s="98"/>
      <c r="G606" s="98"/>
      <c r="H606" s="98"/>
      <c r="I606" s="98"/>
      <c r="J606" s="98"/>
      <c r="K606" s="98"/>
      <c r="L606" s="98"/>
      <c r="M606" s="98"/>
      <c r="N606" s="98"/>
      <c r="O606" s="98"/>
      <c r="P606" s="98"/>
      <c r="Q606" s="98"/>
      <c r="R606" s="98"/>
      <c r="S606" s="98"/>
      <c r="T606" s="98"/>
      <c r="U606" s="98"/>
      <c r="V606" s="98"/>
    </row>
    <row r="607" spans="4:22" ht="12.75">
      <c r="D607" s="98"/>
      <c r="E607" s="98"/>
      <c r="F607" s="98"/>
      <c r="G607" s="98"/>
      <c r="H607" s="98"/>
      <c r="I607" s="98"/>
      <c r="J607" s="98"/>
      <c r="K607" s="98"/>
      <c r="L607" s="98"/>
      <c r="M607" s="98"/>
      <c r="N607" s="98"/>
      <c r="O607" s="98"/>
      <c r="P607" s="98"/>
      <c r="Q607" s="98"/>
      <c r="R607" s="98"/>
      <c r="S607" s="98"/>
      <c r="T607" s="98"/>
      <c r="U607" s="98"/>
      <c r="V607" s="98"/>
    </row>
    <row r="608" spans="4:22" ht="12.75">
      <c r="D608" s="98"/>
      <c r="E608" s="98"/>
      <c r="F608" s="98"/>
      <c r="G608" s="98"/>
      <c r="H608" s="98"/>
      <c r="I608" s="98"/>
      <c r="J608" s="98"/>
      <c r="K608" s="98"/>
      <c r="L608" s="98"/>
      <c r="M608" s="98"/>
      <c r="N608" s="98"/>
      <c r="O608" s="98"/>
      <c r="P608" s="98"/>
      <c r="Q608" s="98"/>
      <c r="R608" s="98"/>
      <c r="S608" s="98"/>
      <c r="T608" s="98"/>
      <c r="U608" s="98"/>
      <c r="V608" s="98"/>
    </row>
    <row r="609" spans="4:22" ht="12.75">
      <c r="D609" s="98"/>
      <c r="E609" s="98"/>
      <c r="F609" s="98"/>
      <c r="G609" s="98"/>
      <c r="H609" s="98"/>
      <c r="I609" s="98"/>
      <c r="J609" s="98"/>
      <c r="K609" s="98"/>
      <c r="L609" s="98"/>
      <c r="M609" s="98"/>
      <c r="N609" s="98"/>
      <c r="O609" s="98"/>
      <c r="P609" s="98"/>
      <c r="Q609" s="98"/>
      <c r="R609" s="98"/>
      <c r="S609" s="98"/>
      <c r="T609" s="98"/>
      <c r="U609" s="98"/>
      <c r="V609" s="98"/>
    </row>
    <row r="610" spans="4:22" ht="12.75">
      <c r="D610" s="98"/>
      <c r="E610" s="98"/>
      <c r="F610" s="98"/>
      <c r="G610" s="98"/>
      <c r="H610" s="98"/>
      <c r="I610" s="98"/>
      <c r="J610" s="98"/>
      <c r="K610" s="98"/>
      <c r="L610" s="98"/>
      <c r="M610" s="98"/>
      <c r="N610" s="98"/>
      <c r="O610" s="98"/>
      <c r="P610" s="98"/>
      <c r="Q610" s="98"/>
      <c r="R610" s="98"/>
      <c r="S610" s="98"/>
      <c r="T610" s="98"/>
      <c r="U610" s="98"/>
      <c r="V610" s="98"/>
    </row>
    <row r="611" spans="4:22" ht="12.75">
      <c r="D611" s="98"/>
      <c r="E611" s="98"/>
      <c r="F611" s="98"/>
      <c r="G611" s="98"/>
      <c r="H611" s="98"/>
      <c r="I611" s="98"/>
      <c r="J611" s="98"/>
      <c r="K611" s="98"/>
      <c r="L611" s="98"/>
      <c r="M611" s="98"/>
      <c r="N611" s="98"/>
      <c r="O611" s="98"/>
      <c r="P611" s="98"/>
      <c r="Q611" s="98"/>
      <c r="R611" s="98"/>
      <c r="S611" s="98"/>
      <c r="T611" s="98"/>
      <c r="U611" s="98"/>
      <c r="V611" s="98"/>
    </row>
    <row r="612" spans="4:22" ht="12.75">
      <c r="D612" s="98"/>
      <c r="E612" s="98"/>
      <c r="F612" s="98"/>
      <c r="G612" s="98"/>
      <c r="H612" s="98"/>
      <c r="I612" s="98"/>
      <c r="J612" s="98"/>
      <c r="K612" s="98"/>
      <c r="L612" s="98"/>
      <c r="M612" s="98"/>
      <c r="N612" s="98"/>
      <c r="O612" s="98"/>
      <c r="P612" s="98"/>
      <c r="Q612" s="98"/>
      <c r="R612" s="98"/>
      <c r="S612" s="98"/>
      <c r="T612" s="98"/>
      <c r="U612" s="98"/>
      <c r="V612" s="98"/>
    </row>
    <row r="613" spans="4:22" ht="12.75">
      <c r="D613" s="98"/>
      <c r="E613" s="98"/>
      <c r="F613" s="98"/>
      <c r="G613" s="98"/>
      <c r="H613" s="98"/>
      <c r="I613" s="98"/>
      <c r="J613" s="98"/>
      <c r="K613" s="98"/>
      <c r="L613" s="98"/>
      <c r="M613" s="98"/>
      <c r="N613" s="98"/>
      <c r="O613" s="98"/>
      <c r="P613" s="98"/>
      <c r="Q613" s="98"/>
      <c r="R613" s="98"/>
      <c r="S613" s="98"/>
      <c r="T613" s="98"/>
      <c r="U613" s="98"/>
      <c r="V613" s="98"/>
    </row>
    <row r="614" spans="4:22" ht="12.75">
      <c r="D614" s="98"/>
      <c r="E614" s="98"/>
      <c r="F614" s="98"/>
      <c r="G614" s="98"/>
      <c r="H614" s="98"/>
      <c r="I614" s="98"/>
      <c r="J614" s="98"/>
      <c r="K614" s="98"/>
      <c r="L614" s="98"/>
      <c r="M614" s="98"/>
      <c r="N614" s="98"/>
      <c r="O614" s="98"/>
      <c r="P614" s="98"/>
      <c r="Q614" s="98"/>
      <c r="R614" s="98"/>
      <c r="S614" s="98"/>
      <c r="T614" s="98"/>
      <c r="U614" s="98"/>
      <c r="V614" s="98"/>
    </row>
    <row r="615" spans="4:22" ht="12.75">
      <c r="D615" s="98"/>
      <c r="E615" s="98"/>
      <c r="F615" s="98"/>
      <c r="G615" s="98"/>
      <c r="H615" s="98"/>
      <c r="I615" s="98"/>
      <c r="J615" s="98"/>
      <c r="K615" s="98"/>
      <c r="L615" s="98"/>
      <c r="M615" s="98"/>
      <c r="N615" s="98"/>
      <c r="O615" s="98"/>
      <c r="P615" s="98"/>
      <c r="Q615" s="98"/>
      <c r="R615" s="98"/>
      <c r="S615" s="98"/>
      <c r="T615" s="98"/>
      <c r="U615" s="98"/>
      <c r="V615" s="98"/>
    </row>
    <row r="616" spans="4:22" ht="12.75">
      <c r="D616" s="98"/>
      <c r="E616" s="98"/>
      <c r="F616" s="98"/>
      <c r="G616" s="98"/>
      <c r="H616" s="98"/>
      <c r="I616" s="98"/>
      <c r="J616" s="98"/>
      <c r="K616" s="98"/>
      <c r="L616" s="98"/>
      <c r="M616" s="98"/>
      <c r="N616" s="98"/>
      <c r="O616" s="98"/>
      <c r="P616" s="98"/>
      <c r="Q616" s="98"/>
      <c r="R616" s="98"/>
      <c r="S616" s="98"/>
      <c r="T616" s="98"/>
      <c r="U616" s="98"/>
      <c r="V616" s="98"/>
    </row>
    <row r="617" spans="4:22" ht="12.75">
      <c r="D617" s="98"/>
      <c r="E617" s="98"/>
      <c r="F617" s="98"/>
      <c r="G617" s="98"/>
      <c r="H617" s="98"/>
      <c r="I617" s="98"/>
      <c r="J617" s="98"/>
      <c r="K617" s="98"/>
      <c r="L617" s="98"/>
      <c r="M617" s="98"/>
      <c r="N617" s="98"/>
      <c r="O617" s="98"/>
      <c r="P617" s="98"/>
      <c r="Q617" s="98"/>
      <c r="R617" s="98"/>
      <c r="S617" s="98"/>
      <c r="T617" s="98"/>
      <c r="U617" s="98"/>
      <c r="V617" s="98"/>
    </row>
    <row r="618" spans="4:22" ht="12.75">
      <c r="D618" s="98"/>
      <c r="E618" s="98"/>
      <c r="F618" s="98"/>
      <c r="G618" s="98"/>
      <c r="H618" s="98"/>
      <c r="I618" s="98"/>
      <c r="J618" s="98"/>
      <c r="K618" s="98"/>
      <c r="L618" s="98"/>
      <c r="M618" s="98"/>
      <c r="N618" s="98"/>
      <c r="O618" s="98"/>
      <c r="P618" s="98"/>
      <c r="Q618" s="98"/>
      <c r="R618" s="98"/>
      <c r="S618" s="98"/>
      <c r="T618" s="98"/>
      <c r="U618" s="98"/>
      <c r="V618" s="98"/>
    </row>
    <row r="619" spans="4:22" ht="12.75">
      <c r="D619" s="98"/>
      <c r="E619" s="98"/>
      <c r="F619" s="98"/>
      <c r="G619" s="98"/>
      <c r="H619" s="98"/>
      <c r="I619" s="98"/>
      <c r="J619" s="98"/>
      <c r="K619" s="98"/>
      <c r="L619" s="98"/>
      <c r="M619" s="98"/>
      <c r="N619" s="98"/>
      <c r="O619" s="98"/>
      <c r="P619" s="98"/>
      <c r="Q619" s="98"/>
      <c r="R619" s="98"/>
      <c r="S619" s="98"/>
      <c r="T619" s="98"/>
      <c r="U619" s="98"/>
      <c r="V619" s="98"/>
    </row>
    <row r="620" spans="4:22" ht="12.75">
      <c r="D620" s="98"/>
      <c r="E620" s="98"/>
      <c r="F620" s="98"/>
      <c r="G620" s="98"/>
      <c r="H620" s="98"/>
      <c r="I620" s="98"/>
      <c r="J620" s="98"/>
      <c r="K620" s="98"/>
      <c r="L620" s="98"/>
      <c r="M620" s="98"/>
      <c r="N620" s="98"/>
      <c r="O620" s="98"/>
      <c r="P620" s="98"/>
      <c r="Q620" s="98"/>
      <c r="R620" s="98"/>
      <c r="S620" s="98"/>
      <c r="T620" s="98"/>
      <c r="U620" s="98"/>
      <c r="V620" s="98"/>
    </row>
    <row r="621" spans="4:22" ht="12.75">
      <c r="D621" s="98"/>
      <c r="E621" s="98"/>
      <c r="F621" s="98"/>
      <c r="G621" s="98"/>
      <c r="H621" s="98"/>
      <c r="I621" s="98"/>
      <c r="J621" s="98"/>
      <c r="K621" s="98"/>
      <c r="L621" s="98"/>
      <c r="M621" s="98"/>
      <c r="N621" s="98"/>
      <c r="O621" s="98"/>
      <c r="P621" s="98"/>
      <c r="Q621" s="98"/>
      <c r="R621" s="98"/>
      <c r="S621" s="98"/>
      <c r="T621" s="98"/>
      <c r="U621" s="98"/>
      <c r="V621" s="98"/>
    </row>
    <row r="622" spans="4:22" ht="12.75">
      <c r="D622" s="98"/>
      <c r="E622" s="98"/>
      <c r="F622" s="98"/>
      <c r="G622" s="98"/>
      <c r="H622" s="98"/>
      <c r="I622" s="98"/>
      <c r="J622" s="98"/>
      <c r="K622" s="98"/>
      <c r="L622" s="98"/>
      <c r="M622" s="98"/>
      <c r="N622" s="98"/>
      <c r="O622" s="98"/>
      <c r="P622" s="98"/>
      <c r="Q622" s="98"/>
      <c r="R622" s="98"/>
      <c r="S622" s="98"/>
      <c r="T622" s="98"/>
      <c r="U622" s="98"/>
      <c r="V622" s="98"/>
    </row>
    <row r="623" spans="4:22" ht="12.75">
      <c r="D623" s="98"/>
      <c r="E623" s="98"/>
      <c r="F623" s="98"/>
      <c r="G623" s="98"/>
      <c r="H623" s="98"/>
      <c r="I623" s="98"/>
      <c r="J623" s="98"/>
      <c r="K623" s="98"/>
      <c r="L623" s="98"/>
      <c r="M623" s="98"/>
      <c r="N623" s="98"/>
      <c r="O623" s="98"/>
      <c r="P623" s="98"/>
      <c r="Q623" s="98"/>
      <c r="R623" s="98"/>
      <c r="S623" s="98"/>
      <c r="T623" s="98"/>
      <c r="U623" s="98"/>
      <c r="V623" s="98"/>
    </row>
    <row r="624" spans="4:22" ht="12.75">
      <c r="D624" s="98"/>
      <c r="E624" s="98"/>
      <c r="F624" s="98"/>
      <c r="G624" s="98"/>
      <c r="H624" s="98"/>
      <c r="I624" s="98"/>
      <c r="J624" s="98"/>
      <c r="K624" s="98"/>
      <c r="L624" s="98"/>
      <c r="M624" s="98"/>
      <c r="N624" s="98"/>
      <c r="O624" s="98"/>
      <c r="P624" s="98"/>
      <c r="Q624" s="98"/>
      <c r="R624" s="98"/>
      <c r="S624" s="98"/>
      <c r="T624" s="98"/>
      <c r="U624" s="98"/>
      <c r="V624" s="98"/>
    </row>
    <row r="625" spans="4:22" ht="12.75">
      <c r="D625" s="98"/>
      <c r="E625" s="98"/>
      <c r="F625" s="98"/>
      <c r="G625" s="98"/>
      <c r="H625" s="98"/>
      <c r="I625" s="98"/>
      <c r="J625" s="98"/>
      <c r="K625" s="98"/>
      <c r="L625" s="98"/>
      <c r="M625" s="98"/>
      <c r="N625" s="98"/>
      <c r="O625" s="98"/>
      <c r="P625" s="98"/>
      <c r="Q625" s="98"/>
      <c r="R625" s="98"/>
      <c r="S625" s="98"/>
      <c r="T625" s="98"/>
      <c r="U625" s="98"/>
      <c r="V625" s="98"/>
    </row>
    <row r="626" spans="4:22" ht="12.75">
      <c r="D626" s="98"/>
      <c r="E626" s="98"/>
      <c r="F626" s="98"/>
      <c r="G626" s="98"/>
      <c r="H626" s="98"/>
      <c r="I626" s="98"/>
      <c r="J626" s="98"/>
      <c r="K626" s="98"/>
      <c r="L626" s="98"/>
      <c r="M626" s="98"/>
      <c r="N626" s="98"/>
      <c r="O626" s="98"/>
      <c r="P626" s="98"/>
      <c r="Q626" s="98"/>
      <c r="R626" s="98"/>
      <c r="S626" s="98"/>
      <c r="T626" s="98"/>
      <c r="U626" s="98"/>
      <c r="V626" s="98"/>
    </row>
    <row r="627" spans="4:22" ht="12.75">
      <c r="D627" s="98"/>
      <c r="E627" s="98"/>
      <c r="F627" s="98"/>
      <c r="G627" s="98"/>
      <c r="H627" s="98"/>
      <c r="I627" s="98"/>
      <c r="J627" s="98"/>
      <c r="K627" s="98"/>
      <c r="L627" s="98"/>
      <c r="M627" s="98"/>
      <c r="N627" s="98"/>
      <c r="O627" s="98"/>
      <c r="P627" s="98"/>
      <c r="Q627" s="98"/>
      <c r="R627" s="98"/>
      <c r="S627" s="98"/>
      <c r="T627" s="98"/>
      <c r="U627" s="98"/>
      <c r="V627" s="98"/>
    </row>
    <row r="628" spans="4:22" ht="12.75">
      <c r="D628" s="98"/>
      <c r="E628" s="98"/>
      <c r="F628" s="98"/>
      <c r="G628" s="98"/>
      <c r="H628" s="98"/>
      <c r="I628" s="98"/>
      <c r="J628" s="98"/>
      <c r="K628" s="98"/>
      <c r="L628" s="98"/>
      <c r="M628" s="98"/>
      <c r="N628" s="98"/>
      <c r="O628" s="98"/>
      <c r="P628" s="98"/>
      <c r="Q628" s="98"/>
      <c r="R628" s="98"/>
      <c r="S628" s="98"/>
      <c r="T628" s="98"/>
      <c r="U628" s="98"/>
      <c r="V628" s="98"/>
    </row>
    <row r="629" spans="4:22" ht="12.75">
      <c r="D629" s="98"/>
      <c r="E629" s="98"/>
      <c r="F629" s="98"/>
      <c r="G629" s="98"/>
      <c r="H629" s="98"/>
      <c r="I629" s="98"/>
      <c r="J629" s="98"/>
      <c r="K629" s="98"/>
      <c r="L629" s="98"/>
      <c r="M629" s="98"/>
      <c r="N629" s="98"/>
      <c r="O629" s="98"/>
      <c r="P629" s="98"/>
      <c r="Q629" s="98"/>
      <c r="R629" s="98"/>
      <c r="S629" s="98"/>
      <c r="T629" s="98"/>
      <c r="U629" s="98"/>
      <c r="V629" s="98"/>
    </row>
    <row r="630" spans="4:22" ht="12.75">
      <c r="D630" s="98"/>
      <c r="E630" s="98"/>
      <c r="F630" s="98"/>
      <c r="G630" s="98"/>
      <c r="H630" s="98"/>
      <c r="I630" s="98"/>
      <c r="J630" s="98"/>
      <c r="K630" s="98"/>
      <c r="L630" s="98"/>
      <c r="M630" s="98"/>
      <c r="N630" s="98"/>
      <c r="O630" s="98"/>
      <c r="P630" s="98"/>
      <c r="Q630" s="98"/>
      <c r="R630" s="98"/>
      <c r="S630" s="98"/>
      <c r="T630" s="98"/>
      <c r="U630" s="98"/>
      <c r="V630" s="98"/>
    </row>
    <row r="631" spans="4:22" ht="12.75">
      <c r="D631" s="98"/>
      <c r="E631" s="98"/>
      <c r="F631" s="98"/>
      <c r="G631" s="98"/>
      <c r="H631" s="98"/>
      <c r="I631" s="98"/>
      <c r="J631" s="98"/>
      <c r="K631" s="98"/>
      <c r="L631" s="98"/>
      <c r="M631" s="98"/>
      <c r="N631" s="98"/>
      <c r="O631" s="98"/>
      <c r="P631" s="98"/>
      <c r="Q631" s="98"/>
      <c r="R631" s="98"/>
      <c r="S631" s="98"/>
      <c r="T631" s="98"/>
      <c r="U631" s="98"/>
      <c r="V631" s="98"/>
    </row>
    <row r="632" spans="4:22" ht="12.75">
      <c r="D632" s="98"/>
      <c r="E632" s="98"/>
      <c r="F632" s="98"/>
      <c r="G632" s="98"/>
      <c r="H632" s="98"/>
      <c r="I632" s="98"/>
      <c r="J632" s="98"/>
      <c r="K632" s="98"/>
      <c r="L632" s="98"/>
      <c r="M632" s="98"/>
      <c r="N632" s="98"/>
      <c r="O632" s="98"/>
      <c r="P632" s="98"/>
      <c r="Q632" s="98"/>
      <c r="R632" s="98"/>
      <c r="S632" s="98"/>
      <c r="T632" s="98"/>
      <c r="U632" s="98"/>
      <c r="V632" s="98"/>
    </row>
    <row r="633" spans="4:22" ht="12.75">
      <c r="D633" s="98"/>
      <c r="E633" s="98"/>
      <c r="F633" s="98"/>
      <c r="G633" s="98"/>
      <c r="H633" s="98"/>
      <c r="I633" s="98"/>
      <c r="J633" s="98"/>
      <c r="K633" s="98"/>
      <c r="L633" s="98"/>
      <c r="M633" s="98"/>
      <c r="N633" s="98"/>
      <c r="O633" s="98"/>
      <c r="P633" s="98"/>
      <c r="Q633" s="98"/>
      <c r="R633" s="98"/>
      <c r="S633" s="98"/>
      <c r="T633" s="98"/>
      <c r="U633" s="98"/>
      <c r="V633" s="98"/>
    </row>
    <row r="634" spans="4:22" ht="12.75">
      <c r="D634" s="98"/>
      <c r="E634" s="98"/>
      <c r="F634" s="98"/>
      <c r="G634" s="98"/>
      <c r="H634" s="98"/>
      <c r="I634" s="98"/>
      <c r="J634" s="98"/>
      <c r="K634" s="98"/>
      <c r="L634" s="98"/>
      <c r="M634" s="98"/>
      <c r="N634" s="98"/>
      <c r="O634" s="98"/>
      <c r="P634" s="98"/>
      <c r="Q634" s="98"/>
      <c r="R634" s="98"/>
      <c r="S634" s="98"/>
      <c r="T634" s="98"/>
      <c r="U634" s="98"/>
      <c r="V634" s="98"/>
    </row>
    <row r="635" spans="4:22" ht="12.75">
      <c r="D635" s="98"/>
      <c r="E635" s="98"/>
      <c r="F635" s="98"/>
      <c r="G635" s="98"/>
      <c r="H635" s="98"/>
      <c r="I635" s="98"/>
      <c r="J635" s="98"/>
      <c r="K635" s="98"/>
      <c r="L635" s="98"/>
      <c r="M635" s="98"/>
      <c r="N635" s="98"/>
      <c r="O635" s="98"/>
      <c r="P635" s="98"/>
      <c r="Q635" s="98"/>
      <c r="R635" s="98"/>
      <c r="S635" s="98"/>
      <c r="T635" s="98"/>
      <c r="U635" s="98"/>
      <c r="V635" s="98"/>
    </row>
    <row r="636" spans="4:22" ht="12.75">
      <c r="D636" s="98"/>
      <c r="E636" s="98"/>
      <c r="F636" s="98"/>
      <c r="G636" s="98"/>
      <c r="H636" s="98"/>
      <c r="I636" s="98"/>
      <c r="J636" s="98"/>
      <c r="K636" s="98"/>
      <c r="L636" s="98"/>
      <c r="M636" s="98"/>
      <c r="N636" s="98"/>
      <c r="O636" s="98"/>
      <c r="P636" s="98"/>
      <c r="Q636" s="98"/>
      <c r="R636" s="98"/>
      <c r="S636" s="98"/>
      <c r="T636" s="98"/>
      <c r="U636" s="98"/>
      <c r="V636" s="98"/>
    </row>
    <row r="637" spans="4:22" ht="12.75">
      <c r="D637" s="98"/>
      <c r="E637" s="98"/>
      <c r="F637" s="98"/>
      <c r="G637" s="98"/>
      <c r="H637" s="98"/>
      <c r="I637" s="98"/>
      <c r="J637" s="98"/>
      <c r="K637" s="98"/>
      <c r="L637" s="98"/>
      <c r="M637" s="98"/>
      <c r="N637" s="98"/>
      <c r="O637" s="98"/>
      <c r="P637" s="98"/>
      <c r="Q637" s="98"/>
      <c r="R637" s="98"/>
      <c r="S637" s="98"/>
      <c r="T637" s="98"/>
      <c r="U637" s="98"/>
      <c r="V637" s="98"/>
    </row>
    <row r="638" spans="4:22" ht="12.75">
      <c r="D638" s="98"/>
      <c r="E638" s="98"/>
      <c r="F638" s="98"/>
      <c r="G638" s="98"/>
      <c r="H638" s="98"/>
      <c r="I638" s="98"/>
      <c r="J638" s="98"/>
      <c r="K638" s="98"/>
      <c r="L638" s="98"/>
      <c r="M638" s="98"/>
      <c r="N638" s="98"/>
      <c r="O638" s="98"/>
      <c r="P638" s="98"/>
      <c r="Q638" s="98"/>
      <c r="R638" s="98"/>
      <c r="S638" s="98"/>
      <c r="T638" s="98"/>
      <c r="U638" s="98"/>
      <c r="V638" s="98"/>
    </row>
    <row r="639" spans="4:22" ht="12.75">
      <c r="D639" s="98"/>
      <c r="E639" s="98"/>
      <c r="F639" s="98"/>
      <c r="G639" s="98"/>
      <c r="H639" s="98"/>
      <c r="I639" s="98"/>
      <c r="J639" s="98"/>
      <c r="K639" s="98"/>
      <c r="L639" s="98"/>
      <c r="M639" s="98"/>
      <c r="N639" s="98"/>
      <c r="O639" s="98"/>
      <c r="P639" s="98"/>
      <c r="Q639" s="98"/>
      <c r="R639" s="98"/>
      <c r="S639" s="98"/>
      <c r="T639" s="98"/>
      <c r="U639" s="98"/>
      <c r="V639" s="98"/>
    </row>
    <row r="640" spans="4:22" ht="12.75">
      <c r="D640" s="98"/>
      <c r="E640" s="98"/>
      <c r="F640" s="98"/>
      <c r="G640" s="98"/>
      <c r="H640" s="98"/>
      <c r="I640" s="98"/>
      <c r="J640" s="98"/>
      <c r="K640" s="98"/>
      <c r="L640" s="98"/>
      <c r="M640" s="98"/>
      <c r="N640" s="98"/>
      <c r="O640" s="98"/>
      <c r="P640" s="98"/>
      <c r="Q640" s="98"/>
      <c r="R640" s="98"/>
      <c r="S640" s="98"/>
      <c r="T640" s="98"/>
      <c r="U640" s="98"/>
      <c r="V640" s="98"/>
    </row>
    <row r="641" spans="4:22" ht="12.75">
      <c r="D641" s="98"/>
      <c r="E641" s="98"/>
      <c r="F641" s="98"/>
      <c r="G641" s="98"/>
      <c r="H641" s="98"/>
      <c r="I641" s="98"/>
      <c r="J641" s="98"/>
      <c r="K641" s="98"/>
      <c r="L641" s="98"/>
      <c r="M641" s="98"/>
      <c r="N641" s="98"/>
      <c r="O641" s="98"/>
      <c r="P641" s="98"/>
      <c r="Q641" s="98"/>
      <c r="R641" s="98"/>
      <c r="S641" s="98"/>
      <c r="T641" s="98"/>
      <c r="U641" s="98"/>
      <c r="V641" s="98"/>
    </row>
    <row r="642" spans="4:22" ht="12.75">
      <c r="D642" s="98"/>
      <c r="E642" s="98"/>
      <c r="F642" s="98"/>
      <c r="G642" s="98"/>
      <c r="H642" s="98"/>
      <c r="I642" s="98"/>
      <c r="J642" s="98"/>
      <c r="K642" s="98"/>
      <c r="L642" s="98"/>
      <c r="M642" s="98"/>
      <c r="N642" s="98"/>
      <c r="O642" s="98"/>
      <c r="P642" s="98"/>
      <c r="Q642" s="98"/>
      <c r="R642" s="98"/>
      <c r="S642" s="98"/>
      <c r="T642" s="98"/>
      <c r="U642" s="98"/>
      <c r="V642" s="98"/>
    </row>
    <row r="643" spans="4:22" ht="12.75">
      <c r="D643" s="98"/>
      <c r="E643" s="98"/>
      <c r="F643" s="98"/>
      <c r="G643" s="98"/>
      <c r="H643" s="98"/>
      <c r="I643" s="98"/>
      <c r="J643" s="98"/>
      <c r="K643" s="98"/>
      <c r="L643" s="98"/>
      <c r="M643" s="98"/>
      <c r="N643" s="98"/>
      <c r="O643" s="98"/>
      <c r="P643" s="98"/>
      <c r="Q643" s="98"/>
      <c r="R643" s="98"/>
      <c r="S643" s="98"/>
      <c r="T643" s="98"/>
      <c r="U643" s="98"/>
      <c r="V643" s="98"/>
    </row>
    <row r="644" spans="4:22" ht="12.75">
      <c r="D644" s="98"/>
      <c r="E644" s="98"/>
      <c r="F644" s="98"/>
      <c r="G644" s="98"/>
      <c r="H644" s="98"/>
      <c r="I644" s="98"/>
      <c r="J644" s="98"/>
      <c r="K644" s="98"/>
      <c r="L644" s="98"/>
      <c r="M644" s="98"/>
      <c r="N644" s="98"/>
      <c r="O644" s="98"/>
      <c r="P644" s="98"/>
      <c r="Q644" s="98"/>
      <c r="R644" s="98"/>
      <c r="S644" s="98"/>
      <c r="T644" s="98"/>
      <c r="U644" s="98"/>
      <c r="V644" s="98"/>
    </row>
    <row r="645" spans="4:22" ht="12.75">
      <c r="D645" s="98"/>
      <c r="E645" s="98"/>
      <c r="F645" s="98"/>
      <c r="G645" s="98"/>
      <c r="H645" s="98"/>
      <c r="I645" s="98"/>
      <c r="J645" s="98"/>
      <c r="K645" s="98"/>
      <c r="L645" s="98"/>
      <c r="M645" s="98"/>
      <c r="N645" s="98"/>
      <c r="O645" s="98"/>
      <c r="P645" s="98"/>
      <c r="Q645" s="98"/>
      <c r="R645" s="98"/>
      <c r="S645" s="98"/>
      <c r="T645" s="98"/>
      <c r="U645" s="98"/>
      <c r="V645" s="98"/>
    </row>
    <row r="646" spans="4:22" ht="12.75">
      <c r="D646" s="98"/>
      <c r="E646" s="98"/>
      <c r="F646" s="98"/>
      <c r="G646" s="98"/>
      <c r="H646" s="98"/>
      <c r="I646" s="98"/>
      <c r="J646" s="98"/>
      <c r="K646" s="98"/>
      <c r="L646" s="98"/>
      <c r="M646" s="98"/>
      <c r="N646" s="98"/>
      <c r="O646" s="98"/>
      <c r="P646" s="98"/>
      <c r="Q646" s="98"/>
      <c r="R646" s="98"/>
      <c r="S646" s="98"/>
      <c r="T646" s="98"/>
      <c r="U646" s="98"/>
      <c r="V646" s="98"/>
    </row>
    <row r="647" spans="4:22" ht="12.75">
      <c r="D647" s="98"/>
      <c r="E647" s="98"/>
      <c r="F647" s="98"/>
      <c r="G647" s="98"/>
      <c r="H647" s="98"/>
      <c r="I647" s="98"/>
      <c r="J647" s="98"/>
      <c r="K647" s="98"/>
      <c r="L647" s="98"/>
      <c r="M647" s="98"/>
      <c r="N647" s="98"/>
      <c r="O647" s="98"/>
      <c r="P647" s="98"/>
      <c r="Q647" s="98"/>
      <c r="R647" s="98"/>
      <c r="S647" s="98"/>
      <c r="T647" s="98"/>
      <c r="U647" s="98"/>
      <c r="V647" s="98"/>
    </row>
    <row r="648" spans="4:22" ht="12.75">
      <c r="D648" s="98"/>
      <c r="E648" s="98"/>
      <c r="F648" s="98"/>
      <c r="G648" s="98"/>
      <c r="H648" s="98"/>
      <c r="I648" s="98"/>
      <c r="J648" s="98"/>
      <c r="K648" s="98"/>
      <c r="L648" s="98"/>
      <c r="M648" s="98"/>
      <c r="N648" s="98"/>
      <c r="O648" s="98"/>
      <c r="P648" s="98"/>
      <c r="Q648" s="98"/>
      <c r="R648" s="98"/>
      <c r="S648" s="98"/>
      <c r="T648" s="98"/>
      <c r="U648" s="98"/>
      <c r="V648" s="98"/>
    </row>
    <row r="649" spans="4:22" ht="12.75">
      <c r="D649" s="98"/>
      <c r="E649" s="98"/>
      <c r="F649" s="98"/>
      <c r="G649" s="98"/>
      <c r="H649" s="98"/>
      <c r="I649" s="98"/>
      <c r="J649" s="98"/>
      <c r="K649" s="98"/>
      <c r="L649" s="98"/>
      <c r="M649" s="98"/>
      <c r="N649" s="98"/>
      <c r="O649" s="98"/>
      <c r="P649" s="98"/>
      <c r="Q649" s="98"/>
      <c r="R649" s="98"/>
      <c r="S649" s="98"/>
      <c r="T649" s="98"/>
      <c r="U649" s="98"/>
      <c r="V649" s="98"/>
    </row>
    <row r="650" spans="4:22" ht="12.75">
      <c r="D650" s="98"/>
      <c r="E650" s="98"/>
      <c r="F650" s="98"/>
      <c r="G650" s="98"/>
      <c r="H650" s="98"/>
      <c r="I650" s="98"/>
      <c r="J650" s="98"/>
      <c r="K650" s="98"/>
      <c r="L650" s="98"/>
      <c r="M650" s="98"/>
      <c r="N650" s="98"/>
      <c r="O650" s="98"/>
      <c r="P650" s="98"/>
      <c r="Q650" s="98"/>
      <c r="R650" s="98"/>
      <c r="S650" s="98"/>
      <c r="T650" s="98"/>
      <c r="U650" s="98"/>
      <c r="V650" s="98"/>
    </row>
    <row r="651" spans="4:22" ht="12.75">
      <c r="D651" s="98"/>
      <c r="E651" s="98"/>
      <c r="F651" s="98"/>
      <c r="G651" s="98"/>
      <c r="H651" s="98"/>
      <c r="I651" s="98"/>
      <c r="J651" s="98"/>
      <c r="K651" s="98"/>
      <c r="L651" s="98"/>
      <c r="M651" s="98"/>
      <c r="N651" s="98"/>
      <c r="O651" s="98"/>
      <c r="P651" s="98"/>
      <c r="Q651" s="98"/>
      <c r="R651" s="98"/>
      <c r="S651" s="98"/>
      <c r="T651" s="98"/>
      <c r="U651" s="98"/>
      <c r="V651" s="98"/>
    </row>
    <row r="652" spans="4:22" ht="12.75">
      <c r="D652" s="98"/>
      <c r="E652" s="98"/>
      <c r="F652" s="98"/>
      <c r="G652" s="98"/>
      <c r="H652" s="98"/>
      <c r="I652" s="98"/>
      <c r="J652" s="98"/>
      <c r="K652" s="98"/>
      <c r="L652" s="98"/>
      <c r="M652" s="98"/>
      <c r="N652" s="98"/>
      <c r="O652" s="98"/>
      <c r="P652" s="98"/>
      <c r="Q652" s="98"/>
      <c r="R652" s="98"/>
      <c r="S652" s="98"/>
      <c r="T652" s="98"/>
      <c r="U652" s="98"/>
      <c r="V652" s="98"/>
    </row>
    <row r="653" spans="4:22" ht="12.75">
      <c r="D653" s="98"/>
      <c r="E653" s="98"/>
      <c r="F653" s="98"/>
      <c r="G653" s="98"/>
      <c r="H653" s="98"/>
      <c r="I653" s="98"/>
      <c r="J653" s="98"/>
      <c r="K653" s="98"/>
      <c r="L653" s="98"/>
      <c r="M653" s="98"/>
      <c r="N653" s="98"/>
      <c r="O653" s="98"/>
      <c r="P653" s="98"/>
      <c r="Q653" s="98"/>
      <c r="R653" s="98"/>
      <c r="S653" s="98"/>
      <c r="T653" s="98"/>
      <c r="U653" s="98"/>
      <c r="V653" s="98"/>
    </row>
    <row r="654" spans="4:22" ht="12.75">
      <c r="D654" s="98"/>
      <c r="E654" s="98"/>
      <c r="F654" s="98"/>
      <c r="G654" s="98"/>
      <c r="H654" s="98"/>
      <c r="I654" s="98"/>
      <c r="J654" s="98"/>
      <c r="K654" s="98"/>
      <c r="L654" s="98"/>
      <c r="M654" s="98"/>
      <c r="N654" s="98"/>
      <c r="O654" s="98"/>
      <c r="P654" s="98"/>
      <c r="Q654" s="98"/>
      <c r="R654" s="98"/>
      <c r="S654" s="98"/>
      <c r="T654" s="98"/>
      <c r="U654" s="98"/>
      <c r="V654" s="98"/>
    </row>
    <row r="655" spans="4:22" ht="12.75">
      <c r="D655" s="98"/>
      <c r="E655" s="98"/>
      <c r="F655" s="98"/>
      <c r="G655" s="98"/>
      <c r="H655" s="98"/>
      <c r="I655" s="98"/>
      <c r="J655" s="98"/>
      <c r="K655" s="98"/>
      <c r="L655" s="98"/>
      <c r="M655" s="98"/>
      <c r="N655" s="98"/>
      <c r="O655" s="98"/>
      <c r="P655" s="98"/>
      <c r="Q655" s="98"/>
      <c r="R655" s="98"/>
      <c r="S655" s="98"/>
      <c r="T655" s="98"/>
      <c r="U655" s="98"/>
      <c r="V655" s="98"/>
    </row>
    <row r="656" spans="4:22" ht="12.75">
      <c r="D656" s="98"/>
      <c r="E656" s="98"/>
      <c r="F656" s="98"/>
      <c r="G656" s="98"/>
      <c r="H656" s="98"/>
      <c r="I656" s="98"/>
      <c r="J656" s="98"/>
      <c r="K656" s="98"/>
      <c r="L656" s="98"/>
      <c r="M656" s="98"/>
      <c r="N656" s="98"/>
      <c r="O656" s="98"/>
      <c r="P656" s="98"/>
      <c r="Q656" s="98"/>
      <c r="R656" s="98"/>
      <c r="S656" s="98"/>
      <c r="T656" s="98"/>
      <c r="U656" s="98"/>
      <c r="V656" s="98"/>
    </row>
    <row r="657" spans="4:22" ht="12.75">
      <c r="D657" s="98"/>
      <c r="E657" s="98"/>
      <c r="F657" s="98"/>
      <c r="G657" s="98"/>
      <c r="H657" s="98"/>
      <c r="I657" s="98"/>
      <c r="J657" s="98"/>
      <c r="K657" s="98"/>
      <c r="L657" s="98"/>
      <c r="M657" s="98"/>
      <c r="N657" s="98"/>
      <c r="O657" s="98"/>
      <c r="P657" s="98"/>
      <c r="Q657" s="98"/>
      <c r="R657" s="98"/>
      <c r="S657" s="98"/>
      <c r="T657" s="98"/>
      <c r="U657" s="98"/>
      <c r="V657" s="98"/>
    </row>
    <row r="658" spans="4:22" ht="12.75">
      <c r="D658" s="98"/>
      <c r="E658" s="98"/>
      <c r="F658" s="98"/>
      <c r="G658" s="98"/>
      <c r="H658" s="98"/>
      <c r="I658" s="98"/>
      <c r="J658" s="98"/>
      <c r="K658" s="98"/>
      <c r="L658" s="98"/>
      <c r="M658" s="98"/>
      <c r="N658" s="98"/>
      <c r="O658" s="98"/>
      <c r="P658" s="98"/>
      <c r="Q658" s="98"/>
      <c r="R658" s="98"/>
      <c r="S658" s="98"/>
      <c r="T658" s="98"/>
      <c r="U658" s="98"/>
      <c r="V658" s="98"/>
    </row>
    <row r="659" spans="4:22" ht="12.75">
      <c r="D659" s="98"/>
      <c r="E659" s="98"/>
      <c r="F659" s="98"/>
      <c r="G659" s="98"/>
      <c r="H659" s="98"/>
      <c r="I659" s="98"/>
      <c r="J659" s="98"/>
      <c r="K659" s="98"/>
      <c r="L659" s="98"/>
      <c r="M659" s="98"/>
      <c r="N659" s="98"/>
      <c r="O659" s="98"/>
      <c r="P659" s="98"/>
      <c r="Q659" s="98"/>
      <c r="R659" s="98"/>
      <c r="S659" s="98"/>
      <c r="T659" s="98"/>
      <c r="U659" s="98"/>
      <c r="V659" s="98"/>
    </row>
    <row r="660" spans="4:22" ht="12.75">
      <c r="D660" s="98"/>
      <c r="E660" s="98"/>
      <c r="F660" s="98"/>
      <c r="G660" s="98"/>
      <c r="H660" s="98"/>
      <c r="I660" s="98"/>
      <c r="J660" s="98"/>
      <c r="K660" s="98"/>
      <c r="L660" s="98"/>
      <c r="M660" s="98"/>
      <c r="N660" s="98"/>
      <c r="O660" s="98"/>
      <c r="P660" s="98"/>
      <c r="Q660" s="98"/>
      <c r="R660" s="98"/>
      <c r="S660" s="98"/>
      <c r="T660" s="98"/>
      <c r="U660" s="98"/>
      <c r="V660" s="98"/>
    </row>
    <row r="661" spans="4:22" ht="12.75">
      <c r="D661" s="98"/>
      <c r="E661" s="98"/>
      <c r="F661" s="98"/>
      <c r="G661" s="98"/>
      <c r="H661" s="98"/>
      <c r="I661" s="98"/>
      <c r="J661" s="98"/>
      <c r="K661" s="98"/>
      <c r="L661" s="98"/>
      <c r="M661" s="98"/>
      <c r="N661" s="98"/>
      <c r="O661" s="98"/>
      <c r="P661" s="98"/>
      <c r="Q661" s="98"/>
      <c r="R661" s="98"/>
      <c r="S661" s="98"/>
      <c r="T661" s="98"/>
      <c r="U661" s="98"/>
      <c r="V661" s="98"/>
    </row>
    <row r="662" spans="4:22" ht="12.75">
      <c r="D662" s="98"/>
      <c r="E662" s="98"/>
      <c r="F662" s="98"/>
      <c r="G662" s="98"/>
      <c r="H662" s="98"/>
      <c r="I662" s="98"/>
      <c r="J662" s="98"/>
      <c r="K662" s="98"/>
      <c r="L662" s="98"/>
      <c r="M662" s="98"/>
      <c r="N662" s="98"/>
      <c r="O662" s="98"/>
      <c r="P662" s="98"/>
      <c r="Q662" s="98"/>
      <c r="R662" s="98"/>
      <c r="S662" s="98"/>
      <c r="T662" s="98"/>
      <c r="U662" s="98"/>
      <c r="V662" s="98"/>
    </row>
    <row r="663" spans="4:22" ht="12.75">
      <c r="D663" s="98"/>
      <c r="E663" s="98"/>
      <c r="F663" s="98"/>
      <c r="G663" s="98"/>
      <c r="H663" s="98"/>
      <c r="I663" s="98"/>
      <c r="J663" s="98"/>
      <c r="K663" s="98"/>
      <c r="L663" s="98"/>
      <c r="M663" s="98"/>
      <c r="N663" s="98"/>
      <c r="O663" s="98"/>
      <c r="P663" s="98"/>
      <c r="Q663" s="98"/>
      <c r="R663" s="98"/>
      <c r="S663" s="98"/>
      <c r="T663" s="98"/>
      <c r="U663" s="98"/>
      <c r="V663" s="98"/>
    </row>
    <row r="664" spans="4:22" ht="12.75">
      <c r="D664" s="98"/>
      <c r="E664" s="98"/>
      <c r="F664" s="98"/>
      <c r="G664" s="98"/>
      <c r="H664" s="98"/>
      <c r="I664" s="98"/>
      <c r="J664" s="98"/>
      <c r="K664" s="98"/>
      <c r="L664" s="98"/>
      <c r="M664" s="98"/>
      <c r="N664" s="98"/>
      <c r="O664" s="98"/>
      <c r="P664" s="98"/>
      <c r="Q664" s="98"/>
      <c r="R664" s="98"/>
      <c r="S664" s="98"/>
      <c r="T664" s="98"/>
      <c r="U664" s="98"/>
      <c r="V664" s="98"/>
    </row>
    <row r="665" spans="4:22" ht="12.75">
      <c r="D665" s="98"/>
      <c r="E665" s="98"/>
      <c r="F665" s="98"/>
      <c r="G665" s="98"/>
      <c r="H665" s="98"/>
      <c r="I665" s="98"/>
      <c r="J665" s="98"/>
      <c r="K665" s="98"/>
      <c r="L665" s="98"/>
      <c r="M665" s="98"/>
      <c r="N665" s="98"/>
      <c r="O665" s="98"/>
      <c r="P665" s="98"/>
      <c r="Q665" s="98"/>
      <c r="R665" s="98"/>
      <c r="S665" s="98"/>
      <c r="T665" s="98"/>
      <c r="U665" s="98"/>
      <c r="V665" s="98"/>
    </row>
    <row r="666" spans="4:22" ht="12.75">
      <c r="D666" s="98"/>
      <c r="E666" s="98"/>
      <c r="F666" s="98"/>
      <c r="G666" s="98"/>
      <c r="H666" s="98"/>
      <c r="I666" s="98"/>
      <c r="J666" s="98"/>
      <c r="K666" s="98"/>
      <c r="L666" s="98"/>
      <c r="M666" s="98"/>
      <c r="N666" s="98"/>
      <c r="O666" s="98"/>
      <c r="P666" s="98"/>
      <c r="Q666" s="98"/>
      <c r="R666" s="98"/>
      <c r="S666" s="98"/>
      <c r="T666" s="98"/>
      <c r="U666" s="98"/>
      <c r="V666" s="98"/>
    </row>
    <row r="667" spans="4:22" ht="12.75">
      <c r="D667" s="98"/>
      <c r="E667" s="98"/>
      <c r="F667" s="98"/>
      <c r="G667" s="98"/>
      <c r="H667" s="98"/>
      <c r="I667" s="98"/>
      <c r="J667" s="98"/>
      <c r="K667" s="98"/>
      <c r="L667" s="98"/>
      <c r="M667" s="98"/>
      <c r="N667" s="98"/>
      <c r="O667" s="98"/>
      <c r="P667" s="98"/>
      <c r="Q667" s="98"/>
      <c r="R667" s="98"/>
      <c r="S667" s="98"/>
      <c r="T667" s="98"/>
      <c r="U667" s="98"/>
      <c r="V667" s="98"/>
    </row>
    <row r="668" spans="4:22" ht="12.75">
      <c r="D668" s="98"/>
      <c r="E668" s="98"/>
      <c r="F668" s="98"/>
      <c r="G668" s="98"/>
      <c r="H668" s="98"/>
      <c r="I668" s="98"/>
      <c r="J668" s="98"/>
      <c r="K668" s="98"/>
      <c r="L668" s="98"/>
      <c r="M668" s="98"/>
      <c r="N668" s="98"/>
      <c r="O668" s="98"/>
      <c r="P668" s="98"/>
      <c r="Q668" s="98"/>
      <c r="R668" s="98"/>
      <c r="S668" s="98"/>
      <c r="T668" s="98"/>
      <c r="U668" s="98"/>
      <c r="V668" s="98"/>
    </row>
    <row r="669" spans="4:22" ht="12.75">
      <c r="D669" s="98"/>
      <c r="E669" s="98"/>
      <c r="F669" s="98"/>
      <c r="G669" s="98"/>
      <c r="H669" s="98"/>
      <c r="I669" s="98"/>
      <c r="J669" s="98"/>
      <c r="K669" s="98"/>
      <c r="L669" s="98"/>
      <c r="M669" s="98"/>
      <c r="N669" s="98"/>
      <c r="O669" s="98"/>
      <c r="P669" s="98"/>
      <c r="Q669" s="98"/>
      <c r="R669" s="98"/>
      <c r="S669" s="98"/>
      <c r="T669" s="98"/>
      <c r="U669" s="98"/>
      <c r="V669" s="98"/>
    </row>
    <row r="670" spans="4:22" ht="12.75">
      <c r="D670" s="98"/>
      <c r="E670" s="98"/>
      <c r="F670" s="98"/>
      <c r="G670" s="98"/>
      <c r="H670" s="98"/>
      <c r="I670" s="98"/>
      <c r="J670" s="98"/>
      <c r="K670" s="98"/>
      <c r="L670" s="98"/>
      <c r="M670" s="98"/>
      <c r="N670" s="98"/>
      <c r="O670" s="98"/>
      <c r="P670" s="98"/>
      <c r="Q670" s="98"/>
      <c r="R670" s="98"/>
      <c r="S670" s="98"/>
      <c r="T670" s="98"/>
      <c r="U670" s="98"/>
      <c r="V670" s="98"/>
    </row>
    <row r="671" spans="4:22" ht="12.75">
      <c r="D671" s="98"/>
      <c r="E671" s="98"/>
      <c r="F671" s="98"/>
      <c r="G671" s="98"/>
      <c r="H671" s="98"/>
      <c r="I671" s="98"/>
      <c r="J671" s="98"/>
      <c r="K671" s="98"/>
      <c r="L671" s="98"/>
      <c r="M671" s="98"/>
      <c r="N671" s="98"/>
      <c r="O671" s="98"/>
      <c r="P671" s="98"/>
      <c r="Q671" s="98"/>
      <c r="R671" s="98"/>
      <c r="S671" s="98"/>
      <c r="T671" s="98"/>
      <c r="U671" s="98"/>
      <c r="V671" s="98"/>
    </row>
    <row r="672" spans="4:22" ht="12.75">
      <c r="D672" s="98"/>
      <c r="E672" s="98"/>
      <c r="F672" s="98"/>
      <c r="G672" s="98"/>
      <c r="H672" s="98"/>
      <c r="I672" s="98"/>
      <c r="J672" s="98"/>
      <c r="K672" s="98"/>
      <c r="L672" s="98"/>
      <c r="M672" s="98"/>
      <c r="N672" s="98"/>
      <c r="O672" s="98"/>
      <c r="P672" s="98"/>
      <c r="Q672" s="98"/>
      <c r="R672" s="98"/>
      <c r="S672" s="98"/>
      <c r="T672" s="98"/>
      <c r="U672" s="98"/>
      <c r="V672" s="98"/>
    </row>
    <row r="673" spans="4:22" ht="12.75">
      <c r="D673" s="98"/>
      <c r="E673" s="98"/>
      <c r="F673" s="98"/>
      <c r="G673" s="98"/>
      <c r="H673" s="98"/>
      <c r="I673" s="98"/>
      <c r="J673" s="98"/>
      <c r="K673" s="98"/>
      <c r="L673" s="98"/>
      <c r="M673" s="98"/>
      <c r="N673" s="98"/>
      <c r="O673" s="98"/>
      <c r="P673" s="98"/>
      <c r="Q673" s="98"/>
      <c r="R673" s="98"/>
      <c r="S673" s="98"/>
      <c r="T673" s="98"/>
      <c r="U673" s="98"/>
      <c r="V673" s="98"/>
    </row>
    <row r="674" spans="4:22" ht="12.75">
      <c r="D674" s="98"/>
      <c r="E674" s="98"/>
      <c r="F674" s="98"/>
      <c r="G674" s="98"/>
      <c r="H674" s="98"/>
      <c r="I674" s="98"/>
      <c r="J674" s="98"/>
      <c r="K674" s="98"/>
      <c r="L674" s="98"/>
      <c r="M674" s="98"/>
      <c r="N674" s="98"/>
      <c r="O674" s="98"/>
      <c r="P674" s="98"/>
      <c r="Q674" s="98"/>
      <c r="R674" s="98"/>
      <c r="S674" s="98"/>
      <c r="T674" s="98"/>
      <c r="U674" s="98"/>
      <c r="V674" s="98"/>
    </row>
    <row r="675" spans="4:22" ht="12.75">
      <c r="D675" s="98"/>
      <c r="E675" s="98"/>
      <c r="F675" s="98"/>
      <c r="G675" s="98"/>
      <c r="H675" s="98"/>
      <c r="I675" s="98"/>
      <c r="J675" s="98"/>
      <c r="K675" s="98"/>
      <c r="L675" s="98"/>
      <c r="M675" s="98"/>
      <c r="N675" s="98"/>
      <c r="O675" s="98"/>
      <c r="P675" s="98"/>
      <c r="Q675" s="98"/>
      <c r="R675" s="98"/>
      <c r="S675" s="98"/>
      <c r="T675" s="98"/>
      <c r="U675" s="98"/>
      <c r="V675" s="98"/>
    </row>
    <row r="676" spans="4:22" ht="12.75">
      <c r="D676" s="98"/>
      <c r="E676" s="98"/>
      <c r="F676" s="98"/>
      <c r="G676" s="98"/>
      <c r="H676" s="98"/>
      <c r="I676" s="98"/>
      <c r="J676" s="98"/>
      <c r="K676" s="98"/>
      <c r="L676" s="98"/>
      <c r="M676" s="98"/>
      <c r="N676" s="98"/>
      <c r="O676" s="98"/>
      <c r="P676" s="98"/>
      <c r="Q676" s="98"/>
      <c r="R676" s="98"/>
      <c r="S676" s="98"/>
      <c r="T676" s="98"/>
      <c r="U676" s="98"/>
      <c r="V676" s="98"/>
    </row>
    <row r="677" spans="4:22" ht="12.75">
      <c r="D677" s="98"/>
      <c r="E677" s="98"/>
      <c r="F677" s="98"/>
      <c r="G677" s="98"/>
      <c r="H677" s="98"/>
      <c r="I677" s="98"/>
      <c r="J677" s="98"/>
      <c r="K677" s="98"/>
      <c r="L677" s="98"/>
      <c r="M677" s="98"/>
      <c r="N677" s="98"/>
      <c r="O677" s="98"/>
      <c r="P677" s="98"/>
      <c r="Q677" s="98"/>
      <c r="R677" s="98"/>
      <c r="S677" s="98"/>
      <c r="T677" s="98"/>
      <c r="U677" s="98"/>
      <c r="V677" s="98"/>
    </row>
    <row r="678" spans="4:22" ht="12.75">
      <c r="D678" s="98"/>
      <c r="E678" s="98"/>
      <c r="F678" s="98"/>
      <c r="G678" s="98"/>
      <c r="H678" s="98"/>
      <c r="I678" s="98"/>
      <c r="J678" s="98"/>
      <c r="K678" s="98"/>
      <c r="L678" s="98"/>
      <c r="M678" s="98"/>
      <c r="N678" s="98"/>
      <c r="O678" s="98"/>
      <c r="P678" s="98"/>
      <c r="Q678" s="98"/>
      <c r="R678" s="98"/>
      <c r="S678" s="98"/>
      <c r="T678" s="98"/>
      <c r="U678" s="98"/>
      <c r="V678" s="98"/>
    </row>
    <row r="679" spans="4:22" ht="12.75">
      <c r="D679" s="98"/>
      <c r="E679" s="98"/>
      <c r="F679" s="98"/>
      <c r="G679" s="98"/>
      <c r="H679" s="98"/>
      <c r="I679" s="98"/>
      <c r="J679" s="98"/>
      <c r="K679" s="98"/>
      <c r="L679" s="98"/>
      <c r="M679" s="98"/>
      <c r="N679" s="98"/>
      <c r="O679" s="98"/>
      <c r="P679" s="98"/>
      <c r="Q679" s="98"/>
      <c r="R679" s="98"/>
      <c r="S679" s="98"/>
      <c r="T679" s="98"/>
      <c r="U679" s="98"/>
      <c r="V679" s="98"/>
    </row>
    <row r="680" spans="4:22" ht="12.75">
      <c r="D680" s="98"/>
      <c r="E680" s="98"/>
      <c r="F680" s="98"/>
      <c r="G680" s="98"/>
      <c r="H680" s="98"/>
      <c r="I680" s="98"/>
      <c r="J680" s="98"/>
      <c r="K680" s="98"/>
      <c r="L680" s="98"/>
      <c r="M680" s="98"/>
      <c r="N680" s="98"/>
      <c r="O680" s="98"/>
      <c r="P680" s="98"/>
      <c r="Q680" s="98"/>
      <c r="R680" s="98"/>
      <c r="S680" s="98"/>
      <c r="T680" s="98"/>
      <c r="U680" s="98"/>
      <c r="V680" s="98"/>
    </row>
    <row r="681" spans="4:22" ht="12.75">
      <c r="D681" s="98"/>
      <c r="E681" s="98"/>
      <c r="F681" s="98"/>
      <c r="G681" s="98"/>
      <c r="H681" s="98"/>
      <c r="I681" s="98"/>
      <c r="J681" s="98"/>
      <c r="K681" s="98"/>
      <c r="L681" s="98"/>
      <c r="M681" s="98"/>
      <c r="N681" s="98"/>
      <c r="O681" s="98"/>
      <c r="P681" s="98"/>
      <c r="Q681" s="98"/>
      <c r="R681" s="98"/>
      <c r="S681" s="98"/>
      <c r="T681" s="98"/>
      <c r="U681" s="98"/>
      <c r="V681" s="98"/>
    </row>
    <row r="682" spans="4:22" ht="12.75">
      <c r="D682" s="98"/>
      <c r="E682" s="98"/>
      <c r="F682" s="98"/>
      <c r="G682" s="98"/>
      <c r="H682" s="98"/>
      <c r="I682" s="98"/>
      <c r="J682" s="98"/>
      <c r="K682" s="98"/>
      <c r="L682" s="98"/>
      <c r="M682" s="98"/>
      <c r="N682" s="98"/>
      <c r="O682" s="98"/>
      <c r="P682" s="98"/>
      <c r="Q682" s="98"/>
      <c r="R682" s="98"/>
      <c r="S682" s="98"/>
      <c r="T682" s="98"/>
      <c r="U682" s="98"/>
      <c r="V682" s="98"/>
    </row>
    <row r="683" spans="4:22" ht="12.75">
      <c r="D683" s="98"/>
      <c r="E683" s="98"/>
      <c r="F683" s="98"/>
      <c r="G683" s="98"/>
      <c r="H683" s="98"/>
      <c r="I683" s="98"/>
      <c r="J683" s="98"/>
      <c r="K683" s="98"/>
      <c r="L683" s="98"/>
      <c r="M683" s="98"/>
      <c r="N683" s="98"/>
      <c r="O683" s="98"/>
      <c r="P683" s="98"/>
      <c r="Q683" s="98"/>
      <c r="R683" s="98"/>
      <c r="S683" s="98"/>
      <c r="T683" s="98"/>
      <c r="U683" s="98"/>
      <c r="V683" s="98"/>
    </row>
    <row r="684" spans="4:22" ht="12.75">
      <c r="D684" s="98"/>
      <c r="E684" s="98"/>
      <c r="F684" s="98"/>
      <c r="G684" s="98"/>
      <c r="H684" s="98"/>
      <c r="I684" s="98"/>
      <c r="J684" s="98"/>
      <c r="K684" s="98"/>
      <c r="L684" s="98"/>
      <c r="M684" s="98"/>
      <c r="N684" s="98"/>
      <c r="O684" s="98"/>
      <c r="P684" s="98"/>
      <c r="Q684" s="98"/>
      <c r="R684" s="98"/>
      <c r="S684" s="98"/>
      <c r="T684" s="98"/>
      <c r="U684" s="98"/>
      <c r="V684" s="98"/>
    </row>
    <row r="685" spans="4:22" ht="12.75">
      <c r="D685" s="98"/>
      <c r="E685" s="98"/>
      <c r="F685" s="98"/>
      <c r="G685" s="98"/>
      <c r="H685" s="98"/>
      <c r="I685" s="98"/>
      <c r="J685" s="98"/>
      <c r="K685" s="98"/>
      <c r="L685" s="98"/>
      <c r="M685" s="98"/>
      <c r="N685" s="98"/>
      <c r="O685" s="98"/>
      <c r="P685" s="98"/>
      <c r="Q685" s="98"/>
      <c r="R685" s="98"/>
      <c r="S685" s="98"/>
      <c r="T685" s="98"/>
      <c r="U685" s="98"/>
      <c r="V685" s="98"/>
    </row>
    <row r="686" spans="4:22" ht="12.75">
      <c r="D686" s="98"/>
      <c r="E686" s="98"/>
      <c r="F686" s="98"/>
      <c r="G686" s="98"/>
      <c r="H686" s="98"/>
      <c r="I686" s="98"/>
      <c r="J686" s="98"/>
      <c r="K686" s="98"/>
      <c r="L686" s="98"/>
      <c r="M686" s="98"/>
      <c r="N686" s="98"/>
      <c r="O686" s="98"/>
      <c r="P686" s="98"/>
      <c r="Q686" s="98"/>
      <c r="R686" s="98"/>
      <c r="S686" s="98"/>
      <c r="T686" s="98"/>
      <c r="U686" s="98"/>
      <c r="V686" s="98"/>
    </row>
    <row r="687" spans="4:22" ht="12.75">
      <c r="D687" s="98"/>
      <c r="E687" s="98"/>
      <c r="F687" s="98"/>
      <c r="G687" s="98"/>
      <c r="H687" s="98"/>
      <c r="I687" s="98"/>
      <c r="J687" s="98"/>
      <c r="K687" s="98"/>
      <c r="L687" s="98"/>
      <c r="M687" s="98"/>
      <c r="N687" s="98"/>
      <c r="O687" s="98"/>
      <c r="P687" s="98"/>
      <c r="Q687" s="98"/>
      <c r="R687" s="98"/>
      <c r="S687" s="98"/>
      <c r="T687" s="98"/>
      <c r="U687" s="98"/>
      <c r="V687" s="98"/>
    </row>
    <row r="688" spans="4:22" ht="12.75">
      <c r="D688" s="98"/>
      <c r="E688" s="98"/>
      <c r="F688" s="98"/>
      <c r="G688" s="98"/>
      <c r="H688" s="98"/>
      <c r="I688" s="98"/>
      <c r="J688" s="98"/>
      <c r="K688" s="98"/>
      <c r="L688" s="98"/>
      <c r="M688" s="98"/>
      <c r="N688" s="98"/>
      <c r="O688" s="98"/>
      <c r="P688" s="98"/>
      <c r="Q688" s="98"/>
      <c r="R688" s="98"/>
      <c r="S688" s="98"/>
      <c r="T688" s="98"/>
      <c r="U688" s="98"/>
      <c r="V688" s="98"/>
    </row>
    <row r="689" spans="4:22" ht="12.75">
      <c r="D689" s="98"/>
      <c r="E689" s="98"/>
      <c r="F689" s="98"/>
      <c r="G689" s="98"/>
      <c r="H689" s="98"/>
      <c r="I689" s="98"/>
      <c r="J689" s="98"/>
      <c r="K689" s="98"/>
      <c r="L689" s="98"/>
      <c r="M689" s="98"/>
      <c r="N689" s="98"/>
      <c r="O689" s="98"/>
      <c r="P689" s="98"/>
      <c r="Q689" s="98"/>
      <c r="R689" s="98"/>
      <c r="S689" s="98"/>
      <c r="T689" s="98"/>
      <c r="U689" s="98"/>
      <c r="V689" s="98"/>
    </row>
    <row r="690" spans="4:22" ht="12.75">
      <c r="D690" s="98"/>
      <c r="E690" s="98"/>
      <c r="F690" s="98"/>
      <c r="G690" s="98"/>
      <c r="H690" s="98"/>
      <c r="I690" s="98"/>
      <c r="J690" s="98"/>
      <c r="K690" s="98"/>
      <c r="L690" s="98"/>
      <c r="M690" s="98"/>
      <c r="N690" s="98"/>
      <c r="O690" s="98"/>
      <c r="P690" s="98"/>
      <c r="Q690" s="98"/>
      <c r="R690" s="98"/>
      <c r="S690" s="98"/>
      <c r="T690" s="98"/>
      <c r="U690" s="98"/>
      <c r="V690" s="98"/>
    </row>
    <row r="691" spans="4:22" ht="12.75">
      <c r="D691" s="98"/>
      <c r="E691" s="98"/>
      <c r="F691" s="98"/>
      <c r="G691" s="98"/>
      <c r="H691" s="98"/>
      <c r="I691" s="98"/>
      <c r="J691" s="98"/>
      <c r="K691" s="98"/>
      <c r="L691" s="98"/>
      <c r="M691" s="98"/>
      <c r="N691" s="98"/>
      <c r="O691" s="98"/>
      <c r="P691" s="98"/>
      <c r="Q691" s="98"/>
      <c r="R691" s="98"/>
      <c r="S691" s="98"/>
      <c r="T691" s="98"/>
      <c r="U691" s="98"/>
      <c r="V691" s="98"/>
    </row>
    <row r="692" spans="4:22" ht="12.75">
      <c r="D692" s="98"/>
      <c r="E692" s="98"/>
      <c r="F692" s="98"/>
      <c r="G692" s="98"/>
      <c r="H692" s="98"/>
      <c r="I692" s="98"/>
      <c r="J692" s="98"/>
      <c r="K692" s="98"/>
      <c r="L692" s="98"/>
      <c r="M692" s="98"/>
      <c r="N692" s="98"/>
      <c r="O692" s="98"/>
      <c r="P692" s="98"/>
      <c r="Q692" s="98"/>
      <c r="R692" s="98"/>
      <c r="S692" s="98"/>
      <c r="T692" s="98"/>
      <c r="U692" s="98"/>
      <c r="V692" s="98"/>
    </row>
    <row r="693" spans="4:22" ht="12.75">
      <c r="D693" s="98"/>
      <c r="E693" s="98"/>
      <c r="F693" s="98"/>
      <c r="G693" s="98"/>
      <c r="H693" s="98"/>
      <c r="I693" s="98"/>
      <c r="J693" s="98"/>
      <c r="K693" s="98"/>
      <c r="L693" s="98"/>
      <c r="M693" s="98"/>
      <c r="N693" s="98"/>
      <c r="O693" s="98"/>
      <c r="P693" s="98"/>
      <c r="Q693" s="98"/>
      <c r="R693" s="98"/>
      <c r="S693" s="98"/>
      <c r="T693" s="98"/>
      <c r="U693" s="98"/>
      <c r="V693" s="98"/>
    </row>
    <row r="694" spans="4:22" ht="12.75">
      <c r="D694" s="98"/>
      <c r="E694" s="98"/>
      <c r="F694" s="98"/>
      <c r="G694" s="98"/>
      <c r="H694" s="98"/>
      <c r="I694" s="98"/>
      <c r="J694" s="98"/>
      <c r="K694" s="98"/>
      <c r="L694" s="98"/>
      <c r="M694" s="98"/>
      <c r="N694" s="98"/>
      <c r="O694" s="98"/>
      <c r="P694" s="98"/>
      <c r="Q694" s="98"/>
      <c r="R694" s="98"/>
      <c r="S694" s="98"/>
      <c r="T694" s="98"/>
      <c r="U694" s="98"/>
      <c r="V694" s="98"/>
    </row>
    <row r="695" spans="4:22" ht="12.75">
      <c r="D695" s="98"/>
      <c r="E695" s="98"/>
      <c r="F695" s="98"/>
      <c r="G695" s="98"/>
      <c r="H695" s="98"/>
      <c r="I695" s="98"/>
      <c r="J695" s="98"/>
      <c r="K695" s="98"/>
      <c r="L695" s="98"/>
      <c r="M695" s="98"/>
      <c r="N695" s="98"/>
      <c r="O695" s="98"/>
      <c r="P695" s="98"/>
      <c r="Q695" s="98"/>
      <c r="R695" s="98"/>
      <c r="S695" s="98"/>
      <c r="T695" s="98"/>
      <c r="U695" s="98"/>
      <c r="V695" s="98"/>
    </row>
    <row r="696" spans="4:22" ht="12.75">
      <c r="D696" s="98"/>
      <c r="E696" s="98"/>
      <c r="F696" s="98"/>
      <c r="G696" s="98"/>
      <c r="H696" s="98"/>
      <c r="I696" s="98"/>
      <c r="J696" s="98"/>
      <c r="K696" s="98"/>
      <c r="L696" s="98"/>
      <c r="M696" s="98"/>
      <c r="N696" s="98"/>
      <c r="O696" s="98"/>
      <c r="P696" s="98"/>
      <c r="Q696" s="98"/>
      <c r="R696" s="98"/>
      <c r="S696" s="98"/>
      <c r="T696" s="98"/>
      <c r="U696" s="98"/>
      <c r="V696" s="98"/>
    </row>
    <row r="697" spans="4:22" ht="12.75">
      <c r="D697" s="98"/>
      <c r="E697" s="98"/>
      <c r="F697" s="98"/>
      <c r="G697" s="98"/>
      <c r="H697" s="98"/>
      <c r="I697" s="98"/>
      <c r="J697" s="98"/>
      <c r="K697" s="98"/>
      <c r="L697" s="98"/>
      <c r="M697" s="98"/>
      <c r="N697" s="98"/>
      <c r="O697" s="98"/>
      <c r="P697" s="98"/>
      <c r="Q697" s="98"/>
      <c r="R697" s="98"/>
      <c r="S697" s="98"/>
      <c r="T697" s="98"/>
      <c r="U697" s="98"/>
      <c r="V697" s="98"/>
    </row>
    <row r="698" spans="4:22" ht="12.75">
      <c r="D698" s="98"/>
      <c r="E698" s="98"/>
      <c r="F698" s="98"/>
      <c r="G698" s="98"/>
      <c r="H698" s="98"/>
      <c r="I698" s="98"/>
      <c r="J698" s="98"/>
      <c r="K698" s="98"/>
      <c r="L698" s="98"/>
      <c r="M698" s="98"/>
      <c r="N698" s="98"/>
      <c r="O698" s="98"/>
      <c r="P698" s="98"/>
      <c r="Q698" s="98"/>
      <c r="R698" s="98"/>
      <c r="S698" s="98"/>
      <c r="T698" s="98"/>
      <c r="U698" s="98"/>
      <c r="V698" s="98"/>
    </row>
    <row r="699" spans="4:22" ht="12.75">
      <c r="D699" s="98"/>
      <c r="E699" s="98"/>
      <c r="F699" s="98"/>
      <c r="G699" s="98"/>
      <c r="H699" s="98"/>
      <c r="I699" s="98"/>
      <c r="J699" s="98"/>
      <c r="K699" s="98"/>
      <c r="L699" s="98"/>
      <c r="M699" s="98"/>
      <c r="N699" s="98"/>
      <c r="O699" s="98"/>
      <c r="P699" s="98"/>
      <c r="Q699" s="98"/>
      <c r="R699" s="98"/>
      <c r="S699" s="98"/>
      <c r="T699" s="98"/>
      <c r="U699" s="98"/>
      <c r="V699" s="98"/>
    </row>
    <row r="700" spans="4:22" ht="12.75">
      <c r="D700" s="98"/>
      <c r="E700" s="98"/>
      <c r="F700" s="98"/>
      <c r="G700" s="98"/>
      <c r="H700" s="98"/>
      <c r="I700" s="98"/>
      <c r="J700" s="98"/>
      <c r="K700" s="98"/>
      <c r="L700" s="98"/>
      <c r="M700" s="98"/>
      <c r="N700" s="98"/>
      <c r="O700" s="98"/>
      <c r="P700" s="98"/>
      <c r="Q700" s="98"/>
      <c r="R700" s="98"/>
      <c r="S700" s="98"/>
      <c r="T700" s="98"/>
      <c r="U700" s="98"/>
      <c r="V700" s="98"/>
    </row>
    <row r="701" spans="4:22" ht="12.75">
      <c r="D701" s="98"/>
      <c r="E701" s="98"/>
      <c r="F701" s="98"/>
      <c r="G701" s="98"/>
      <c r="H701" s="98"/>
      <c r="I701" s="98"/>
      <c r="J701" s="98"/>
      <c r="K701" s="98"/>
      <c r="L701" s="98"/>
      <c r="M701" s="98"/>
      <c r="N701" s="98"/>
      <c r="O701" s="98"/>
      <c r="P701" s="98"/>
      <c r="Q701" s="98"/>
      <c r="R701" s="98"/>
      <c r="S701" s="98"/>
      <c r="T701" s="98"/>
      <c r="U701" s="98"/>
      <c r="V701" s="98"/>
    </row>
    <row r="702" spans="4:22" ht="12.75">
      <c r="D702" s="98"/>
      <c r="E702" s="98"/>
      <c r="F702" s="98"/>
      <c r="G702" s="98"/>
      <c r="H702" s="98"/>
      <c r="I702" s="98"/>
      <c r="J702" s="98"/>
      <c r="K702" s="98"/>
      <c r="L702" s="98"/>
      <c r="M702" s="98"/>
      <c r="N702" s="98"/>
      <c r="O702" s="98"/>
      <c r="P702" s="98"/>
      <c r="Q702" s="98"/>
      <c r="R702" s="98"/>
      <c r="S702" s="98"/>
      <c r="T702" s="98"/>
      <c r="U702" s="98"/>
      <c r="V702" s="98"/>
    </row>
    <row r="703" spans="4:22" ht="12.75">
      <c r="D703" s="98"/>
      <c r="E703" s="98"/>
      <c r="F703" s="98"/>
      <c r="G703" s="98"/>
      <c r="H703" s="98"/>
      <c r="I703" s="98"/>
      <c r="J703" s="98"/>
      <c r="K703" s="98"/>
      <c r="L703" s="98"/>
      <c r="M703" s="98"/>
      <c r="N703" s="98"/>
      <c r="O703" s="98"/>
      <c r="P703" s="98"/>
      <c r="Q703" s="98"/>
      <c r="R703" s="98"/>
      <c r="S703" s="98"/>
      <c r="T703" s="98"/>
      <c r="U703" s="98"/>
      <c r="V703" s="98"/>
    </row>
    <row r="704" spans="4:22" ht="12.75">
      <c r="D704" s="98"/>
      <c r="E704" s="98"/>
      <c r="F704" s="98"/>
      <c r="G704" s="98"/>
      <c r="H704" s="98"/>
      <c r="I704" s="98"/>
      <c r="J704" s="98"/>
      <c r="K704" s="98"/>
      <c r="L704" s="98"/>
      <c r="M704" s="98"/>
      <c r="N704" s="98"/>
      <c r="O704" s="98"/>
      <c r="P704" s="98"/>
      <c r="Q704" s="98"/>
      <c r="R704" s="98"/>
      <c r="S704" s="98"/>
      <c r="T704" s="98"/>
      <c r="U704" s="98"/>
      <c r="V704" s="98"/>
    </row>
    <row r="705" spans="4:22" ht="12.75">
      <c r="D705" s="98"/>
      <c r="E705" s="98"/>
      <c r="F705" s="98"/>
      <c r="G705" s="98"/>
      <c r="H705" s="98"/>
      <c r="I705" s="98"/>
      <c r="J705" s="98"/>
      <c r="K705" s="98"/>
      <c r="L705" s="98"/>
      <c r="M705" s="98"/>
      <c r="N705" s="98"/>
      <c r="O705" s="98"/>
      <c r="P705" s="98"/>
      <c r="Q705" s="98"/>
      <c r="R705" s="98"/>
      <c r="S705" s="98"/>
      <c r="T705" s="98"/>
      <c r="U705" s="98"/>
      <c r="V705" s="98"/>
    </row>
    <row r="706" spans="4:22" ht="12.75">
      <c r="D706" s="98"/>
      <c r="E706" s="98"/>
      <c r="F706" s="98"/>
      <c r="G706" s="98"/>
      <c r="H706" s="98"/>
      <c r="I706" s="98"/>
      <c r="J706" s="98"/>
      <c r="K706" s="98"/>
      <c r="L706" s="98"/>
      <c r="M706" s="98"/>
      <c r="N706" s="98"/>
      <c r="O706" s="98"/>
      <c r="P706" s="98"/>
      <c r="Q706" s="98"/>
      <c r="R706" s="98"/>
      <c r="S706" s="98"/>
      <c r="T706" s="98"/>
      <c r="U706" s="98"/>
      <c r="V706" s="98"/>
    </row>
    <row r="707" spans="4:22" ht="12.75">
      <c r="D707" s="98"/>
      <c r="E707" s="98"/>
      <c r="F707" s="98"/>
      <c r="G707" s="98"/>
      <c r="H707" s="98"/>
      <c r="I707" s="98"/>
      <c r="J707" s="98"/>
      <c r="K707" s="98"/>
      <c r="L707" s="98"/>
      <c r="M707" s="98"/>
      <c r="N707" s="98"/>
      <c r="O707" s="98"/>
      <c r="P707" s="98"/>
      <c r="Q707" s="98"/>
      <c r="R707" s="98"/>
      <c r="S707" s="98"/>
      <c r="T707" s="98"/>
      <c r="U707" s="98"/>
      <c r="V707" s="98"/>
    </row>
    <row r="708" spans="4:22" ht="12.75">
      <c r="D708" s="98"/>
      <c r="E708" s="98"/>
      <c r="F708" s="98"/>
      <c r="G708" s="98"/>
      <c r="H708" s="98"/>
      <c r="I708" s="98"/>
      <c r="J708" s="98"/>
      <c r="K708" s="98"/>
      <c r="L708" s="98"/>
      <c r="M708" s="98"/>
      <c r="N708" s="98"/>
      <c r="O708" s="98"/>
      <c r="P708" s="98"/>
      <c r="Q708" s="98"/>
      <c r="R708" s="98"/>
      <c r="S708" s="98"/>
      <c r="T708" s="98"/>
      <c r="U708" s="98"/>
      <c r="V708" s="98"/>
    </row>
    <row r="709" spans="4:22" ht="12.75">
      <c r="D709" s="98"/>
      <c r="E709" s="98"/>
      <c r="F709" s="98"/>
      <c r="G709" s="98"/>
      <c r="H709" s="98"/>
      <c r="I709" s="98"/>
      <c r="J709" s="98"/>
      <c r="K709" s="98"/>
      <c r="L709" s="98"/>
      <c r="M709" s="98"/>
      <c r="N709" s="98"/>
      <c r="O709" s="98"/>
      <c r="P709" s="98"/>
      <c r="Q709" s="98"/>
      <c r="R709" s="98"/>
      <c r="S709" s="98"/>
      <c r="T709" s="98"/>
      <c r="U709" s="98"/>
      <c r="V709" s="98"/>
    </row>
    <row r="710" spans="4:22" ht="12.75">
      <c r="D710" s="98"/>
      <c r="E710" s="98"/>
      <c r="F710" s="98"/>
      <c r="G710" s="98"/>
      <c r="H710" s="98"/>
      <c r="I710" s="98"/>
      <c r="J710" s="98"/>
      <c r="K710" s="98"/>
      <c r="L710" s="98"/>
      <c r="M710" s="98"/>
      <c r="N710" s="98"/>
      <c r="O710" s="98"/>
      <c r="P710" s="98"/>
      <c r="Q710" s="98"/>
      <c r="R710" s="98"/>
      <c r="S710" s="98"/>
      <c r="T710" s="98"/>
      <c r="U710" s="98"/>
      <c r="V710" s="98"/>
    </row>
    <row r="711" spans="4:22" ht="12.75">
      <c r="D711" s="98"/>
      <c r="E711" s="98"/>
      <c r="F711" s="98"/>
      <c r="G711" s="98"/>
      <c r="H711" s="98"/>
      <c r="I711" s="98"/>
      <c r="J711" s="98"/>
      <c r="K711" s="98"/>
      <c r="L711" s="98"/>
      <c r="M711" s="98"/>
      <c r="N711" s="98"/>
      <c r="O711" s="98"/>
      <c r="P711" s="98"/>
      <c r="Q711" s="98"/>
      <c r="R711" s="98"/>
      <c r="S711" s="98"/>
      <c r="T711" s="98"/>
      <c r="U711" s="98"/>
      <c r="V711" s="98"/>
    </row>
    <row r="712" spans="4:22" ht="12.75">
      <c r="D712" s="98"/>
      <c r="E712" s="98"/>
      <c r="F712" s="98"/>
      <c r="G712" s="98"/>
      <c r="H712" s="98"/>
      <c r="I712" s="98"/>
      <c r="J712" s="98"/>
      <c r="K712" s="98"/>
      <c r="L712" s="98"/>
      <c r="M712" s="98"/>
      <c r="N712" s="98"/>
      <c r="O712" s="98"/>
      <c r="P712" s="98"/>
      <c r="Q712" s="98"/>
      <c r="R712" s="98"/>
      <c r="S712" s="98"/>
      <c r="T712" s="98"/>
      <c r="U712" s="98"/>
      <c r="V712" s="98"/>
    </row>
    <row r="713" spans="4:22" ht="12.75">
      <c r="D713" s="98"/>
      <c r="E713" s="98"/>
      <c r="F713" s="98"/>
      <c r="G713" s="98"/>
      <c r="H713" s="98"/>
      <c r="I713" s="98"/>
      <c r="J713" s="98"/>
      <c r="K713" s="98"/>
      <c r="L713" s="98"/>
      <c r="M713" s="98"/>
      <c r="N713" s="98"/>
      <c r="O713" s="98"/>
      <c r="P713" s="98"/>
      <c r="Q713" s="98"/>
      <c r="R713" s="98"/>
      <c r="S713" s="98"/>
      <c r="T713" s="98"/>
      <c r="U713" s="98"/>
      <c r="V713" s="98"/>
    </row>
    <row r="714" spans="4:22" ht="12.75">
      <c r="D714" s="98"/>
      <c r="E714" s="98"/>
      <c r="F714" s="98"/>
      <c r="G714" s="98"/>
      <c r="H714" s="98"/>
      <c r="I714" s="98"/>
      <c r="J714" s="98"/>
      <c r="K714" s="98"/>
      <c r="L714" s="98"/>
      <c r="M714" s="98"/>
      <c r="N714" s="98"/>
      <c r="O714" s="98"/>
      <c r="P714" s="98"/>
      <c r="Q714" s="98"/>
      <c r="R714" s="98"/>
      <c r="S714" s="98"/>
      <c r="T714" s="98"/>
      <c r="U714" s="98"/>
      <c r="V714" s="98"/>
    </row>
    <row r="715" spans="4:22" ht="12.75">
      <c r="D715" s="98"/>
      <c r="E715" s="98"/>
      <c r="F715" s="98"/>
      <c r="G715" s="98"/>
      <c r="H715" s="98"/>
      <c r="I715" s="98"/>
      <c r="J715" s="98"/>
      <c r="K715" s="98"/>
      <c r="L715" s="98"/>
      <c r="M715" s="98"/>
      <c r="N715" s="98"/>
      <c r="O715" s="98"/>
      <c r="P715" s="98"/>
      <c r="Q715" s="98"/>
      <c r="R715" s="98"/>
      <c r="S715" s="98"/>
      <c r="T715" s="98"/>
      <c r="U715" s="98"/>
      <c r="V715" s="98"/>
    </row>
    <row r="716" spans="4:22" ht="12.75">
      <c r="D716" s="98"/>
      <c r="E716" s="98"/>
      <c r="F716" s="98"/>
      <c r="G716" s="98"/>
      <c r="H716" s="98"/>
      <c r="I716" s="98"/>
      <c r="J716" s="98"/>
      <c r="K716" s="98"/>
      <c r="L716" s="98"/>
      <c r="M716" s="98"/>
      <c r="N716" s="98"/>
      <c r="O716" s="98"/>
      <c r="P716" s="98"/>
      <c r="Q716" s="98"/>
      <c r="R716" s="98"/>
      <c r="S716" s="98"/>
      <c r="T716" s="98"/>
      <c r="U716" s="98"/>
      <c r="V716" s="98"/>
    </row>
    <row r="717" spans="4:22" ht="12.75">
      <c r="D717" s="98"/>
      <c r="E717" s="98"/>
      <c r="F717" s="98"/>
      <c r="G717" s="98"/>
      <c r="H717" s="98"/>
      <c r="I717" s="98"/>
      <c r="J717" s="98"/>
      <c r="K717" s="98"/>
      <c r="L717" s="98"/>
      <c r="M717" s="98"/>
      <c r="N717" s="98"/>
      <c r="O717" s="98"/>
      <c r="P717" s="98"/>
      <c r="Q717" s="98"/>
      <c r="R717" s="98"/>
      <c r="S717" s="98"/>
      <c r="T717" s="98"/>
      <c r="U717" s="98"/>
      <c r="V717" s="98"/>
    </row>
    <row r="718" spans="4:22" ht="12.75">
      <c r="D718" s="98"/>
      <c r="E718" s="98"/>
      <c r="F718" s="98"/>
      <c r="G718" s="98"/>
      <c r="H718" s="98"/>
      <c r="I718" s="98"/>
      <c r="J718" s="98"/>
      <c r="K718" s="98"/>
      <c r="L718" s="98"/>
      <c r="M718" s="98"/>
      <c r="N718" s="98"/>
      <c r="O718" s="98"/>
      <c r="P718" s="98"/>
      <c r="Q718" s="98"/>
      <c r="R718" s="98"/>
      <c r="S718" s="98"/>
      <c r="T718" s="98"/>
      <c r="U718" s="98"/>
      <c r="V718" s="98"/>
    </row>
    <row r="719" spans="4:22" ht="12.75">
      <c r="D719" s="98"/>
      <c r="E719" s="98"/>
      <c r="F719" s="98"/>
      <c r="G719" s="98"/>
      <c r="H719" s="98"/>
      <c r="I719" s="98"/>
      <c r="J719" s="98"/>
      <c r="K719" s="98"/>
      <c r="L719" s="98"/>
      <c r="M719" s="98"/>
      <c r="N719" s="98"/>
      <c r="O719" s="98"/>
      <c r="P719" s="98"/>
      <c r="Q719" s="98"/>
      <c r="R719" s="98"/>
      <c r="S719" s="98"/>
      <c r="T719" s="98"/>
      <c r="U719" s="98"/>
      <c r="V719" s="98"/>
    </row>
    <row r="720" spans="4:22" ht="12.75">
      <c r="D720" s="98"/>
      <c r="E720" s="98"/>
      <c r="F720" s="98"/>
      <c r="G720" s="98"/>
      <c r="H720" s="98"/>
      <c r="I720" s="98"/>
      <c r="J720" s="98"/>
      <c r="K720" s="98"/>
      <c r="L720" s="98"/>
      <c r="M720" s="98"/>
      <c r="N720" s="98"/>
      <c r="O720" s="98"/>
      <c r="P720" s="98"/>
      <c r="Q720" s="98"/>
      <c r="R720" s="98"/>
      <c r="S720" s="98"/>
      <c r="T720" s="98"/>
      <c r="U720" s="98"/>
      <c r="V720" s="98"/>
    </row>
    <row r="721" spans="4:22" ht="12.75">
      <c r="D721" s="98"/>
      <c r="E721" s="98"/>
      <c r="F721" s="98"/>
      <c r="G721" s="98"/>
      <c r="H721" s="98"/>
      <c r="I721" s="98"/>
      <c r="J721" s="98"/>
      <c r="K721" s="98"/>
      <c r="L721" s="98"/>
      <c r="M721" s="98"/>
      <c r="N721" s="98"/>
      <c r="O721" s="98"/>
      <c r="P721" s="98"/>
      <c r="Q721" s="98"/>
      <c r="R721" s="98"/>
      <c r="S721" s="98"/>
      <c r="T721" s="98"/>
      <c r="U721" s="98"/>
      <c r="V721" s="98"/>
    </row>
    <row r="722" spans="4:22" ht="12.75">
      <c r="D722" s="98"/>
      <c r="E722" s="98"/>
      <c r="F722" s="98"/>
      <c r="G722" s="98"/>
      <c r="H722" s="98"/>
      <c r="I722" s="98"/>
      <c r="J722" s="98"/>
      <c r="K722" s="98"/>
      <c r="L722" s="98"/>
      <c r="M722" s="98"/>
      <c r="N722" s="98"/>
      <c r="O722" s="98"/>
      <c r="P722" s="98"/>
      <c r="Q722" s="98"/>
      <c r="R722" s="98"/>
      <c r="S722" s="98"/>
      <c r="T722" s="98"/>
      <c r="U722" s="98"/>
      <c r="V722" s="98"/>
    </row>
    <row r="723" spans="4:22" ht="12.75">
      <c r="D723" s="98"/>
      <c r="E723" s="98"/>
      <c r="F723" s="98"/>
      <c r="G723" s="98"/>
      <c r="H723" s="98"/>
      <c r="I723" s="98"/>
      <c r="J723" s="98"/>
      <c r="K723" s="98"/>
      <c r="L723" s="98"/>
      <c r="M723" s="98"/>
      <c r="N723" s="98"/>
      <c r="O723" s="98"/>
      <c r="P723" s="98"/>
      <c r="Q723" s="98"/>
      <c r="R723" s="98"/>
      <c r="S723" s="98"/>
      <c r="T723" s="98"/>
      <c r="U723" s="98"/>
      <c r="V723" s="98"/>
    </row>
    <row r="724" spans="4:22" ht="12.75">
      <c r="D724" s="98"/>
      <c r="E724" s="98"/>
      <c r="F724" s="98"/>
      <c r="G724" s="98"/>
      <c r="H724" s="98"/>
      <c r="I724" s="98"/>
      <c r="J724" s="98"/>
      <c r="K724" s="98"/>
      <c r="L724" s="98"/>
      <c r="M724" s="98"/>
      <c r="N724" s="98"/>
      <c r="O724" s="98"/>
      <c r="P724" s="98"/>
      <c r="Q724" s="98"/>
      <c r="R724" s="98"/>
      <c r="S724" s="98"/>
      <c r="T724" s="98"/>
      <c r="U724" s="98"/>
      <c r="V724" s="98"/>
    </row>
    <row r="725" spans="4:22" ht="12.75">
      <c r="D725" s="98"/>
      <c r="E725" s="98"/>
      <c r="F725" s="98"/>
      <c r="G725" s="98"/>
      <c r="H725" s="98"/>
      <c r="I725" s="98"/>
      <c r="J725" s="98"/>
      <c r="K725" s="98"/>
      <c r="L725" s="98"/>
      <c r="M725" s="98"/>
      <c r="N725" s="98"/>
      <c r="O725" s="98"/>
      <c r="P725" s="98"/>
      <c r="Q725" s="98"/>
      <c r="R725" s="98"/>
      <c r="S725" s="98"/>
      <c r="T725" s="98"/>
      <c r="U725" s="98"/>
      <c r="V725" s="98"/>
    </row>
    <row r="726" spans="4:22" ht="12.75">
      <c r="D726" s="98"/>
      <c r="E726" s="98"/>
      <c r="F726" s="98"/>
      <c r="G726" s="98"/>
      <c r="H726" s="98"/>
      <c r="I726" s="98"/>
      <c r="J726" s="98"/>
      <c r="K726" s="98"/>
      <c r="L726" s="98"/>
      <c r="M726" s="98"/>
      <c r="N726" s="98"/>
      <c r="O726" s="98"/>
      <c r="P726" s="98"/>
      <c r="Q726" s="98"/>
      <c r="R726" s="98"/>
      <c r="S726" s="98"/>
      <c r="T726" s="98"/>
      <c r="U726" s="98"/>
      <c r="V726" s="98"/>
    </row>
    <row r="727" spans="4:22" ht="12.75">
      <c r="D727" s="98"/>
      <c r="E727" s="98"/>
      <c r="F727" s="98"/>
      <c r="G727" s="98"/>
      <c r="H727" s="98"/>
      <c r="I727" s="98"/>
      <c r="J727" s="98"/>
      <c r="K727" s="98"/>
      <c r="L727" s="98"/>
      <c r="M727" s="98"/>
      <c r="N727" s="98"/>
      <c r="O727" s="98"/>
      <c r="P727" s="98"/>
      <c r="Q727" s="98"/>
      <c r="R727" s="98"/>
      <c r="S727" s="98"/>
      <c r="T727" s="98"/>
      <c r="U727" s="98"/>
      <c r="V727" s="98"/>
    </row>
    <row r="728" spans="4:22" ht="12.75">
      <c r="D728" s="98"/>
      <c r="E728" s="98"/>
      <c r="F728" s="98"/>
      <c r="G728" s="98"/>
      <c r="H728" s="98"/>
      <c r="I728" s="98"/>
      <c r="J728" s="98"/>
      <c r="K728" s="98"/>
      <c r="L728" s="98"/>
      <c r="M728" s="98"/>
      <c r="N728" s="98"/>
      <c r="O728" s="98"/>
      <c r="P728" s="98"/>
      <c r="Q728" s="98"/>
      <c r="R728" s="98"/>
      <c r="S728" s="98"/>
      <c r="T728" s="98"/>
      <c r="U728" s="98"/>
      <c r="V728" s="98"/>
    </row>
    <row r="729" spans="4:22" ht="12.75">
      <c r="D729" s="98"/>
      <c r="E729" s="98"/>
      <c r="F729" s="98"/>
      <c r="G729" s="98"/>
      <c r="H729" s="98"/>
      <c r="I729" s="98"/>
      <c r="J729" s="98"/>
      <c r="K729" s="98"/>
      <c r="L729" s="98"/>
      <c r="M729" s="98"/>
      <c r="N729" s="98"/>
      <c r="O729" s="98"/>
      <c r="P729" s="98"/>
      <c r="Q729" s="98"/>
      <c r="R729" s="98"/>
      <c r="S729" s="98"/>
      <c r="T729" s="98"/>
      <c r="U729" s="98"/>
      <c r="V729" s="98"/>
    </row>
    <row r="730" spans="4:22" ht="12.75">
      <c r="D730" s="98"/>
      <c r="E730" s="98"/>
      <c r="F730" s="98"/>
      <c r="G730" s="98"/>
      <c r="H730" s="98"/>
      <c r="I730" s="98"/>
      <c r="J730" s="98"/>
      <c r="K730" s="98"/>
      <c r="L730" s="98"/>
      <c r="M730" s="98"/>
      <c r="N730" s="98"/>
      <c r="O730" s="98"/>
      <c r="P730" s="98"/>
      <c r="Q730" s="98"/>
      <c r="R730" s="98"/>
      <c r="S730" s="98"/>
      <c r="T730" s="98"/>
      <c r="U730" s="98"/>
      <c r="V730" s="98"/>
    </row>
    <row r="731" spans="4:22" ht="12.75">
      <c r="D731" s="98"/>
      <c r="E731" s="98"/>
      <c r="F731" s="98"/>
      <c r="G731" s="98"/>
      <c r="H731" s="98"/>
      <c r="I731" s="98"/>
      <c r="J731" s="98"/>
      <c r="K731" s="98"/>
      <c r="L731" s="98"/>
      <c r="M731" s="98"/>
      <c r="N731" s="98"/>
      <c r="O731" s="98"/>
      <c r="P731" s="98"/>
      <c r="Q731" s="98"/>
      <c r="R731" s="98"/>
      <c r="S731" s="98"/>
      <c r="T731" s="98"/>
      <c r="U731" s="98"/>
      <c r="V731" s="98"/>
    </row>
    <row r="732" spans="4:22" ht="12.75">
      <c r="D732" s="98"/>
      <c r="E732" s="98"/>
      <c r="F732" s="98"/>
      <c r="G732" s="98"/>
      <c r="H732" s="98"/>
      <c r="I732" s="98"/>
      <c r="J732" s="98"/>
      <c r="K732" s="98"/>
      <c r="L732" s="98"/>
      <c r="M732" s="98"/>
      <c r="N732" s="98"/>
      <c r="O732" s="98"/>
      <c r="P732" s="98"/>
      <c r="Q732" s="98"/>
      <c r="R732" s="98"/>
      <c r="S732" s="98"/>
      <c r="T732" s="98"/>
      <c r="U732" s="98"/>
      <c r="V732" s="98"/>
    </row>
    <row r="733" spans="4:22" ht="12.75">
      <c r="D733" s="98"/>
      <c r="E733" s="98"/>
      <c r="F733" s="98"/>
      <c r="G733" s="98"/>
      <c r="H733" s="98"/>
      <c r="I733" s="98"/>
      <c r="J733" s="98"/>
      <c r="K733" s="98"/>
      <c r="L733" s="98"/>
      <c r="M733" s="98"/>
      <c r="N733" s="98"/>
      <c r="O733" s="98"/>
      <c r="P733" s="98"/>
      <c r="Q733" s="98"/>
      <c r="R733" s="98"/>
      <c r="S733" s="98"/>
      <c r="T733" s="98"/>
      <c r="U733" s="98"/>
      <c r="V733" s="98"/>
    </row>
    <row r="734" spans="4:22" ht="12.75">
      <c r="D734" s="98"/>
      <c r="E734" s="98"/>
      <c r="F734" s="98"/>
      <c r="G734" s="98"/>
      <c r="H734" s="98"/>
      <c r="I734" s="98"/>
      <c r="J734" s="98"/>
      <c r="K734" s="98"/>
      <c r="L734" s="98"/>
      <c r="M734" s="98"/>
      <c r="N734" s="98"/>
      <c r="O734" s="98"/>
      <c r="P734" s="98"/>
      <c r="Q734" s="98"/>
      <c r="R734" s="98"/>
      <c r="S734" s="98"/>
      <c r="T734" s="98"/>
      <c r="U734" s="98"/>
      <c r="V734" s="98"/>
    </row>
    <row r="735" spans="4:22" ht="12.75">
      <c r="D735" s="98"/>
      <c r="E735" s="98"/>
      <c r="F735" s="98"/>
      <c r="G735" s="98"/>
      <c r="H735" s="98"/>
      <c r="I735" s="98"/>
      <c r="J735" s="98"/>
      <c r="K735" s="98"/>
      <c r="L735" s="98"/>
      <c r="M735" s="98"/>
      <c r="N735" s="98"/>
      <c r="O735" s="98"/>
      <c r="P735" s="98"/>
      <c r="Q735" s="98"/>
      <c r="R735" s="98"/>
      <c r="S735" s="98"/>
      <c r="T735" s="98"/>
      <c r="U735" s="98"/>
      <c r="V735" s="98"/>
    </row>
    <row r="736" spans="4:22" ht="12.75">
      <c r="D736" s="98"/>
      <c r="E736" s="98"/>
      <c r="F736" s="98"/>
      <c r="G736" s="98"/>
      <c r="H736" s="98"/>
      <c r="I736" s="98"/>
      <c r="J736" s="98"/>
      <c r="K736" s="98"/>
      <c r="L736" s="98"/>
      <c r="M736" s="98"/>
      <c r="N736" s="98"/>
      <c r="O736" s="98"/>
      <c r="P736" s="98"/>
      <c r="Q736" s="98"/>
      <c r="R736" s="98"/>
      <c r="S736" s="98"/>
      <c r="T736" s="98"/>
      <c r="U736" s="98"/>
      <c r="V736" s="98"/>
    </row>
    <row r="737" spans="4:22" ht="12.75">
      <c r="D737" s="98"/>
      <c r="E737" s="98"/>
      <c r="F737" s="98"/>
      <c r="G737" s="98"/>
      <c r="H737" s="98"/>
      <c r="I737" s="98"/>
      <c r="J737" s="98"/>
      <c r="K737" s="98"/>
      <c r="L737" s="98"/>
      <c r="M737" s="98"/>
      <c r="N737" s="98"/>
      <c r="O737" s="98"/>
      <c r="P737" s="98"/>
      <c r="Q737" s="98"/>
      <c r="R737" s="98"/>
      <c r="S737" s="98"/>
      <c r="T737" s="98"/>
      <c r="U737" s="98"/>
      <c r="V737" s="98"/>
    </row>
    <row r="738" spans="4:22" ht="12.75">
      <c r="D738" s="98"/>
      <c r="E738" s="98"/>
      <c r="F738" s="98"/>
      <c r="G738" s="98"/>
      <c r="H738" s="98"/>
      <c r="I738" s="98"/>
      <c r="J738" s="98"/>
      <c r="K738" s="98"/>
      <c r="L738" s="98"/>
      <c r="M738" s="98"/>
      <c r="N738" s="98"/>
      <c r="O738" s="98"/>
      <c r="P738" s="98"/>
      <c r="Q738" s="98"/>
      <c r="R738" s="98"/>
      <c r="S738" s="98"/>
      <c r="T738" s="98"/>
      <c r="U738" s="98"/>
      <c r="V738" s="98"/>
    </row>
    <row r="739" spans="4:22" ht="12.75">
      <c r="D739" s="98"/>
      <c r="E739" s="98"/>
      <c r="F739" s="98"/>
      <c r="G739" s="98"/>
      <c r="H739" s="98"/>
      <c r="I739" s="98"/>
      <c r="J739" s="98"/>
      <c r="K739" s="98"/>
      <c r="L739" s="98"/>
      <c r="M739" s="98"/>
      <c r="N739" s="98"/>
      <c r="O739" s="98"/>
      <c r="P739" s="98"/>
      <c r="Q739" s="98"/>
      <c r="R739" s="98"/>
      <c r="S739" s="98"/>
      <c r="T739" s="98"/>
      <c r="U739" s="98"/>
      <c r="V739" s="98"/>
    </row>
    <row r="740" spans="4:22" ht="12.75">
      <c r="D740" s="98"/>
      <c r="E740" s="98"/>
      <c r="F740" s="98"/>
      <c r="G740" s="98"/>
      <c r="H740" s="98"/>
      <c r="I740" s="98"/>
      <c r="J740" s="98"/>
      <c r="K740" s="98"/>
      <c r="L740" s="98"/>
      <c r="M740" s="98"/>
      <c r="N740" s="98"/>
      <c r="O740" s="98"/>
      <c r="P740" s="98"/>
      <c r="Q740" s="98"/>
      <c r="R740" s="98"/>
      <c r="S740" s="98"/>
      <c r="T740" s="98"/>
      <c r="U740" s="98"/>
      <c r="V740" s="98"/>
    </row>
    <row r="741" spans="4:22" ht="12.75">
      <c r="D741" s="98"/>
      <c r="E741" s="98"/>
      <c r="F741" s="98"/>
      <c r="G741" s="98"/>
      <c r="H741" s="98"/>
      <c r="I741" s="98"/>
      <c r="J741" s="98"/>
      <c r="K741" s="98"/>
      <c r="L741" s="98"/>
      <c r="M741" s="98"/>
      <c r="N741" s="98"/>
      <c r="O741" s="98"/>
      <c r="P741" s="98"/>
      <c r="Q741" s="98"/>
      <c r="R741" s="98"/>
      <c r="S741" s="98"/>
      <c r="T741" s="98"/>
      <c r="U741" s="98"/>
      <c r="V741" s="98"/>
    </row>
    <row r="742" spans="4:22" ht="12.75">
      <c r="D742" s="98"/>
      <c r="E742" s="98"/>
      <c r="F742" s="98"/>
      <c r="G742" s="98"/>
      <c r="H742" s="98"/>
      <c r="I742" s="98"/>
      <c r="J742" s="98"/>
      <c r="K742" s="98"/>
      <c r="L742" s="98"/>
      <c r="M742" s="98"/>
      <c r="N742" s="98"/>
      <c r="O742" s="98"/>
      <c r="P742" s="98"/>
      <c r="Q742" s="98"/>
      <c r="R742" s="98"/>
      <c r="S742" s="98"/>
      <c r="T742" s="98"/>
      <c r="U742" s="98"/>
      <c r="V742" s="98"/>
    </row>
    <row r="743" spans="4:22" ht="12.75">
      <c r="D743" s="98"/>
      <c r="E743" s="98"/>
      <c r="F743" s="98"/>
      <c r="G743" s="98"/>
      <c r="H743" s="98"/>
      <c r="I743" s="98"/>
      <c r="J743" s="98"/>
      <c r="K743" s="98"/>
      <c r="L743" s="98"/>
      <c r="M743" s="98"/>
      <c r="N743" s="98"/>
      <c r="O743" s="98"/>
      <c r="P743" s="98"/>
      <c r="Q743" s="98"/>
      <c r="R743" s="98"/>
      <c r="S743" s="98"/>
      <c r="T743" s="98"/>
      <c r="U743" s="98"/>
      <c r="V743" s="98"/>
    </row>
    <row r="744" spans="4:22" ht="12.75">
      <c r="D744" s="98"/>
      <c r="E744" s="98"/>
      <c r="F744" s="98"/>
      <c r="G744" s="98"/>
      <c r="H744" s="98"/>
      <c r="I744" s="98"/>
      <c r="J744" s="98"/>
      <c r="K744" s="98"/>
      <c r="L744" s="98"/>
      <c r="M744" s="98"/>
      <c r="N744" s="98"/>
      <c r="O744" s="98"/>
      <c r="P744" s="98"/>
      <c r="Q744" s="98"/>
      <c r="R744" s="98"/>
      <c r="S744" s="98"/>
      <c r="T744" s="98"/>
      <c r="U744" s="98"/>
      <c r="V744" s="98"/>
    </row>
    <row r="745" spans="4:22" ht="12.75">
      <c r="D745" s="98"/>
      <c r="E745" s="98"/>
      <c r="F745" s="98"/>
      <c r="G745" s="98"/>
      <c r="H745" s="98"/>
      <c r="I745" s="98"/>
      <c r="J745" s="98"/>
      <c r="K745" s="98"/>
      <c r="L745" s="98"/>
      <c r="M745" s="98"/>
      <c r="N745" s="98"/>
      <c r="O745" s="98"/>
      <c r="P745" s="98"/>
      <c r="Q745" s="98"/>
      <c r="R745" s="98"/>
      <c r="S745" s="98"/>
      <c r="T745" s="98"/>
      <c r="U745" s="98"/>
      <c r="V745" s="98"/>
    </row>
    <row r="746" spans="4:22" ht="12.75">
      <c r="D746" s="98"/>
      <c r="E746" s="98"/>
      <c r="F746" s="98"/>
      <c r="G746" s="98"/>
      <c r="H746" s="98"/>
      <c r="I746" s="98"/>
      <c r="J746" s="98"/>
      <c r="K746" s="98"/>
      <c r="L746" s="98"/>
      <c r="M746" s="98"/>
      <c r="N746" s="98"/>
      <c r="O746" s="98"/>
      <c r="P746" s="98"/>
      <c r="Q746" s="98"/>
      <c r="R746" s="98"/>
      <c r="S746" s="98"/>
      <c r="T746" s="98"/>
      <c r="U746" s="98"/>
      <c r="V746" s="98"/>
    </row>
    <row r="747" spans="4:22" ht="12.75">
      <c r="D747" s="98"/>
      <c r="E747" s="98"/>
      <c r="F747" s="98"/>
      <c r="G747" s="98"/>
      <c r="H747" s="98"/>
      <c r="I747" s="98"/>
      <c r="J747" s="98"/>
      <c r="K747" s="98"/>
      <c r="L747" s="98"/>
      <c r="M747" s="98"/>
      <c r="N747" s="98"/>
      <c r="O747" s="98"/>
      <c r="P747" s="98"/>
      <c r="Q747" s="98"/>
      <c r="R747" s="98"/>
      <c r="S747" s="98"/>
      <c r="T747" s="98"/>
      <c r="U747" s="98"/>
      <c r="V747" s="98"/>
    </row>
    <row r="748" spans="4:22" ht="12.75">
      <c r="D748" s="98"/>
      <c r="E748" s="98"/>
      <c r="F748" s="98"/>
      <c r="G748" s="98"/>
      <c r="H748" s="98"/>
      <c r="I748" s="98"/>
      <c r="J748" s="98"/>
      <c r="K748" s="98"/>
      <c r="L748" s="98"/>
      <c r="M748" s="98"/>
      <c r="N748" s="98"/>
      <c r="O748" s="98"/>
      <c r="P748" s="98"/>
      <c r="Q748" s="98"/>
      <c r="R748" s="98"/>
      <c r="S748" s="98"/>
      <c r="T748" s="98"/>
      <c r="U748" s="98"/>
      <c r="V748" s="98"/>
    </row>
    <row r="749" spans="4:22" ht="12.75">
      <c r="D749" s="98"/>
      <c r="E749" s="98"/>
      <c r="F749" s="98"/>
      <c r="G749" s="98"/>
      <c r="H749" s="98"/>
      <c r="I749" s="98"/>
      <c r="J749" s="98"/>
      <c r="K749" s="98"/>
      <c r="L749" s="98"/>
      <c r="M749" s="98"/>
      <c r="N749" s="98"/>
      <c r="O749" s="98"/>
      <c r="P749" s="98"/>
      <c r="Q749" s="98"/>
      <c r="R749" s="98"/>
      <c r="S749" s="98"/>
      <c r="T749" s="98"/>
      <c r="U749" s="98"/>
      <c r="V749" s="98"/>
    </row>
    <row r="750" spans="4:22" ht="12.75">
      <c r="D750" s="98"/>
      <c r="E750" s="98"/>
      <c r="F750" s="98"/>
      <c r="G750" s="98"/>
      <c r="H750" s="98"/>
      <c r="I750" s="98"/>
      <c r="J750" s="98"/>
      <c r="K750" s="98"/>
      <c r="L750" s="98"/>
      <c r="M750" s="98"/>
      <c r="N750" s="98"/>
      <c r="O750" s="98"/>
      <c r="P750" s="98"/>
      <c r="Q750" s="98"/>
      <c r="R750" s="98"/>
      <c r="S750" s="98"/>
      <c r="T750" s="98"/>
      <c r="U750" s="98"/>
      <c r="V750" s="98"/>
    </row>
    <row r="751" spans="4:22" ht="12.75">
      <c r="D751" s="98"/>
      <c r="E751" s="98"/>
      <c r="F751" s="98"/>
      <c r="G751" s="98"/>
      <c r="H751" s="98"/>
      <c r="I751" s="98"/>
      <c r="J751" s="98"/>
      <c r="K751" s="98"/>
      <c r="L751" s="98"/>
      <c r="M751" s="98"/>
      <c r="N751" s="98"/>
      <c r="O751" s="98"/>
      <c r="P751" s="98"/>
      <c r="Q751" s="98"/>
      <c r="R751" s="98"/>
      <c r="S751" s="98"/>
      <c r="T751" s="98"/>
      <c r="U751" s="98"/>
      <c r="V751" s="98"/>
    </row>
    <row r="752" spans="4:22" ht="12.75">
      <c r="D752" s="98"/>
      <c r="E752" s="98"/>
      <c r="F752" s="98"/>
      <c r="G752" s="98"/>
      <c r="H752" s="98"/>
      <c r="I752" s="98"/>
      <c r="J752" s="98"/>
      <c r="K752" s="98"/>
      <c r="L752" s="98"/>
      <c r="M752" s="98"/>
      <c r="N752" s="98"/>
      <c r="O752" s="98"/>
      <c r="P752" s="98"/>
      <c r="Q752" s="98"/>
      <c r="R752" s="98"/>
      <c r="S752" s="98"/>
      <c r="T752" s="98"/>
      <c r="U752" s="98"/>
      <c r="V752" s="98"/>
    </row>
    <row r="753" spans="4:22" ht="12.75">
      <c r="D753" s="98"/>
      <c r="E753" s="98"/>
      <c r="F753" s="98"/>
      <c r="G753" s="98"/>
      <c r="H753" s="98"/>
      <c r="I753" s="98"/>
      <c r="J753" s="98"/>
      <c r="K753" s="98"/>
      <c r="L753" s="98"/>
      <c r="M753" s="98"/>
      <c r="N753" s="98"/>
      <c r="O753" s="98"/>
      <c r="P753" s="98"/>
      <c r="Q753" s="98"/>
      <c r="R753" s="98"/>
      <c r="S753" s="98"/>
      <c r="T753" s="98"/>
      <c r="U753" s="98"/>
      <c r="V753" s="98"/>
    </row>
    <row r="754" spans="4:22" ht="12.75">
      <c r="D754" s="98"/>
      <c r="E754" s="98"/>
      <c r="F754" s="98"/>
      <c r="G754" s="98"/>
      <c r="H754" s="98"/>
      <c r="I754" s="98"/>
      <c r="J754" s="98"/>
      <c r="K754" s="98"/>
      <c r="L754" s="98"/>
      <c r="M754" s="98"/>
      <c r="N754" s="98"/>
      <c r="O754" s="98"/>
      <c r="P754" s="98"/>
      <c r="Q754" s="98"/>
      <c r="R754" s="98"/>
      <c r="S754" s="98"/>
      <c r="T754" s="98"/>
      <c r="U754" s="98"/>
      <c r="V754" s="98"/>
    </row>
    <row r="755" spans="4:22" ht="12.75">
      <c r="D755" s="98"/>
      <c r="E755" s="98"/>
      <c r="F755" s="98"/>
      <c r="G755" s="98"/>
      <c r="H755" s="98"/>
      <c r="I755" s="98"/>
      <c r="J755" s="98"/>
      <c r="K755" s="98"/>
      <c r="L755" s="98"/>
      <c r="M755" s="98"/>
      <c r="N755" s="98"/>
      <c r="O755" s="98"/>
      <c r="P755" s="98"/>
      <c r="Q755" s="98"/>
      <c r="R755" s="98"/>
      <c r="S755" s="98"/>
      <c r="T755" s="98"/>
      <c r="U755" s="98"/>
      <c r="V755" s="98"/>
    </row>
    <row r="756" spans="4:22" ht="12.75">
      <c r="D756" s="98"/>
      <c r="E756" s="98"/>
      <c r="F756" s="98"/>
      <c r="G756" s="98"/>
      <c r="H756" s="98"/>
      <c r="I756" s="98"/>
      <c r="J756" s="98"/>
      <c r="K756" s="98"/>
      <c r="L756" s="98"/>
      <c r="M756" s="98"/>
      <c r="N756" s="98"/>
      <c r="O756" s="98"/>
      <c r="P756" s="98"/>
      <c r="Q756" s="98"/>
      <c r="R756" s="98"/>
      <c r="S756" s="98"/>
      <c r="T756" s="98"/>
      <c r="U756" s="98"/>
      <c r="V756" s="98"/>
    </row>
    <row r="757" spans="4:22" ht="12.75">
      <c r="D757" s="98"/>
      <c r="E757" s="98"/>
      <c r="F757" s="98"/>
      <c r="G757" s="98"/>
      <c r="H757" s="98"/>
      <c r="I757" s="98"/>
      <c r="J757" s="98"/>
      <c r="K757" s="98"/>
      <c r="L757" s="98"/>
      <c r="M757" s="98"/>
      <c r="N757" s="98"/>
      <c r="O757" s="98"/>
      <c r="P757" s="98"/>
      <c r="Q757" s="98"/>
      <c r="R757" s="98"/>
      <c r="S757" s="98"/>
      <c r="T757" s="98"/>
      <c r="U757" s="98"/>
      <c r="V757" s="98"/>
    </row>
    <row r="758" spans="4:22" ht="12.75">
      <c r="D758" s="98"/>
      <c r="E758" s="98"/>
      <c r="F758" s="98"/>
      <c r="G758" s="98"/>
      <c r="H758" s="98"/>
      <c r="I758" s="98"/>
      <c r="J758" s="98"/>
      <c r="K758" s="98"/>
      <c r="L758" s="98"/>
      <c r="M758" s="98"/>
      <c r="N758" s="98"/>
      <c r="O758" s="98"/>
      <c r="P758" s="98"/>
      <c r="Q758" s="98"/>
      <c r="R758" s="98"/>
      <c r="S758" s="98"/>
      <c r="T758" s="98"/>
      <c r="U758" s="98"/>
      <c r="V758" s="98"/>
    </row>
    <row r="759" spans="4:22" ht="12.75">
      <c r="D759" s="98"/>
      <c r="E759" s="98"/>
      <c r="F759" s="98"/>
      <c r="G759" s="98"/>
      <c r="H759" s="98"/>
      <c r="I759" s="98"/>
      <c r="J759" s="98"/>
      <c r="K759" s="98"/>
      <c r="L759" s="98"/>
      <c r="M759" s="98"/>
      <c r="N759" s="98"/>
      <c r="O759" s="98"/>
      <c r="P759" s="98"/>
      <c r="Q759" s="98"/>
      <c r="R759" s="98"/>
      <c r="S759" s="98"/>
      <c r="T759" s="98"/>
      <c r="U759" s="98"/>
      <c r="V759" s="98"/>
    </row>
    <row r="760" spans="4:22" ht="12.75">
      <c r="D760" s="98"/>
      <c r="E760" s="98"/>
      <c r="F760" s="98"/>
      <c r="G760" s="98"/>
      <c r="H760" s="98"/>
      <c r="I760" s="98"/>
      <c r="J760" s="98"/>
      <c r="K760" s="98"/>
      <c r="L760" s="98"/>
      <c r="M760" s="98"/>
      <c r="N760" s="98"/>
      <c r="O760" s="98"/>
      <c r="P760" s="98"/>
      <c r="Q760" s="98"/>
      <c r="R760" s="98"/>
      <c r="S760" s="98"/>
      <c r="T760" s="98"/>
      <c r="U760" s="98"/>
      <c r="V760" s="98"/>
    </row>
    <row r="761" spans="4:22" ht="12.75">
      <c r="D761" s="98"/>
      <c r="E761" s="98"/>
      <c r="F761" s="98"/>
      <c r="G761" s="98"/>
      <c r="H761" s="98"/>
      <c r="I761" s="98"/>
      <c r="J761" s="98"/>
      <c r="K761" s="98"/>
      <c r="L761" s="98"/>
      <c r="M761" s="98"/>
      <c r="N761" s="98"/>
      <c r="O761" s="98"/>
      <c r="P761" s="98"/>
      <c r="Q761" s="98"/>
      <c r="R761" s="98"/>
      <c r="S761" s="98"/>
      <c r="T761" s="98"/>
      <c r="U761" s="98"/>
      <c r="V761" s="98"/>
    </row>
    <row r="762" spans="4:22" ht="12.75">
      <c r="D762" s="98"/>
      <c r="E762" s="98"/>
      <c r="F762" s="98"/>
      <c r="G762" s="98"/>
      <c r="H762" s="98"/>
      <c r="I762" s="98"/>
      <c r="J762" s="98"/>
      <c r="K762" s="98"/>
      <c r="L762" s="98"/>
      <c r="M762" s="98"/>
      <c r="N762" s="98"/>
      <c r="O762" s="98"/>
      <c r="P762" s="98"/>
      <c r="Q762" s="98"/>
      <c r="R762" s="98"/>
      <c r="S762" s="98"/>
      <c r="T762" s="98"/>
      <c r="U762" s="98"/>
      <c r="V762" s="98"/>
    </row>
    <row r="763" spans="4:22" ht="12.75">
      <c r="D763" s="98"/>
      <c r="E763" s="98"/>
      <c r="F763" s="98"/>
      <c r="G763" s="98"/>
      <c r="H763" s="98"/>
      <c r="I763" s="98"/>
      <c r="J763" s="98"/>
      <c r="K763" s="98"/>
      <c r="L763" s="98"/>
      <c r="M763" s="98"/>
      <c r="N763" s="98"/>
      <c r="O763" s="98"/>
      <c r="P763" s="98"/>
      <c r="Q763" s="98"/>
      <c r="R763" s="98"/>
      <c r="S763" s="98"/>
      <c r="T763" s="98"/>
      <c r="U763" s="98"/>
      <c r="V763" s="98"/>
    </row>
    <row r="764" spans="4:22" ht="12.75">
      <c r="D764" s="98"/>
      <c r="E764" s="98"/>
      <c r="F764" s="98"/>
      <c r="G764" s="98"/>
      <c r="H764" s="98"/>
      <c r="I764" s="98"/>
      <c r="J764" s="98"/>
      <c r="K764" s="98"/>
      <c r="L764" s="98"/>
      <c r="M764" s="98"/>
      <c r="N764" s="98"/>
      <c r="O764" s="98"/>
      <c r="P764" s="98"/>
      <c r="Q764" s="98"/>
      <c r="R764" s="98"/>
      <c r="S764" s="98"/>
      <c r="T764" s="98"/>
      <c r="U764" s="98"/>
      <c r="V764" s="98"/>
    </row>
    <row r="765" spans="4:22" ht="12.75">
      <c r="D765" s="98"/>
      <c r="E765" s="98"/>
      <c r="F765" s="98"/>
      <c r="G765" s="98"/>
      <c r="H765" s="98"/>
      <c r="I765" s="98"/>
      <c r="J765" s="98"/>
      <c r="K765" s="98"/>
      <c r="L765" s="98"/>
      <c r="M765" s="98"/>
      <c r="N765" s="98"/>
      <c r="O765" s="98"/>
      <c r="P765" s="98"/>
      <c r="Q765" s="98"/>
      <c r="R765" s="98"/>
      <c r="S765" s="98"/>
      <c r="T765" s="98"/>
      <c r="U765" s="98"/>
      <c r="V765" s="98"/>
    </row>
    <row r="766" spans="4:22" ht="12.75">
      <c r="D766" s="98"/>
      <c r="E766" s="98"/>
      <c r="F766" s="98"/>
      <c r="G766" s="98"/>
      <c r="H766" s="98"/>
      <c r="I766" s="98"/>
      <c r="J766" s="98"/>
      <c r="K766" s="98"/>
      <c r="L766" s="98"/>
      <c r="M766" s="98"/>
      <c r="N766" s="98"/>
      <c r="O766" s="98"/>
      <c r="P766" s="98"/>
      <c r="Q766" s="98"/>
      <c r="R766" s="98"/>
      <c r="S766" s="98"/>
      <c r="T766" s="98"/>
      <c r="U766" s="98"/>
      <c r="V766" s="98"/>
    </row>
    <row r="767" spans="4:22" ht="12.75">
      <c r="D767" s="98"/>
      <c r="E767" s="98"/>
      <c r="F767" s="98"/>
      <c r="G767" s="98"/>
      <c r="H767" s="98"/>
      <c r="I767" s="98"/>
      <c r="J767" s="98"/>
      <c r="K767" s="98"/>
      <c r="L767" s="98"/>
      <c r="M767" s="98"/>
      <c r="N767" s="98"/>
      <c r="O767" s="98"/>
      <c r="P767" s="98"/>
      <c r="Q767" s="98"/>
      <c r="R767" s="98"/>
      <c r="S767" s="98"/>
      <c r="T767" s="98"/>
      <c r="U767" s="98"/>
      <c r="V767" s="98"/>
    </row>
    <row r="768" spans="4:22" ht="12.75">
      <c r="D768" s="98"/>
      <c r="E768" s="98"/>
      <c r="F768" s="98"/>
      <c r="G768" s="98"/>
      <c r="H768" s="98"/>
      <c r="I768" s="98"/>
      <c r="J768" s="98"/>
      <c r="K768" s="98"/>
      <c r="L768" s="98"/>
      <c r="M768" s="98"/>
      <c r="N768" s="98"/>
      <c r="O768" s="98"/>
      <c r="P768" s="98"/>
      <c r="Q768" s="98"/>
      <c r="R768" s="98"/>
      <c r="S768" s="98"/>
      <c r="T768" s="98"/>
      <c r="U768" s="98"/>
      <c r="V768" s="98"/>
    </row>
    <row r="769" spans="4:22" ht="12.75">
      <c r="D769" s="98"/>
      <c r="E769" s="98"/>
      <c r="F769" s="98"/>
      <c r="G769" s="98"/>
      <c r="H769" s="98"/>
      <c r="I769" s="98"/>
      <c r="J769" s="98"/>
      <c r="K769" s="98"/>
      <c r="L769" s="98"/>
      <c r="M769" s="98"/>
      <c r="N769" s="98"/>
      <c r="O769" s="98"/>
      <c r="P769" s="98"/>
      <c r="Q769" s="98"/>
      <c r="R769" s="98"/>
      <c r="S769" s="98"/>
      <c r="T769" s="98"/>
      <c r="U769" s="98"/>
      <c r="V769" s="98"/>
    </row>
    <row r="770" spans="4:22" ht="12.75">
      <c r="D770" s="98"/>
      <c r="E770" s="98"/>
      <c r="F770" s="98"/>
      <c r="G770" s="98"/>
      <c r="H770" s="98"/>
      <c r="I770" s="98"/>
      <c r="J770" s="98"/>
      <c r="K770" s="98"/>
      <c r="L770" s="98"/>
      <c r="M770" s="98"/>
      <c r="N770" s="98"/>
      <c r="O770" s="98"/>
      <c r="P770" s="98"/>
      <c r="Q770" s="98"/>
      <c r="R770" s="98"/>
      <c r="S770" s="98"/>
      <c r="T770" s="98"/>
      <c r="U770" s="98"/>
      <c r="V770" s="98"/>
    </row>
    <row r="771" spans="4:22" ht="12.75">
      <c r="D771" s="98"/>
      <c r="E771" s="98"/>
      <c r="F771" s="98"/>
      <c r="G771" s="98"/>
      <c r="H771" s="98"/>
      <c r="I771" s="98"/>
      <c r="J771" s="98"/>
      <c r="K771" s="98"/>
      <c r="L771" s="98"/>
      <c r="M771" s="98"/>
      <c r="N771" s="98"/>
      <c r="O771" s="98"/>
      <c r="P771" s="98"/>
      <c r="Q771" s="98"/>
      <c r="R771" s="98"/>
      <c r="S771" s="98"/>
      <c r="T771" s="98"/>
      <c r="U771" s="98"/>
      <c r="V771" s="98"/>
    </row>
    <row r="772" spans="4:22" ht="12.75">
      <c r="D772" s="98"/>
      <c r="E772" s="98"/>
      <c r="F772" s="98"/>
      <c r="G772" s="98"/>
      <c r="H772" s="98"/>
      <c r="I772" s="98"/>
      <c r="J772" s="98"/>
      <c r="K772" s="98"/>
      <c r="L772" s="98"/>
      <c r="M772" s="98"/>
      <c r="N772" s="98"/>
      <c r="O772" s="98"/>
      <c r="P772" s="98"/>
      <c r="Q772" s="98"/>
      <c r="R772" s="98"/>
      <c r="S772" s="98"/>
      <c r="T772" s="98"/>
      <c r="U772" s="98"/>
      <c r="V772" s="98"/>
    </row>
    <row r="773" spans="4:22" ht="12.75">
      <c r="D773" s="98"/>
      <c r="E773" s="98"/>
      <c r="F773" s="98"/>
      <c r="G773" s="98"/>
      <c r="H773" s="98"/>
      <c r="I773" s="98"/>
      <c r="J773" s="98"/>
      <c r="K773" s="98"/>
      <c r="L773" s="98"/>
      <c r="M773" s="98"/>
      <c r="N773" s="98"/>
      <c r="O773" s="98"/>
      <c r="P773" s="98"/>
      <c r="Q773" s="98"/>
      <c r="R773" s="98"/>
      <c r="S773" s="98"/>
      <c r="T773" s="98"/>
      <c r="U773" s="98"/>
      <c r="V773" s="98"/>
    </row>
    <row r="774" spans="4:22" ht="12.75">
      <c r="D774" s="98"/>
      <c r="E774" s="98"/>
      <c r="F774" s="98"/>
      <c r="G774" s="98"/>
      <c r="H774" s="98"/>
      <c r="I774" s="98"/>
      <c r="J774" s="98"/>
      <c r="K774" s="98"/>
      <c r="L774" s="98"/>
      <c r="M774" s="98"/>
      <c r="N774" s="98"/>
      <c r="O774" s="98"/>
      <c r="P774" s="98"/>
      <c r="Q774" s="98"/>
      <c r="R774" s="98"/>
      <c r="S774" s="98"/>
      <c r="T774" s="98"/>
      <c r="U774" s="98"/>
      <c r="V774" s="98"/>
    </row>
    <row r="775" spans="4:22" ht="12.75">
      <c r="D775" s="98"/>
      <c r="E775" s="98"/>
      <c r="F775" s="98"/>
      <c r="G775" s="98"/>
      <c r="H775" s="98"/>
      <c r="I775" s="98"/>
      <c r="J775" s="98"/>
      <c r="K775" s="98"/>
      <c r="L775" s="98"/>
      <c r="M775" s="98"/>
      <c r="N775" s="98"/>
      <c r="O775" s="98"/>
      <c r="P775" s="98"/>
      <c r="Q775" s="98"/>
      <c r="R775" s="98"/>
      <c r="S775" s="98"/>
      <c r="T775" s="98"/>
      <c r="U775" s="98"/>
      <c r="V775" s="98"/>
    </row>
    <row r="776" spans="4:22" ht="12.75">
      <c r="D776" s="98"/>
      <c r="E776" s="98"/>
      <c r="F776" s="98"/>
      <c r="G776" s="98"/>
      <c r="H776" s="98"/>
      <c r="I776" s="98"/>
      <c r="J776" s="98"/>
      <c r="K776" s="98"/>
      <c r="L776" s="98"/>
      <c r="M776" s="98"/>
      <c r="N776" s="98"/>
      <c r="O776" s="98"/>
      <c r="P776" s="98"/>
      <c r="Q776" s="98"/>
      <c r="R776" s="98"/>
      <c r="S776" s="98"/>
      <c r="T776" s="98"/>
      <c r="U776" s="98"/>
      <c r="V776" s="98"/>
    </row>
    <row r="777" spans="4:22" ht="12.75">
      <c r="D777" s="98"/>
      <c r="E777" s="98"/>
      <c r="F777" s="98"/>
      <c r="G777" s="98"/>
      <c r="H777" s="98"/>
      <c r="I777" s="98"/>
      <c r="J777" s="98"/>
      <c r="K777" s="98"/>
      <c r="L777" s="98"/>
      <c r="M777" s="98"/>
      <c r="N777" s="98"/>
      <c r="O777" s="98"/>
      <c r="P777" s="98"/>
      <c r="Q777" s="98"/>
      <c r="R777" s="98"/>
      <c r="S777" s="98"/>
      <c r="T777" s="98"/>
      <c r="U777" s="98"/>
      <c r="V777" s="98"/>
    </row>
    <row r="778" spans="4:22" ht="12.75">
      <c r="D778" s="98"/>
      <c r="E778" s="98"/>
      <c r="F778" s="98"/>
      <c r="G778" s="98"/>
      <c r="H778" s="98"/>
      <c r="I778" s="98"/>
      <c r="J778" s="98"/>
      <c r="K778" s="98"/>
      <c r="L778" s="98"/>
      <c r="M778" s="98"/>
      <c r="N778" s="98"/>
      <c r="O778" s="98"/>
      <c r="P778" s="98"/>
      <c r="Q778" s="98"/>
      <c r="R778" s="98"/>
      <c r="S778" s="98"/>
      <c r="T778" s="98"/>
      <c r="U778" s="98"/>
      <c r="V778" s="98"/>
    </row>
    <row r="779" spans="4:22" ht="12.75">
      <c r="D779" s="98"/>
      <c r="E779" s="98"/>
      <c r="F779" s="98"/>
      <c r="G779" s="98"/>
      <c r="H779" s="98"/>
      <c r="I779" s="98"/>
      <c r="J779" s="98"/>
      <c r="K779" s="98"/>
      <c r="L779" s="98"/>
      <c r="M779" s="98"/>
      <c r="N779" s="98"/>
      <c r="O779" s="98"/>
      <c r="P779" s="98"/>
      <c r="Q779" s="98"/>
      <c r="R779" s="98"/>
      <c r="S779" s="98"/>
      <c r="T779" s="98"/>
      <c r="U779" s="98"/>
      <c r="V779" s="98"/>
    </row>
    <row r="780" spans="4:22" ht="12.75">
      <c r="D780" s="98"/>
      <c r="E780" s="98"/>
      <c r="F780" s="98"/>
      <c r="G780" s="98"/>
      <c r="H780" s="98"/>
      <c r="I780" s="98"/>
      <c r="J780" s="98"/>
      <c r="K780" s="98"/>
      <c r="L780" s="98"/>
      <c r="M780" s="98"/>
      <c r="N780" s="98"/>
      <c r="O780" s="98"/>
      <c r="P780" s="98"/>
      <c r="Q780" s="98"/>
      <c r="R780" s="98"/>
      <c r="S780" s="98"/>
      <c r="T780" s="98"/>
      <c r="U780" s="98"/>
      <c r="V780" s="98"/>
    </row>
    <row r="781" spans="4:22" ht="12.75">
      <c r="D781" s="98"/>
      <c r="E781" s="98"/>
      <c r="F781" s="98"/>
      <c r="G781" s="98"/>
      <c r="H781" s="98"/>
      <c r="I781" s="98"/>
      <c r="J781" s="98"/>
      <c r="K781" s="98"/>
      <c r="L781" s="98"/>
      <c r="M781" s="98"/>
      <c r="N781" s="98"/>
      <c r="O781" s="98"/>
      <c r="P781" s="98"/>
      <c r="Q781" s="98"/>
      <c r="R781" s="98"/>
      <c r="S781" s="98"/>
      <c r="T781" s="98"/>
      <c r="U781" s="98"/>
      <c r="V781" s="98"/>
    </row>
    <row r="782" spans="4:22" ht="12.75">
      <c r="D782" s="98"/>
      <c r="E782" s="98"/>
      <c r="F782" s="98"/>
      <c r="G782" s="98"/>
      <c r="H782" s="98"/>
      <c r="I782" s="98"/>
      <c r="J782" s="98"/>
      <c r="K782" s="98"/>
      <c r="L782" s="98"/>
      <c r="M782" s="98"/>
      <c r="N782" s="98"/>
      <c r="O782" s="98"/>
      <c r="P782" s="98"/>
      <c r="Q782" s="98"/>
      <c r="R782" s="98"/>
      <c r="S782" s="98"/>
      <c r="T782" s="98"/>
      <c r="U782" s="98"/>
      <c r="V782" s="98"/>
    </row>
    <row r="783" spans="4:22" ht="12.75">
      <c r="D783" s="98"/>
      <c r="E783" s="98"/>
      <c r="F783" s="98"/>
      <c r="G783" s="98"/>
      <c r="H783" s="98"/>
      <c r="I783" s="98"/>
      <c r="J783" s="98"/>
      <c r="K783" s="98"/>
      <c r="L783" s="98"/>
      <c r="M783" s="98"/>
      <c r="N783" s="98"/>
      <c r="O783" s="98"/>
      <c r="P783" s="98"/>
      <c r="Q783" s="98"/>
      <c r="R783" s="98"/>
      <c r="S783" s="98"/>
      <c r="T783" s="98"/>
      <c r="U783" s="98"/>
      <c r="V783" s="98"/>
    </row>
    <row r="784" spans="4:22" ht="12.75">
      <c r="D784" s="98"/>
      <c r="E784" s="98"/>
      <c r="F784" s="98"/>
      <c r="G784" s="98"/>
      <c r="H784" s="98"/>
      <c r="I784" s="98"/>
      <c r="J784" s="98"/>
      <c r="K784" s="98"/>
      <c r="L784" s="98"/>
      <c r="M784" s="98"/>
      <c r="N784" s="98"/>
      <c r="O784" s="98"/>
      <c r="P784" s="98"/>
      <c r="Q784" s="98"/>
      <c r="R784" s="98"/>
      <c r="S784" s="98"/>
      <c r="T784" s="98"/>
      <c r="U784" s="98"/>
      <c r="V784" s="98"/>
    </row>
    <row r="785" spans="4:22" ht="12.75">
      <c r="D785" s="98"/>
      <c r="E785" s="98"/>
      <c r="F785" s="98"/>
      <c r="G785" s="98"/>
      <c r="H785" s="98"/>
      <c r="I785" s="98"/>
      <c r="J785" s="98"/>
      <c r="K785" s="98"/>
      <c r="L785" s="98"/>
      <c r="M785" s="98"/>
      <c r="N785" s="98"/>
      <c r="O785" s="98"/>
      <c r="P785" s="98"/>
      <c r="Q785" s="98"/>
      <c r="R785" s="98"/>
      <c r="S785" s="98"/>
      <c r="T785" s="98"/>
      <c r="U785" s="98"/>
      <c r="V785" s="98"/>
    </row>
    <row r="786" spans="4:22" ht="12.75">
      <c r="D786" s="98"/>
      <c r="E786" s="98"/>
      <c r="F786" s="98"/>
      <c r="G786" s="98"/>
      <c r="H786" s="98"/>
      <c r="I786" s="98"/>
      <c r="J786" s="98"/>
      <c r="K786" s="98"/>
      <c r="L786" s="98"/>
      <c r="M786" s="98"/>
      <c r="N786" s="98"/>
      <c r="O786" s="98"/>
      <c r="P786" s="98"/>
      <c r="Q786" s="98"/>
      <c r="R786" s="98"/>
      <c r="S786" s="98"/>
      <c r="T786" s="98"/>
      <c r="U786" s="98"/>
      <c r="V786" s="98"/>
    </row>
    <row r="787" spans="4:22" ht="12.75">
      <c r="D787" s="98"/>
      <c r="E787" s="98"/>
      <c r="F787" s="98"/>
      <c r="G787" s="98"/>
      <c r="H787" s="98"/>
      <c r="I787" s="98"/>
      <c r="J787" s="98"/>
      <c r="K787" s="98"/>
      <c r="L787" s="98"/>
      <c r="M787" s="98"/>
      <c r="N787" s="98"/>
      <c r="O787" s="98"/>
      <c r="P787" s="98"/>
      <c r="Q787" s="98"/>
      <c r="R787" s="98"/>
      <c r="S787" s="98"/>
      <c r="T787" s="98"/>
      <c r="U787" s="98"/>
      <c r="V787" s="98"/>
    </row>
    <row r="788" spans="4:22" ht="12.75">
      <c r="D788" s="98"/>
      <c r="E788" s="98"/>
      <c r="F788" s="98"/>
      <c r="G788" s="98"/>
      <c r="H788" s="98"/>
      <c r="I788" s="98"/>
      <c r="J788" s="98"/>
      <c r="K788" s="98"/>
      <c r="L788" s="98"/>
      <c r="M788" s="98"/>
      <c r="N788" s="98"/>
      <c r="O788" s="98"/>
      <c r="P788" s="98"/>
      <c r="Q788" s="98"/>
      <c r="R788" s="98"/>
      <c r="S788" s="98"/>
      <c r="T788" s="98"/>
      <c r="U788" s="98"/>
      <c r="V788" s="98"/>
    </row>
    <row r="789" spans="4:22" ht="12.75">
      <c r="D789" s="98"/>
      <c r="E789" s="98"/>
      <c r="F789" s="98"/>
      <c r="G789" s="98"/>
      <c r="H789" s="98"/>
      <c r="I789" s="98"/>
      <c r="J789" s="98"/>
      <c r="K789" s="98"/>
      <c r="L789" s="98"/>
      <c r="M789" s="98"/>
      <c r="N789" s="98"/>
      <c r="O789" s="98"/>
      <c r="P789" s="98"/>
      <c r="Q789" s="98"/>
      <c r="R789" s="98"/>
      <c r="S789" s="98"/>
      <c r="T789" s="98"/>
      <c r="U789" s="98"/>
      <c r="V789" s="98"/>
    </row>
    <row r="790" spans="4:22" ht="12.75">
      <c r="D790" s="98"/>
      <c r="E790" s="98"/>
      <c r="F790" s="98"/>
      <c r="G790" s="98"/>
      <c r="H790" s="98"/>
      <c r="I790" s="98"/>
      <c r="J790" s="98"/>
      <c r="K790" s="98"/>
      <c r="L790" s="98"/>
      <c r="M790" s="98"/>
      <c r="N790" s="98"/>
      <c r="O790" s="98"/>
      <c r="P790" s="98"/>
      <c r="Q790" s="98"/>
      <c r="R790" s="98"/>
      <c r="S790" s="98"/>
      <c r="T790" s="98"/>
      <c r="U790" s="98"/>
      <c r="V790" s="98"/>
    </row>
    <row r="791" spans="4:22" ht="12.75">
      <c r="D791" s="98"/>
      <c r="E791" s="98"/>
      <c r="F791" s="98"/>
      <c r="G791" s="98"/>
      <c r="H791" s="98"/>
      <c r="I791" s="98"/>
      <c r="J791" s="98"/>
      <c r="K791" s="98"/>
      <c r="L791" s="98"/>
      <c r="M791" s="98"/>
      <c r="N791" s="98"/>
      <c r="O791" s="98"/>
      <c r="P791" s="98"/>
      <c r="Q791" s="98"/>
      <c r="R791" s="98"/>
      <c r="S791" s="98"/>
      <c r="T791" s="98"/>
      <c r="U791" s="98"/>
      <c r="V791" s="98"/>
    </row>
    <row r="792" spans="4:22" ht="12.75">
      <c r="D792" s="98"/>
      <c r="E792" s="98"/>
      <c r="F792" s="98"/>
      <c r="G792" s="98"/>
      <c r="H792" s="98"/>
      <c r="I792" s="98"/>
      <c r="J792" s="98"/>
      <c r="K792" s="98"/>
      <c r="L792" s="98"/>
      <c r="M792" s="98"/>
      <c r="N792" s="98"/>
      <c r="O792" s="98"/>
      <c r="P792" s="98"/>
      <c r="Q792" s="98"/>
      <c r="R792" s="98"/>
      <c r="S792" s="98"/>
      <c r="T792" s="98"/>
      <c r="U792" s="98"/>
      <c r="V792" s="98"/>
    </row>
    <row r="793" spans="4:22" ht="12.75">
      <c r="D793" s="98"/>
      <c r="E793" s="98"/>
      <c r="F793" s="98"/>
      <c r="G793" s="98"/>
      <c r="H793" s="98"/>
      <c r="I793" s="98"/>
      <c r="J793" s="98"/>
      <c r="K793" s="98"/>
      <c r="L793" s="98"/>
      <c r="M793" s="98"/>
      <c r="N793" s="98"/>
      <c r="O793" s="98"/>
      <c r="P793" s="98"/>
      <c r="Q793" s="98"/>
      <c r="R793" s="98"/>
      <c r="S793" s="98"/>
      <c r="T793" s="98"/>
      <c r="U793" s="98"/>
      <c r="V793" s="98"/>
    </row>
    <row r="794" spans="4:22" ht="12.75">
      <c r="D794" s="98"/>
      <c r="E794" s="98"/>
      <c r="F794" s="98"/>
      <c r="G794" s="98"/>
      <c r="H794" s="98"/>
      <c r="I794" s="98"/>
      <c r="J794" s="98"/>
      <c r="K794" s="98"/>
      <c r="L794" s="98"/>
      <c r="M794" s="98"/>
      <c r="N794" s="98"/>
      <c r="O794" s="98"/>
      <c r="P794" s="98"/>
      <c r="Q794" s="98"/>
      <c r="R794" s="98"/>
      <c r="S794" s="98"/>
      <c r="T794" s="98"/>
      <c r="U794" s="98"/>
      <c r="V794" s="98"/>
    </row>
    <row r="795" spans="4:22" ht="12.75">
      <c r="D795" s="98"/>
      <c r="E795" s="98"/>
      <c r="F795" s="98"/>
      <c r="G795" s="98"/>
      <c r="H795" s="98"/>
      <c r="I795" s="98"/>
      <c r="J795" s="98"/>
      <c r="K795" s="98"/>
      <c r="L795" s="98"/>
      <c r="M795" s="98"/>
      <c r="N795" s="98"/>
      <c r="O795" s="98"/>
      <c r="P795" s="98"/>
      <c r="Q795" s="98"/>
      <c r="R795" s="98"/>
      <c r="S795" s="98"/>
      <c r="T795" s="98"/>
      <c r="U795" s="98"/>
      <c r="V795" s="98"/>
    </row>
    <row r="796" spans="4:22" ht="12.75">
      <c r="D796" s="98"/>
      <c r="E796" s="98"/>
      <c r="F796" s="98"/>
      <c r="G796" s="98"/>
      <c r="H796" s="98"/>
      <c r="I796" s="98"/>
      <c r="J796" s="98"/>
      <c r="K796" s="98"/>
      <c r="L796" s="98"/>
      <c r="M796" s="98"/>
      <c r="N796" s="98"/>
      <c r="O796" s="98"/>
      <c r="P796" s="98"/>
      <c r="Q796" s="98"/>
      <c r="R796" s="98"/>
      <c r="S796" s="98"/>
      <c r="T796" s="98"/>
      <c r="U796" s="98"/>
      <c r="V796" s="98"/>
    </row>
    <row r="797" spans="4:22" ht="12.75">
      <c r="D797" s="98"/>
      <c r="E797" s="98"/>
      <c r="F797" s="98"/>
      <c r="G797" s="98"/>
      <c r="H797" s="98"/>
      <c r="I797" s="98"/>
      <c r="J797" s="98"/>
      <c r="K797" s="98"/>
      <c r="L797" s="98"/>
      <c r="M797" s="98"/>
      <c r="N797" s="98"/>
      <c r="O797" s="98"/>
      <c r="P797" s="98"/>
      <c r="Q797" s="98"/>
      <c r="R797" s="98"/>
      <c r="S797" s="98"/>
      <c r="T797" s="98"/>
      <c r="U797" s="98"/>
      <c r="V797" s="98"/>
    </row>
    <row r="798" spans="4:22" ht="12.75">
      <c r="D798" s="98"/>
      <c r="E798" s="98"/>
      <c r="F798" s="98"/>
      <c r="G798" s="98"/>
      <c r="H798" s="98"/>
      <c r="I798" s="98"/>
      <c r="J798" s="98"/>
      <c r="K798" s="98"/>
      <c r="L798" s="98"/>
      <c r="M798" s="98"/>
      <c r="N798" s="98"/>
      <c r="O798" s="98"/>
      <c r="P798" s="98"/>
      <c r="Q798" s="98"/>
      <c r="R798" s="98"/>
      <c r="S798" s="98"/>
      <c r="T798" s="98"/>
      <c r="U798" s="98"/>
      <c r="V798" s="98"/>
    </row>
    <row r="799" spans="4:22" ht="12.75">
      <c r="D799" s="98"/>
      <c r="E799" s="98"/>
      <c r="F799" s="98"/>
      <c r="G799" s="98"/>
      <c r="H799" s="98"/>
      <c r="I799" s="98"/>
      <c r="J799" s="98"/>
      <c r="K799" s="98"/>
      <c r="L799" s="98"/>
      <c r="M799" s="98"/>
      <c r="N799" s="98"/>
      <c r="O799" s="98"/>
      <c r="P799" s="98"/>
      <c r="Q799" s="98"/>
      <c r="R799" s="98"/>
      <c r="S799" s="98"/>
      <c r="T799" s="98"/>
      <c r="U799" s="98"/>
      <c r="V799" s="98"/>
    </row>
    <row r="800" spans="4:22" ht="12.75">
      <c r="D800" s="98"/>
      <c r="E800" s="98"/>
      <c r="F800" s="98"/>
      <c r="G800" s="98"/>
      <c r="H800" s="98"/>
      <c r="I800" s="98"/>
      <c r="J800" s="98"/>
      <c r="K800" s="98"/>
      <c r="L800" s="98"/>
      <c r="M800" s="98"/>
      <c r="N800" s="98"/>
      <c r="O800" s="98"/>
      <c r="P800" s="98"/>
      <c r="Q800" s="98"/>
      <c r="R800" s="98"/>
      <c r="S800" s="98"/>
      <c r="T800" s="98"/>
      <c r="U800" s="98"/>
      <c r="V800" s="98"/>
    </row>
    <row r="801" spans="4:22" ht="12.75">
      <c r="D801" s="98"/>
      <c r="E801" s="98"/>
      <c r="F801" s="98"/>
      <c r="G801" s="98"/>
      <c r="H801" s="98"/>
      <c r="I801" s="98"/>
      <c r="J801" s="98"/>
      <c r="K801" s="98"/>
      <c r="L801" s="98"/>
      <c r="M801" s="98"/>
      <c r="N801" s="98"/>
      <c r="O801" s="98"/>
      <c r="P801" s="98"/>
      <c r="Q801" s="98"/>
      <c r="R801" s="98"/>
      <c r="S801" s="98"/>
      <c r="T801" s="98"/>
      <c r="U801" s="98"/>
      <c r="V801" s="98"/>
    </row>
    <row r="802" spans="4:22" ht="12.75">
      <c r="D802" s="98"/>
      <c r="E802" s="98"/>
      <c r="F802" s="98"/>
      <c r="G802" s="98"/>
      <c r="H802" s="98"/>
      <c r="I802" s="98"/>
      <c r="J802" s="98"/>
      <c r="K802" s="98"/>
      <c r="L802" s="98"/>
      <c r="M802" s="98"/>
      <c r="N802" s="98"/>
      <c r="O802" s="98"/>
      <c r="P802" s="98"/>
      <c r="Q802" s="98"/>
      <c r="R802" s="98"/>
      <c r="S802" s="98"/>
      <c r="T802" s="98"/>
      <c r="U802" s="98"/>
      <c r="V802" s="98"/>
    </row>
    <row r="803" spans="4:22" ht="12.75">
      <c r="D803" s="98"/>
      <c r="E803" s="98"/>
      <c r="F803" s="98"/>
      <c r="G803" s="98"/>
      <c r="H803" s="98"/>
      <c r="I803" s="98"/>
      <c r="J803" s="98"/>
      <c r="K803" s="98"/>
      <c r="L803" s="98"/>
      <c r="M803" s="98"/>
      <c r="N803" s="98"/>
      <c r="O803" s="98"/>
      <c r="P803" s="98"/>
      <c r="Q803" s="98"/>
      <c r="R803" s="98"/>
      <c r="S803" s="98"/>
      <c r="T803" s="98"/>
      <c r="U803" s="98"/>
      <c r="V803" s="98"/>
    </row>
    <row r="804" spans="4:22" ht="12.75">
      <c r="D804" s="98"/>
      <c r="E804" s="98"/>
      <c r="F804" s="98"/>
      <c r="G804" s="98"/>
      <c r="H804" s="98"/>
      <c r="I804" s="98"/>
      <c r="J804" s="98"/>
      <c r="K804" s="98"/>
      <c r="L804" s="98"/>
      <c r="M804" s="98"/>
      <c r="N804" s="98"/>
      <c r="O804" s="98"/>
      <c r="P804" s="98"/>
      <c r="Q804" s="98"/>
      <c r="R804" s="98"/>
      <c r="S804" s="98"/>
      <c r="T804" s="98"/>
      <c r="U804" s="98"/>
      <c r="V804" s="98"/>
    </row>
    <row r="805" spans="4:22" ht="12.75">
      <c r="D805" s="98"/>
      <c r="E805" s="98"/>
      <c r="F805" s="98"/>
      <c r="G805" s="98"/>
      <c r="H805" s="98"/>
      <c r="I805" s="98"/>
      <c r="J805" s="98"/>
      <c r="K805" s="98"/>
      <c r="L805" s="98"/>
      <c r="M805" s="98"/>
      <c r="N805" s="98"/>
      <c r="O805" s="98"/>
      <c r="P805" s="98"/>
      <c r="Q805" s="98"/>
      <c r="R805" s="98"/>
      <c r="S805" s="98"/>
      <c r="T805" s="98"/>
      <c r="U805" s="98"/>
      <c r="V805" s="98"/>
    </row>
    <row r="806" spans="4:22" ht="12.75">
      <c r="D806" s="98"/>
      <c r="E806" s="98"/>
      <c r="F806" s="98"/>
      <c r="G806" s="98"/>
      <c r="H806" s="98"/>
      <c r="I806" s="98"/>
      <c r="J806" s="98"/>
      <c r="K806" s="98"/>
      <c r="L806" s="98"/>
      <c r="M806" s="98"/>
      <c r="N806" s="98"/>
      <c r="O806" s="98"/>
      <c r="P806" s="98"/>
      <c r="Q806" s="98"/>
      <c r="R806" s="98"/>
      <c r="S806" s="98"/>
      <c r="T806" s="98"/>
      <c r="U806" s="98"/>
      <c r="V806" s="98"/>
    </row>
    <row r="807" spans="4:22" ht="12.75">
      <c r="D807" s="98"/>
      <c r="E807" s="98"/>
      <c r="F807" s="98"/>
      <c r="G807" s="98"/>
      <c r="H807" s="98"/>
      <c r="I807" s="98"/>
      <c r="J807" s="98"/>
      <c r="K807" s="98"/>
      <c r="L807" s="98"/>
      <c r="M807" s="98"/>
      <c r="N807" s="98"/>
      <c r="O807" s="98"/>
      <c r="P807" s="98"/>
      <c r="Q807" s="98"/>
      <c r="R807" s="98"/>
      <c r="S807" s="98"/>
      <c r="T807" s="98"/>
      <c r="U807" s="98"/>
      <c r="V807" s="98"/>
    </row>
    <row r="808" spans="4:22" ht="12.75">
      <c r="D808" s="98"/>
      <c r="E808" s="98"/>
      <c r="F808" s="98"/>
      <c r="G808" s="98"/>
      <c r="H808" s="98"/>
      <c r="I808" s="98"/>
      <c r="J808" s="98"/>
      <c r="K808" s="98"/>
      <c r="L808" s="98"/>
      <c r="M808" s="98"/>
      <c r="N808" s="98"/>
      <c r="O808" s="98"/>
      <c r="P808" s="98"/>
      <c r="Q808" s="98"/>
      <c r="R808" s="98"/>
      <c r="S808" s="98"/>
      <c r="T808" s="98"/>
      <c r="U808" s="98"/>
      <c r="V808" s="98"/>
    </row>
    <row r="809" spans="4:22" ht="12.75">
      <c r="D809" s="98"/>
      <c r="E809" s="98"/>
      <c r="F809" s="98"/>
      <c r="G809" s="98"/>
      <c r="H809" s="98"/>
      <c r="I809" s="98"/>
      <c r="J809" s="98"/>
      <c r="K809" s="98"/>
      <c r="L809" s="98"/>
      <c r="M809" s="98"/>
      <c r="N809" s="98"/>
      <c r="O809" s="98"/>
      <c r="P809" s="98"/>
      <c r="Q809" s="98"/>
      <c r="R809" s="98"/>
      <c r="S809" s="98"/>
      <c r="T809" s="98"/>
      <c r="U809" s="98"/>
      <c r="V809" s="98"/>
    </row>
    <row r="810" spans="4:22" ht="12.75">
      <c r="D810" s="98"/>
      <c r="E810" s="98"/>
      <c r="F810" s="98"/>
      <c r="G810" s="98"/>
      <c r="H810" s="98"/>
      <c r="I810" s="98"/>
      <c r="J810" s="98"/>
      <c r="K810" s="98"/>
      <c r="L810" s="98"/>
      <c r="M810" s="98"/>
      <c r="N810" s="98"/>
      <c r="O810" s="98"/>
      <c r="P810" s="98"/>
      <c r="Q810" s="98"/>
      <c r="R810" s="98"/>
      <c r="S810" s="98"/>
      <c r="T810" s="98"/>
      <c r="U810" s="98"/>
      <c r="V810" s="98"/>
    </row>
    <row r="811" spans="4:22" ht="12.75">
      <c r="D811" s="98"/>
      <c r="E811" s="98"/>
      <c r="F811" s="98"/>
      <c r="G811" s="98"/>
      <c r="H811" s="98"/>
      <c r="I811" s="98"/>
      <c r="J811" s="98"/>
      <c r="K811" s="98"/>
      <c r="L811" s="98"/>
      <c r="M811" s="98"/>
      <c r="N811" s="98"/>
      <c r="O811" s="98"/>
      <c r="P811" s="98"/>
      <c r="Q811" s="98"/>
      <c r="R811" s="98"/>
      <c r="S811" s="98"/>
      <c r="T811" s="98"/>
      <c r="U811" s="98"/>
      <c r="V811" s="98"/>
    </row>
    <row r="812" spans="4:22" ht="12.75">
      <c r="D812" s="98"/>
      <c r="E812" s="98"/>
      <c r="F812" s="98"/>
      <c r="G812" s="98"/>
      <c r="H812" s="98"/>
      <c r="I812" s="98"/>
      <c r="J812" s="98"/>
      <c r="K812" s="98"/>
      <c r="L812" s="98"/>
      <c r="M812" s="98"/>
      <c r="N812" s="98"/>
      <c r="O812" s="98"/>
      <c r="P812" s="98"/>
      <c r="Q812" s="98"/>
      <c r="R812" s="98"/>
      <c r="S812" s="98"/>
      <c r="T812" s="98"/>
      <c r="U812" s="98"/>
      <c r="V812" s="98"/>
    </row>
    <row r="813" spans="4:22" ht="12.75">
      <c r="D813" s="98"/>
      <c r="E813" s="98"/>
      <c r="F813" s="98"/>
      <c r="G813" s="98"/>
      <c r="H813" s="98"/>
      <c r="I813" s="98"/>
      <c r="J813" s="98"/>
      <c r="K813" s="98"/>
      <c r="L813" s="98"/>
      <c r="M813" s="98"/>
      <c r="N813" s="98"/>
      <c r="O813" s="98"/>
      <c r="P813" s="98"/>
      <c r="Q813" s="98"/>
      <c r="R813" s="98"/>
      <c r="S813" s="98"/>
      <c r="T813" s="98"/>
      <c r="U813" s="98"/>
      <c r="V813" s="98"/>
    </row>
    <row r="814" spans="4:22" ht="12.75">
      <c r="D814" s="98"/>
      <c r="E814" s="98"/>
      <c r="F814" s="98"/>
      <c r="G814" s="98"/>
      <c r="H814" s="98"/>
      <c r="I814" s="98"/>
      <c r="J814" s="98"/>
      <c r="K814" s="98"/>
      <c r="L814" s="98"/>
      <c r="M814" s="98"/>
      <c r="N814" s="98"/>
      <c r="O814" s="98"/>
      <c r="P814" s="98"/>
      <c r="Q814" s="98"/>
      <c r="R814" s="98"/>
      <c r="S814" s="98"/>
      <c r="T814" s="98"/>
      <c r="U814" s="98"/>
      <c r="V814" s="98"/>
    </row>
    <row r="815" spans="4:22" ht="12.75">
      <c r="D815" s="98"/>
      <c r="E815" s="98"/>
      <c r="F815" s="98"/>
      <c r="G815" s="98"/>
      <c r="H815" s="98"/>
      <c r="I815" s="98"/>
      <c r="J815" s="98"/>
      <c r="K815" s="98"/>
      <c r="L815" s="98"/>
      <c r="M815" s="98"/>
      <c r="N815" s="98"/>
      <c r="O815" s="98"/>
      <c r="P815" s="98"/>
      <c r="Q815" s="98"/>
      <c r="R815" s="98"/>
      <c r="S815" s="98"/>
      <c r="T815" s="98"/>
      <c r="U815" s="98"/>
      <c r="V815" s="98"/>
    </row>
    <row r="816" spans="4:22" ht="12.75">
      <c r="D816" s="98"/>
      <c r="E816" s="98"/>
      <c r="F816" s="98"/>
      <c r="G816" s="98"/>
      <c r="H816" s="98"/>
      <c r="I816" s="98"/>
      <c r="J816" s="98"/>
      <c r="K816" s="98"/>
      <c r="L816" s="98"/>
      <c r="M816" s="98"/>
      <c r="N816" s="98"/>
      <c r="O816" s="98"/>
      <c r="P816" s="98"/>
      <c r="Q816" s="98"/>
      <c r="R816" s="98"/>
      <c r="S816" s="98"/>
      <c r="T816" s="98"/>
      <c r="U816" s="98"/>
      <c r="V816" s="98"/>
    </row>
    <row r="817" spans="4:22" ht="12.75">
      <c r="D817" s="98"/>
      <c r="E817" s="98"/>
      <c r="F817" s="98"/>
      <c r="G817" s="98"/>
      <c r="H817" s="98"/>
      <c r="I817" s="98"/>
      <c r="J817" s="98"/>
      <c r="K817" s="98"/>
      <c r="L817" s="98"/>
      <c r="M817" s="98"/>
      <c r="N817" s="98"/>
      <c r="O817" s="98"/>
      <c r="P817" s="98"/>
      <c r="Q817" s="98"/>
      <c r="R817" s="98"/>
      <c r="S817" s="98"/>
      <c r="T817" s="98"/>
      <c r="U817" s="98"/>
      <c r="V817" s="98"/>
    </row>
    <row r="818" spans="4:22" ht="12.75">
      <c r="D818" s="98"/>
      <c r="E818" s="98"/>
      <c r="F818" s="98"/>
      <c r="G818" s="98"/>
      <c r="H818" s="98"/>
      <c r="I818" s="98"/>
      <c r="J818" s="98"/>
      <c r="K818" s="98"/>
      <c r="L818" s="98"/>
      <c r="M818" s="98"/>
      <c r="N818" s="98"/>
      <c r="O818" s="98"/>
      <c r="P818" s="98"/>
      <c r="Q818" s="98"/>
      <c r="R818" s="98"/>
      <c r="S818" s="98"/>
      <c r="T818" s="98"/>
      <c r="U818" s="98"/>
      <c r="V818" s="98"/>
    </row>
    <row r="819" spans="4:22" ht="12.75">
      <c r="D819" s="98"/>
      <c r="E819" s="98"/>
      <c r="F819" s="98"/>
      <c r="G819" s="98"/>
      <c r="H819" s="98"/>
      <c r="I819" s="98"/>
      <c r="J819" s="98"/>
      <c r="K819" s="98"/>
      <c r="L819" s="98"/>
      <c r="M819" s="98"/>
      <c r="N819" s="98"/>
      <c r="O819" s="98"/>
      <c r="P819" s="98"/>
      <c r="Q819" s="98"/>
      <c r="R819" s="98"/>
      <c r="S819" s="98"/>
      <c r="T819" s="98"/>
      <c r="U819" s="98"/>
      <c r="V819" s="98"/>
    </row>
    <row r="820" spans="4:22" ht="12.75">
      <c r="D820" s="98"/>
      <c r="E820" s="98"/>
      <c r="F820" s="98"/>
      <c r="G820" s="98"/>
      <c r="H820" s="98"/>
      <c r="I820" s="98"/>
      <c r="J820" s="98"/>
      <c r="K820" s="98"/>
      <c r="L820" s="98"/>
      <c r="M820" s="98"/>
      <c r="N820" s="98"/>
      <c r="O820" s="98"/>
      <c r="P820" s="98"/>
      <c r="Q820" s="98"/>
      <c r="R820" s="98"/>
      <c r="S820" s="98"/>
      <c r="T820" s="98"/>
      <c r="U820" s="98"/>
      <c r="V820" s="98"/>
    </row>
    <row r="821" spans="4:22" ht="12.75">
      <c r="D821" s="98"/>
      <c r="E821" s="98"/>
      <c r="F821" s="98"/>
      <c r="G821" s="98"/>
      <c r="H821" s="98"/>
      <c r="I821" s="98"/>
      <c r="J821" s="98"/>
      <c r="K821" s="98"/>
      <c r="L821" s="98"/>
      <c r="M821" s="98"/>
      <c r="N821" s="98"/>
      <c r="O821" s="98"/>
      <c r="P821" s="98"/>
      <c r="Q821" s="98"/>
      <c r="R821" s="98"/>
      <c r="S821" s="98"/>
      <c r="T821" s="98"/>
      <c r="U821" s="98"/>
      <c r="V821" s="98"/>
    </row>
    <row r="822" spans="4:22" ht="12.75">
      <c r="D822" s="98"/>
      <c r="E822" s="98"/>
      <c r="F822" s="98"/>
      <c r="G822" s="98"/>
      <c r="H822" s="98"/>
      <c r="I822" s="98"/>
      <c r="J822" s="98"/>
      <c r="K822" s="98"/>
      <c r="L822" s="98"/>
      <c r="M822" s="98"/>
      <c r="N822" s="98"/>
      <c r="O822" s="98"/>
      <c r="P822" s="98"/>
      <c r="Q822" s="98"/>
      <c r="R822" s="98"/>
      <c r="S822" s="98"/>
      <c r="T822" s="98"/>
      <c r="U822" s="98"/>
      <c r="V822" s="98"/>
    </row>
    <row r="823" spans="4:22" ht="12.75">
      <c r="D823" s="98"/>
      <c r="E823" s="98"/>
      <c r="F823" s="98"/>
      <c r="G823" s="98"/>
      <c r="H823" s="98"/>
      <c r="I823" s="98"/>
      <c r="J823" s="98"/>
      <c r="K823" s="98"/>
      <c r="L823" s="98"/>
      <c r="M823" s="98"/>
      <c r="N823" s="98"/>
      <c r="O823" s="98"/>
      <c r="P823" s="98"/>
      <c r="Q823" s="98"/>
      <c r="R823" s="98"/>
      <c r="S823" s="98"/>
      <c r="T823" s="98"/>
      <c r="U823" s="98"/>
      <c r="V823" s="98"/>
    </row>
    <row r="824" spans="4:22" ht="12.75">
      <c r="D824" s="98"/>
      <c r="E824" s="98"/>
      <c r="F824" s="98"/>
      <c r="G824" s="98"/>
      <c r="H824" s="98"/>
      <c r="I824" s="98"/>
      <c r="J824" s="98"/>
      <c r="K824" s="98"/>
      <c r="L824" s="98"/>
      <c r="M824" s="98"/>
      <c r="N824" s="98"/>
      <c r="O824" s="98"/>
      <c r="P824" s="98"/>
      <c r="Q824" s="98"/>
      <c r="R824" s="98"/>
      <c r="S824" s="98"/>
      <c r="T824" s="98"/>
      <c r="U824" s="98"/>
      <c r="V824" s="98"/>
    </row>
    <row r="825" spans="4:22" ht="12.75">
      <c r="D825" s="98"/>
      <c r="E825" s="98"/>
      <c r="F825" s="98"/>
      <c r="G825" s="98"/>
      <c r="H825" s="98"/>
      <c r="I825" s="98"/>
      <c r="J825" s="98"/>
      <c r="K825" s="98"/>
      <c r="L825" s="98"/>
      <c r="M825" s="98"/>
      <c r="N825" s="98"/>
      <c r="O825" s="98"/>
      <c r="P825" s="98"/>
      <c r="Q825" s="98"/>
      <c r="R825" s="98"/>
      <c r="S825" s="98"/>
      <c r="T825" s="98"/>
      <c r="U825" s="98"/>
      <c r="V825" s="98"/>
    </row>
    <row r="826" spans="4:22" ht="12.75">
      <c r="D826" s="98"/>
      <c r="E826" s="98"/>
      <c r="F826" s="98"/>
      <c r="G826" s="98"/>
      <c r="H826" s="98"/>
      <c r="I826" s="98"/>
      <c r="J826" s="98"/>
      <c r="K826" s="98"/>
      <c r="L826" s="98"/>
      <c r="M826" s="98"/>
      <c r="N826" s="98"/>
      <c r="O826" s="98"/>
      <c r="P826" s="98"/>
      <c r="Q826" s="98"/>
      <c r="R826" s="98"/>
      <c r="S826" s="98"/>
      <c r="T826" s="98"/>
      <c r="U826" s="98"/>
      <c r="V826" s="98"/>
    </row>
    <row r="827" spans="4:22" ht="12.75">
      <c r="D827" s="98"/>
      <c r="E827" s="98"/>
      <c r="F827" s="98"/>
      <c r="G827" s="98"/>
      <c r="H827" s="98"/>
      <c r="I827" s="98"/>
      <c r="J827" s="98"/>
      <c r="K827" s="98"/>
      <c r="L827" s="98"/>
      <c r="M827" s="98"/>
      <c r="N827" s="98"/>
      <c r="O827" s="98"/>
      <c r="P827" s="98"/>
      <c r="Q827" s="98"/>
      <c r="R827" s="98"/>
      <c r="S827" s="98"/>
      <c r="T827" s="98"/>
      <c r="U827" s="98"/>
      <c r="V827" s="98"/>
    </row>
    <row r="828" spans="4:22" ht="12.75">
      <c r="D828" s="98"/>
      <c r="E828" s="98"/>
      <c r="F828" s="98"/>
      <c r="G828" s="98"/>
      <c r="H828" s="98"/>
      <c r="I828" s="98"/>
      <c r="J828" s="98"/>
      <c r="K828" s="98"/>
      <c r="L828" s="98"/>
      <c r="M828" s="98"/>
      <c r="N828" s="98"/>
      <c r="O828" s="98"/>
      <c r="P828" s="98"/>
      <c r="Q828" s="98"/>
      <c r="R828" s="98"/>
      <c r="S828" s="98"/>
      <c r="T828" s="98"/>
      <c r="U828" s="98"/>
      <c r="V828" s="98"/>
    </row>
    <row r="829" spans="4:22" ht="12.75">
      <c r="D829" s="98"/>
      <c r="E829" s="98"/>
      <c r="F829" s="98"/>
      <c r="G829" s="98"/>
      <c r="H829" s="98"/>
      <c r="I829" s="98"/>
      <c r="J829" s="98"/>
      <c r="K829" s="98"/>
      <c r="L829" s="98"/>
      <c r="M829" s="98"/>
      <c r="N829" s="98"/>
      <c r="O829" s="98"/>
      <c r="P829" s="98"/>
      <c r="Q829" s="98"/>
      <c r="R829" s="98"/>
      <c r="S829" s="98"/>
      <c r="T829" s="98"/>
      <c r="U829" s="98"/>
      <c r="V829" s="98"/>
    </row>
    <row r="830" spans="4:22" ht="12.75">
      <c r="D830" s="98"/>
      <c r="E830" s="98"/>
      <c r="F830" s="98"/>
      <c r="G830" s="98"/>
      <c r="H830" s="98"/>
      <c r="I830" s="98"/>
      <c r="J830" s="98"/>
      <c r="K830" s="98"/>
      <c r="L830" s="98"/>
      <c r="M830" s="98"/>
      <c r="N830" s="98"/>
      <c r="O830" s="98"/>
      <c r="P830" s="98"/>
      <c r="Q830" s="98"/>
      <c r="R830" s="98"/>
      <c r="S830" s="98"/>
      <c r="T830" s="98"/>
      <c r="U830" s="98"/>
      <c r="V830" s="98"/>
    </row>
    <row r="831" spans="4:22" ht="12.75">
      <c r="D831" s="98"/>
      <c r="E831" s="98"/>
      <c r="F831" s="98"/>
      <c r="G831" s="98"/>
      <c r="H831" s="98"/>
      <c r="I831" s="98"/>
      <c r="J831" s="98"/>
      <c r="K831" s="98"/>
      <c r="L831" s="98"/>
      <c r="M831" s="98"/>
      <c r="N831" s="98"/>
      <c r="O831" s="98"/>
      <c r="P831" s="98"/>
      <c r="Q831" s="98"/>
      <c r="R831" s="98"/>
      <c r="S831" s="98"/>
      <c r="T831" s="98"/>
      <c r="U831" s="98"/>
      <c r="V831" s="98"/>
    </row>
    <row r="832" spans="4:22" ht="12.75">
      <c r="D832" s="98"/>
      <c r="E832" s="98"/>
      <c r="F832" s="98"/>
      <c r="G832" s="98"/>
      <c r="H832" s="98"/>
      <c r="I832" s="98"/>
      <c r="J832" s="98"/>
      <c r="K832" s="98"/>
      <c r="L832" s="98"/>
      <c r="M832" s="98"/>
      <c r="N832" s="98"/>
      <c r="O832" s="98"/>
      <c r="P832" s="98"/>
      <c r="Q832" s="98"/>
      <c r="R832" s="98"/>
      <c r="S832" s="98"/>
      <c r="T832" s="98"/>
      <c r="U832" s="98"/>
      <c r="V832" s="98"/>
    </row>
    <row r="833" spans="4:22" ht="12.75">
      <c r="D833" s="98"/>
      <c r="E833" s="98"/>
      <c r="F833" s="98"/>
      <c r="G833" s="98"/>
      <c r="H833" s="98"/>
      <c r="I833" s="98"/>
      <c r="J833" s="98"/>
      <c r="K833" s="98"/>
      <c r="L833" s="98"/>
      <c r="M833" s="98"/>
      <c r="N833" s="98"/>
      <c r="O833" s="98"/>
      <c r="P833" s="98"/>
      <c r="Q833" s="98"/>
      <c r="R833" s="98"/>
      <c r="S833" s="98"/>
      <c r="T833" s="98"/>
      <c r="U833" s="98"/>
      <c r="V833" s="98"/>
    </row>
    <row r="834" spans="4:22" ht="12.75">
      <c r="D834" s="98"/>
      <c r="E834" s="98"/>
      <c r="F834" s="98"/>
      <c r="G834" s="98"/>
      <c r="H834" s="98"/>
      <c r="I834" s="98"/>
      <c r="J834" s="98"/>
      <c r="K834" s="98"/>
      <c r="L834" s="98"/>
      <c r="M834" s="98"/>
      <c r="N834" s="98"/>
      <c r="O834" s="98"/>
      <c r="P834" s="98"/>
      <c r="Q834" s="98"/>
      <c r="R834" s="98"/>
      <c r="S834" s="98"/>
      <c r="T834" s="98"/>
      <c r="U834" s="98"/>
      <c r="V834" s="98"/>
    </row>
    <row r="835" spans="4:22" ht="12.75">
      <c r="D835" s="98"/>
      <c r="E835" s="98"/>
      <c r="F835" s="98"/>
      <c r="G835" s="98"/>
      <c r="H835" s="98"/>
      <c r="I835" s="98"/>
      <c r="J835" s="98"/>
      <c r="K835" s="98"/>
      <c r="L835" s="98"/>
      <c r="M835" s="98"/>
      <c r="N835" s="98"/>
      <c r="O835" s="98"/>
      <c r="P835" s="98"/>
      <c r="Q835" s="98"/>
      <c r="R835" s="98"/>
      <c r="S835" s="98"/>
      <c r="T835" s="98"/>
      <c r="U835" s="98"/>
      <c r="V835" s="98"/>
    </row>
    <row r="836" spans="4:22" ht="12.75">
      <c r="D836" s="98"/>
      <c r="E836" s="98"/>
      <c r="F836" s="98"/>
      <c r="G836" s="98"/>
      <c r="H836" s="98"/>
      <c r="I836" s="98"/>
      <c r="J836" s="98"/>
      <c r="K836" s="98"/>
      <c r="L836" s="98"/>
      <c r="M836" s="98"/>
      <c r="N836" s="98"/>
      <c r="O836" s="98"/>
      <c r="P836" s="98"/>
      <c r="Q836" s="98"/>
      <c r="R836" s="98"/>
      <c r="S836" s="98"/>
      <c r="T836" s="98"/>
      <c r="U836" s="98"/>
      <c r="V836" s="98"/>
    </row>
    <row r="837" spans="4:22" ht="12.75">
      <c r="D837" s="98"/>
      <c r="E837" s="98"/>
      <c r="F837" s="98"/>
      <c r="G837" s="98"/>
      <c r="H837" s="98"/>
      <c r="I837" s="98"/>
      <c r="J837" s="98"/>
      <c r="K837" s="98"/>
      <c r="L837" s="98"/>
      <c r="M837" s="98"/>
      <c r="N837" s="98"/>
      <c r="O837" s="98"/>
      <c r="P837" s="98"/>
      <c r="Q837" s="98"/>
      <c r="R837" s="98"/>
      <c r="S837" s="98"/>
      <c r="T837" s="98"/>
      <c r="U837" s="98"/>
      <c r="V837" s="98"/>
    </row>
    <row r="838" spans="4:22" ht="12.75">
      <c r="D838" s="98"/>
      <c r="E838" s="98"/>
      <c r="F838" s="98"/>
      <c r="G838" s="98"/>
      <c r="H838" s="98"/>
      <c r="I838" s="98"/>
      <c r="J838" s="98"/>
      <c r="K838" s="98"/>
      <c r="L838" s="98"/>
      <c r="M838" s="98"/>
      <c r="N838" s="98"/>
      <c r="O838" s="98"/>
      <c r="P838" s="98"/>
      <c r="Q838" s="98"/>
      <c r="R838" s="98"/>
      <c r="S838" s="98"/>
      <c r="T838" s="98"/>
      <c r="U838" s="98"/>
      <c r="V838" s="98"/>
    </row>
    <row r="839" spans="4:22" ht="12.75">
      <c r="D839" s="98"/>
      <c r="E839" s="98"/>
      <c r="F839" s="98"/>
      <c r="G839" s="98"/>
      <c r="H839" s="98"/>
      <c r="I839" s="98"/>
      <c r="J839" s="98"/>
      <c r="K839" s="98"/>
      <c r="L839" s="98"/>
      <c r="M839" s="98"/>
      <c r="N839" s="98"/>
      <c r="O839" s="98"/>
      <c r="P839" s="98"/>
      <c r="Q839" s="98"/>
      <c r="R839" s="98"/>
      <c r="S839" s="98"/>
      <c r="T839" s="98"/>
      <c r="U839" s="98"/>
      <c r="V839" s="98"/>
    </row>
    <row r="840" spans="4:22" ht="12.75">
      <c r="D840" s="98"/>
      <c r="E840" s="98"/>
      <c r="F840" s="98"/>
      <c r="G840" s="98"/>
      <c r="H840" s="98"/>
      <c r="I840" s="98"/>
      <c r="J840" s="98"/>
      <c r="K840" s="98"/>
      <c r="L840" s="98"/>
      <c r="M840" s="98"/>
      <c r="N840" s="98"/>
      <c r="O840" s="98"/>
      <c r="P840" s="98"/>
      <c r="Q840" s="98"/>
      <c r="R840" s="98"/>
      <c r="S840" s="98"/>
      <c r="T840" s="98"/>
      <c r="U840" s="98"/>
      <c r="V840" s="98"/>
    </row>
    <row r="841" spans="4:22" ht="12.75">
      <c r="D841" s="98"/>
      <c r="E841" s="98"/>
      <c r="F841" s="98"/>
      <c r="G841" s="98"/>
      <c r="H841" s="98"/>
      <c r="I841" s="98"/>
      <c r="J841" s="98"/>
      <c r="K841" s="98"/>
      <c r="L841" s="98"/>
      <c r="M841" s="98"/>
      <c r="N841" s="98"/>
      <c r="O841" s="98"/>
      <c r="P841" s="98"/>
      <c r="Q841" s="98"/>
      <c r="R841" s="98"/>
      <c r="S841" s="98"/>
      <c r="T841" s="98"/>
      <c r="U841" s="98"/>
      <c r="V841" s="98"/>
    </row>
    <row r="842" spans="4:22" ht="12.75">
      <c r="D842" s="98"/>
      <c r="E842" s="98"/>
      <c r="F842" s="98"/>
      <c r="G842" s="98"/>
      <c r="H842" s="98"/>
      <c r="I842" s="98"/>
      <c r="J842" s="98"/>
      <c r="K842" s="98"/>
      <c r="L842" s="98"/>
      <c r="M842" s="98"/>
      <c r="N842" s="98"/>
      <c r="O842" s="98"/>
      <c r="P842" s="98"/>
      <c r="Q842" s="98"/>
      <c r="R842" s="98"/>
      <c r="S842" s="98"/>
      <c r="T842" s="98"/>
      <c r="U842" s="98"/>
      <c r="V842" s="98"/>
    </row>
    <row r="843" spans="4:22" ht="12.75">
      <c r="D843" s="98"/>
      <c r="E843" s="98"/>
      <c r="F843" s="98"/>
      <c r="G843" s="98"/>
      <c r="H843" s="98"/>
      <c r="I843" s="98"/>
      <c r="J843" s="98"/>
      <c r="K843" s="98"/>
      <c r="L843" s="98"/>
      <c r="M843" s="98"/>
      <c r="N843" s="98"/>
      <c r="O843" s="98"/>
      <c r="P843" s="98"/>
      <c r="Q843" s="98"/>
      <c r="R843" s="98"/>
      <c r="S843" s="98"/>
      <c r="T843" s="98"/>
      <c r="U843" s="98"/>
      <c r="V843" s="98"/>
    </row>
    <row r="844" spans="4:22" ht="12.75">
      <c r="D844" s="98"/>
      <c r="E844" s="98"/>
      <c r="F844" s="98"/>
      <c r="G844" s="98"/>
      <c r="H844" s="98"/>
      <c r="I844" s="98"/>
      <c r="J844" s="98"/>
      <c r="K844" s="98"/>
      <c r="L844" s="98"/>
      <c r="M844" s="98"/>
      <c r="N844" s="98"/>
      <c r="O844" s="98"/>
      <c r="P844" s="98"/>
      <c r="Q844" s="98"/>
      <c r="R844" s="98"/>
      <c r="S844" s="98"/>
      <c r="T844" s="98"/>
      <c r="U844" s="98"/>
      <c r="V844" s="98"/>
    </row>
    <row r="845" spans="4:22" ht="12.75">
      <c r="D845" s="98"/>
      <c r="E845" s="98"/>
      <c r="F845" s="98"/>
      <c r="G845" s="98"/>
      <c r="H845" s="98"/>
      <c r="I845" s="98"/>
      <c r="J845" s="98"/>
      <c r="K845" s="98"/>
      <c r="L845" s="98"/>
      <c r="M845" s="98"/>
      <c r="N845" s="98"/>
      <c r="O845" s="98"/>
      <c r="P845" s="98"/>
      <c r="Q845" s="98"/>
      <c r="R845" s="98"/>
      <c r="S845" s="98"/>
      <c r="T845" s="98"/>
      <c r="U845" s="98"/>
      <c r="V845" s="98"/>
    </row>
    <row r="846" spans="4:22" ht="12.75">
      <c r="D846" s="98"/>
      <c r="E846" s="98"/>
      <c r="F846" s="98"/>
      <c r="G846" s="98"/>
      <c r="H846" s="98"/>
      <c r="I846" s="98"/>
      <c r="J846" s="98"/>
      <c r="K846" s="98"/>
      <c r="L846" s="98"/>
      <c r="M846" s="98"/>
      <c r="N846" s="98"/>
      <c r="O846" s="98"/>
      <c r="P846" s="98"/>
      <c r="Q846" s="98"/>
      <c r="R846" s="98"/>
      <c r="S846" s="98"/>
      <c r="T846" s="98"/>
      <c r="U846" s="98"/>
      <c r="V846" s="98"/>
    </row>
    <row r="847" spans="4:22" ht="12.75">
      <c r="D847" s="98"/>
      <c r="E847" s="98"/>
      <c r="F847" s="98"/>
      <c r="G847" s="98"/>
      <c r="H847" s="98"/>
      <c r="I847" s="98"/>
      <c r="J847" s="98"/>
      <c r="K847" s="98"/>
      <c r="L847" s="98"/>
      <c r="M847" s="98"/>
      <c r="N847" s="98"/>
      <c r="O847" s="98"/>
      <c r="P847" s="98"/>
      <c r="Q847" s="98"/>
      <c r="R847" s="98"/>
      <c r="S847" s="98"/>
      <c r="T847" s="98"/>
      <c r="U847" s="98"/>
      <c r="V847" s="98"/>
    </row>
    <row r="848" spans="4:22" ht="12.75">
      <c r="D848" s="98"/>
      <c r="E848" s="98"/>
      <c r="F848" s="98"/>
      <c r="G848" s="98"/>
      <c r="H848" s="98"/>
      <c r="I848" s="98"/>
      <c r="J848" s="98"/>
      <c r="K848" s="98"/>
      <c r="L848" s="98"/>
      <c r="M848" s="98"/>
      <c r="N848" s="98"/>
      <c r="O848" s="98"/>
      <c r="P848" s="98"/>
      <c r="Q848" s="98"/>
      <c r="R848" s="98"/>
      <c r="S848" s="98"/>
      <c r="T848" s="98"/>
      <c r="U848" s="98"/>
      <c r="V848" s="98"/>
    </row>
    <row r="849" spans="4:22" ht="12.75">
      <c r="D849" s="98"/>
      <c r="E849" s="98"/>
      <c r="F849" s="98"/>
      <c r="G849" s="98"/>
      <c r="H849" s="98"/>
      <c r="I849" s="98"/>
      <c r="J849" s="98"/>
      <c r="K849" s="98"/>
      <c r="L849" s="98"/>
      <c r="M849" s="98"/>
      <c r="N849" s="98"/>
      <c r="O849" s="98"/>
      <c r="P849" s="98"/>
      <c r="Q849" s="98"/>
      <c r="R849" s="98"/>
      <c r="S849" s="98"/>
      <c r="T849" s="98"/>
      <c r="U849" s="98"/>
      <c r="V849" s="98"/>
    </row>
    <row r="850" spans="4:22" ht="12.75">
      <c r="D850" s="98"/>
      <c r="E850" s="98"/>
      <c r="F850" s="98"/>
      <c r="G850" s="98"/>
      <c r="H850" s="98"/>
      <c r="I850" s="98"/>
      <c r="J850" s="98"/>
      <c r="K850" s="98"/>
      <c r="L850" s="98"/>
      <c r="M850" s="98"/>
      <c r="N850" s="98"/>
      <c r="O850" s="98"/>
      <c r="P850" s="98"/>
      <c r="Q850" s="98"/>
      <c r="R850" s="98"/>
      <c r="S850" s="98"/>
      <c r="T850" s="98"/>
      <c r="U850" s="98"/>
      <c r="V850" s="98"/>
    </row>
    <row r="851" spans="4:22" ht="12.75">
      <c r="D851" s="98"/>
      <c r="E851" s="98"/>
      <c r="F851" s="98"/>
      <c r="G851" s="98"/>
      <c r="H851" s="98"/>
      <c r="I851" s="98"/>
      <c r="J851" s="98"/>
      <c r="K851" s="98"/>
      <c r="L851" s="98"/>
      <c r="M851" s="98"/>
      <c r="N851" s="98"/>
      <c r="O851" s="98"/>
      <c r="P851" s="98"/>
      <c r="Q851" s="98"/>
      <c r="R851" s="98"/>
      <c r="S851" s="98"/>
      <c r="T851" s="98"/>
      <c r="U851" s="98"/>
      <c r="V851" s="98"/>
    </row>
    <row r="852" spans="4:22" ht="12.75">
      <c r="D852" s="98"/>
      <c r="E852" s="98"/>
      <c r="F852" s="98"/>
      <c r="G852" s="98"/>
      <c r="H852" s="98"/>
      <c r="I852" s="98"/>
      <c r="J852" s="98"/>
      <c r="K852" s="98"/>
      <c r="L852" s="98"/>
      <c r="M852" s="98"/>
      <c r="N852" s="98"/>
      <c r="O852" s="98"/>
      <c r="P852" s="98"/>
      <c r="Q852" s="98"/>
      <c r="R852" s="98"/>
      <c r="S852" s="98"/>
      <c r="T852" s="98"/>
      <c r="U852" s="98"/>
      <c r="V852" s="98"/>
    </row>
    <row r="853" spans="4:22" ht="12.75">
      <c r="D853" s="98"/>
      <c r="E853" s="98"/>
      <c r="F853" s="98"/>
      <c r="G853" s="98"/>
      <c r="H853" s="98"/>
      <c r="I853" s="98"/>
      <c r="J853" s="98"/>
      <c r="K853" s="98"/>
      <c r="L853" s="98"/>
      <c r="M853" s="98"/>
      <c r="N853" s="98"/>
      <c r="O853" s="98"/>
      <c r="P853" s="98"/>
      <c r="Q853" s="98"/>
      <c r="R853" s="98"/>
      <c r="S853" s="98"/>
      <c r="T853" s="98"/>
      <c r="U853" s="98"/>
      <c r="V853" s="98"/>
    </row>
    <row r="854" spans="4:22" ht="12.75">
      <c r="D854" s="98"/>
      <c r="E854" s="98"/>
      <c r="F854" s="98"/>
      <c r="G854" s="98"/>
      <c r="H854" s="98"/>
      <c r="I854" s="98"/>
      <c r="J854" s="98"/>
      <c r="K854" s="98"/>
      <c r="L854" s="98"/>
      <c r="M854" s="98"/>
      <c r="N854" s="98"/>
      <c r="O854" s="98"/>
      <c r="P854" s="98"/>
      <c r="Q854" s="98"/>
      <c r="R854" s="98"/>
      <c r="S854" s="98"/>
      <c r="T854" s="98"/>
      <c r="U854" s="98"/>
      <c r="V854" s="98"/>
    </row>
    <row r="855" spans="4:22" ht="12.75">
      <c r="D855" s="98"/>
      <c r="E855" s="98"/>
      <c r="F855" s="98"/>
      <c r="G855" s="98"/>
      <c r="H855" s="98"/>
      <c r="I855" s="98"/>
      <c r="J855" s="98"/>
      <c r="K855" s="98"/>
      <c r="L855" s="98"/>
      <c r="M855" s="98"/>
      <c r="N855" s="98"/>
      <c r="O855" s="98"/>
      <c r="P855" s="98"/>
      <c r="Q855" s="98"/>
      <c r="R855" s="98"/>
      <c r="S855" s="98"/>
      <c r="T855" s="98"/>
      <c r="U855" s="98"/>
      <c r="V855" s="98"/>
    </row>
    <row r="856" spans="4:22" ht="12.75">
      <c r="D856" s="98"/>
      <c r="E856" s="98"/>
      <c r="F856" s="98"/>
      <c r="G856" s="98"/>
      <c r="H856" s="98"/>
      <c r="I856" s="98"/>
      <c r="J856" s="98"/>
      <c r="K856" s="98"/>
      <c r="L856" s="98"/>
      <c r="M856" s="98"/>
      <c r="N856" s="98"/>
      <c r="O856" s="98"/>
      <c r="P856" s="98"/>
      <c r="Q856" s="98"/>
      <c r="R856" s="98"/>
      <c r="S856" s="98"/>
      <c r="T856" s="98"/>
      <c r="U856" s="98"/>
      <c r="V856" s="98"/>
    </row>
  </sheetData>
  <sheetProtection/>
  <mergeCells count="10">
    <mergeCell ref="A1:R1"/>
    <mergeCell ref="A2:R2"/>
    <mergeCell ref="A48:L48"/>
    <mergeCell ref="A55:L55"/>
    <mergeCell ref="A5:L5"/>
    <mergeCell ref="A12:L12"/>
    <mergeCell ref="A19:L19"/>
    <mergeCell ref="A26:L26"/>
    <mergeCell ref="A34:L34"/>
    <mergeCell ref="A41:L41"/>
  </mergeCells>
  <printOptions/>
  <pageMargins left="0.17" right="0.17" top="0.4" bottom="0.6" header="0.24" footer="0.24"/>
  <pageSetup fitToHeight="1" fitToWidth="1" horizontalDpi="600" verticalDpi="600" orientation="landscape" scale="64" r:id="rId1"/>
  <headerFooter scaleWithDoc="0" alignWithMargins="0">
    <oddFooter>&amp;L&amp;6&amp;A - Results by Program Year&amp;R&amp;6printed &amp;D at &amp;T</oddFooter>
  </headerFooter>
</worksheet>
</file>

<file path=xl/worksheets/sheet3.xml><?xml version="1.0" encoding="utf-8"?>
<worksheet xmlns="http://schemas.openxmlformats.org/spreadsheetml/2006/main" xmlns:r="http://schemas.openxmlformats.org/officeDocument/2006/relationships">
  <sheetPr>
    <tabColor theme="6"/>
    <outlinePr summaryRight="0"/>
    <pageSetUpPr fitToPage="1"/>
  </sheetPr>
  <dimension ref="A1:S58"/>
  <sheetViews>
    <sheetView showGridLines="0" zoomScale="85" zoomScaleNormal="85" zoomScalePageLayoutView="0" workbookViewId="0" topLeftCell="A1">
      <selection activeCell="A1" sqref="A1:R1"/>
    </sheetView>
  </sheetViews>
  <sheetFormatPr defaultColWidth="9.140625" defaultRowHeight="12.75" outlineLevelCol="1"/>
  <cols>
    <col min="1" max="1" width="29.7109375" style="0" customWidth="1"/>
    <col min="2" max="3" width="12.7109375" style="117" bestFit="1" customWidth="1"/>
    <col min="4" max="6" width="11.7109375" style="0" customWidth="1" outlineLevel="1"/>
    <col min="7" max="13" width="12.7109375" style="0" customWidth="1" outlineLevel="1"/>
    <col min="14" max="15" width="12.7109375" style="0" bestFit="1" customWidth="1"/>
    <col min="16" max="17" width="12.7109375" style="0" customWidth="1"/>
    <col min="18" max="18" width="14.421875" style="136" bestFit="1" customWidth="1"/>
    <col min="19" max="19" width="19.57421875" style="0" bestFit="1" customWidth="1"/>
  </cols>
  <sheetData>
    <row r="1" spans="1:18" ht="12.75">
      <c r="A1" s="482" t="s">
        <v>63</v>
      </c>
      <c r="B1" s="482"/>
      <c r="C1" s="482"/>
      <c r="D1" s="482"/>
      <c r="E1" s="482"/>
      <c r="F1" s="482"/>
      <c r="G1" s="482"/>
      <c r="H1" s="482"/>
      <c r="I1" s="482"/>
      <c r="J1" s="482"/>
      <c r="K1" s="482"/>
      <c r="L1" s="482"/>
      <c r="M1" s="482"/>
      <c r="N1" s="482"/>
      <c r="O1" s="482"/>
      <c r="P1" s="482"/>
      <c r="Q1" s="482"/>
      <c r="R1" s="482"/>
    </row>
    <row r="2" spans="1:18" ht="12.75">
      <c r="A2" s="482" t="s">
        <v>387</v>
      </c>
      <c r="B2" s="482"/>
      <c r="C2" s="482"/>
      <c r="D2" s="482"/>
      <c r="E2" s="482"/>
      <c r="F2" s="482"/>
      <c r="G2" s="482"/>
      <c r="H2" s="482"/>
      <c r="I2" s="482"/>
      <c r="J2" s="482"/>
      <c r="K2" s="482"/>
      <c r="L2" s="482"/>
      <c r="M2" s="482"/>
      <c r="N2" s="482"/>
      <c r="O2" s="482"/>
      <c r="P2" s="482"/>
      <c r="Q2" s="482"/>
      <c r="R2" s="482"/>
    </row>
    <row r="3" ht="15">
      <c r="A3" s="416" t="s">
        <v>386</v>
      </c>
    </row>
    <row r="4" spans="1:18" ht="27.75">
      <c r="A4" s="411" t="s">
        <v>253</v>
      </c>
      <c r="B4" s="196" t="s">
        <v>289</v>
      </c>
      <c r="C4" s="196" t="s">
        <v>461</v>
      </c>
      <c r="D4" s="28">
        <v>2001</v>
      </c>
      <c r="E4" s="28">
        <v>2002</v>
      </c>
      <c r="F4" s="28">
        <v>2003</v>
      </c>
      <c r="G4" s="28">
        <v>2004</v>
      </c>
      <c r="H4" s="28">
        <v>2005</v>
      </c>
      <c r="I4" s="28">
        <v>2006</v>
      </c>
      <c r="J4" s="28">
        <v>2007</v>
      </c>
      <c r="K4" s="28">
        <v>2008</v>
      </c>
      <c r="L4" s="28">
        <v>2009</v>
      </c>
      <c r="M4" s="28">
        <v>2010</v>
      </c>
      <c r="N4" s="28">
        <v>2011</v>
      </c>
      <c r="O4" s="196" t="s">
        <v>348</v>
      </c>
      <c r="P4" s="196" t="s">
        <v>351</v>
      </c>
      <c r="Q4" s="196" t="s">
        <v>440</v>
      </c>
      <c r="R4" s="196" t="str">
        <f>"Total "&amp;CHAR(10)&amp;D4&amp;" ~ "&amp;Q4</f>
        <v>Total 
2001 ~ FY2015</v>
      </c>
    </row>
    <row r="5" spans="1:19" ht="12.75">
      <c r="A5" s="427" t="s">
        <v>283</v>
      </c>
      <c r="B5" s="247">
        <f>SUM(D5:H5)</f>
        <v>251936000</v>
      </c>
      <c r="C5" s="247">
        <f>SUM(I5:M5)</f>
        <v>386963158.53</v>
      </c>
      <c r="D5" s="247">
        <v>35483000</v>
      </c>
      <c r="E5" s="247">
        <v>46467000</v>
      </c>
      <c r="F5" s="247">
        <f>14444000+15365000+911000+872000+4219000+303000+14756000+679000</f>
        <v>51549000</v>
      </c>
      <c r="G5" s="247">
        <v>60534000</v>
      </c>
      <c r="H5" s="247">
        <v>57903000</v>
      </c>
      <c r="I5" s="247">
        <v>56524000</v>
      </c>
      <c r="J5" s="248">
        <v>67386000</v>
      </c>
      <c r="K5" s="247">
        <f>62844000</f>
        <v>62844000</v>
      </c>
      <c r="L5" s="247">
        <f>52670164.21+30741450.93</f>
        <v>83411615.14</v>
      </c>
      <c r="M5" s="247">
        <f>85420354.49+31377188.9</f>
        <v>116797543.38999999</v>
      </c>
      <c r="N5" s="247">
        <f>59985128.88+28405761.97</f>
        <v>88390890.85</v>
      </c>
      <c r="O5" s="247">
        <f>95698921.97+48397526.8</f>
        <v>144096448.76999998</v>
      </c>
      <c r="P5" s="247">
        <f>72410949.54+31739536.69</f>
        <v>104150486.23</v>
      </c>
      <c r="Q5" s="247">
        <v>100411426.78999999</v>
      </c>
      <c r="R5" s="247">
        <f aca="true" t="shared" si="0" ref="R5:R13">SUM(D5:Q5)</f>
        <v>1075948411.17</v>
      </c>
      <c r="S5" t="s">
        <v>262</v>
      </c>
    </row>
    <row r="6" spans="1:19" ht="12.75">
      <c r="A6" s="427" t="s">
        <v>401</v>
      </c>
      <c r="B6" s="247">
        <f aca="true" t="shared" si="1" ref="B6:B13">SUM(D6:H6)</f>
        <v>164374000</v>
      </c>
      <c r="C6" s="247">
        <f aca="true" t="shared" si="2" ref="C6:C13">SUM(I6:M6)</f>
        <v>139880419.66</v>
      </c>
      <c r="D6" s="247">
        <f>12501000+8586000</f>
        <v>21087000</v>
      </c>
      <c r="E6" s="248">
        <f>38839000+7952000</f>
        <v>46791000</v>
      </c>
      <c r="F6" s="247">
        <f>3832000+25095000+1628000+5916000+39000+255000</f>
        <v>36765000</v>
      </c>
      <c r="G6" s="247">
        <v>32219000</v>
      </c>
      <c r="H6" s="247">
        <v>27512000</v>
      </c>
      <c r="I6" s="247">
        <f>21943000+1175000</f>
        <v>23118000</v>
      </c>
      <c r="J6" s="248">
        <f>19652000+3040000</f>
        <v>22692000</v>
      </c>
      <c r="K6" s="247">
        <f>16560000+3048000</f>
        <v>19608000</v>
      </c>
      <c r="L6" s="247">
        <f>23837277.25+3709765.51+10000000</f>
        <v>37547042.76</v>
      </c>
      <c r="M6" s="247">
        <f>36616429+298947.9</f>
        <v>36915376.9</v>
      </c>
      <c r="N6" s="247">
        <f>50068865.6+576044.74</f>
        <v>50644910.34</v>
      </c>
      <c r="O6" s="247">
        <f>91152041.87+1218644.3</f>
        <v>92370686.17</v>
      </c>
      <c r="P6" s="247">
        <v>73947195.38</v>
      </c>
      <c r="Q6" s="247">
        <v>87465548.22</v>
      </c>
      <c r="R6" s="247">
        <f t="shared" si="0"/>
        <v>608682759.77</v>
      </c>
      <c r="S6" s="12" t="s">
        <v>263</v>
      </c>
    </row>
    <row r="7" spans="1:19" ht="12.75">
      <c r="A7" s="181" t="s">
        <v>75</v>
      </c>
      <c r="B7" s="244">
        <f t="shared" si="1"/>
        <v>416309160</v>
      </c>
      <c r="C7" s="244">
        <f t="shared" si="2"/>
        <v>526843578.18999994</v>
      </c>
      <c r="D7" s="244">
        <f>56570*1000</f>
        <v>56570000</v>
      </c>
      <c r="E7" s="244">
        <f>93258*1000</f>
        <v>93258000</v>
      </c>
      <c r="F7" s="244">
        <f>88314*1000</f>
        <v>88314000</v>
      </c>
      <c r="G7" s="244">
        <f>92753*1000</f>
        <v>92753000</v>
      </c>
      <c r="H7" s="185">
        <f>85414.16*1000</f>
        <v>85414160</v>
      </c>
      <c r="I7" s="244">
        <f>79642*1000</f>
        <v>79642000</v>
      </c>
      <c r="J7" s="185">
        <f>90078*1000</f>
        <v>90078000</v>
      </c>
      <c r="K7" s="244">
        <f>82452*1000</f>
        <v>82452000</v>
      </c>
      <c r="L7" s="244">
        <v>120958657.9</v>
      </c>
      <c r="M7" s="244">
        <v>153712920.29</v>
      </c>
      <c r="N7" s="244">
        <f>SUM(N5:N6)</f>
        <v>139035801.19</v>
      </c>
      <c r="O7" s="244">
        <f>SUM(O5:O6)</f>
        <v>236467134.94</v>
      </c>
      <c r="P7" s="244">
        <f>SUM(P5:P6)</f>
        <v>178097681.61</v>
      </c>
      <c r="Q7" s="244">
        <f>SUM(Q5:Q6)</f>
        <v>187876975.01</v>
      </c>
      <c r="R7" s="244">
        <f t="shared" si="0"/>
        <v>1684630330.9399998</v>
      </c>
      <c r="S7" t="s">
        <v>88</v>
      </c>
    </row>
    <row r="8" spans="1:18" ht="12.75">
      <c r="A8" s="181" t="s">
        <v>359</v>
      </c>
      <c r="B8" s="244">
        <f t="shared" si="1"/>
        <v>0</v>
      </c>
      <c r="C8" s="244">
        <f t="shared" si="2"/>
        <v>0</v>
      </c>
      <c r="D8" s="481"/>
      <c r="E8" s="481"/>
      <c r="F8" s="481"/>
      <c r="G8" s="481"/>
      <c r="H8" s="481"/>
      <c r="I8" s="481"/>
      <c r="J8" s="481"/>
      <c r="K8" s="481"/>
      <c r="L8" s="481"/>
      <c r="M8" s="481"/>
      <c r="N8" s="481"/>
      <c r="O8" s="481"/>
      <c r="P8" s="185">
        <v>1474906.46</v>
      </c>
      <c r="Q8" s="185">
        <v>2448357.76</v>
      </c>
      <c r="R8" s="185">
        <f t="shared" si="0"/>
        <v>3923264.2199999997</v>
      </c>
    </row>
    <row r="9" spans="1:18" ht="12.75">
      <c r="A9" s="181" t="s">
        <v>84</v>
      </c>
      <c r="B9" s="244">
        <f t="shared" si="1"/>
        <v>67376382</v>
      </c>
      <c r="C9" s="244">
        <f t="shared" si="2"/>
        <v>334430989.67</v>
      </c>
      <c r="D9" s="244">
        <f>985*1000</f>
        <v>985000</v>
      </c>
      <c r="E9" s="244">
        <f>6646*1000</f>
        <v>6646000</v>
      </c>
      <c r="F9" s="244">
        <f>(9269+203)*1000</f>
        <v>9472000</v>
      </c>
      <c r="G9" s="244">
        <f>14749*1000</f>
        <v>14749000</v>
      </c>
      <c r="H9" s="244">
        <f>35524.382*1000</f>
        <v>35524382</v>
      </c>
      <c r="I9" s="244">
        <f>84279*1000</f>
        <v>84279000</v>
      </c>
      <c r="J9" s="244">
        <f>78210*1000</f>
        <v>78210000</v>
      </c>
      <c r="K9" s="244">
        <f>56930*1000</f>
        <v>56930000</v>
      </c>
      <c r="L9" s="244">
        <v>52677504.54</v>
      </c>
      <c r="M9" s="244">
        <f>57588771.13+4745714</f>
        <v>62334485.13</v>
      </c>
      <c r="N9" s="244">
        <v>38963321.6</v>
      </c>
      <c r="O9" s="185">
        <v>18003594.66</v>
      </c>
      <c r="P9" s="185">
        <v>4193889.84</v>
      </c>
      <c r="Q9" s="185">
        <v>4699543.02</v>
      </c>
      <c r="R9" s="185">
        <f t="shared" si="0"/>
        <v>467667720.79</v>
      </c>
    </row>
    <row r="10" spans="1:18" ht="12.75">
      <c r="A10" s="181" t="s">
        <v>270</v>
      </c>
      <c r="B10" s="244">
        <f t="shared" si="1"/>
        <v>0</v>
      </c>
      <c r="C10" s="244">
        <f t="shared" si="2"/>
        <v>0</v>
      </c>
      <c r="D10" s="481"/>
      <c r="E10" s="481"/>
      <c r="F10" s="481"/>
      <c r="G10" s="481"/>
      <c r="H10" s="481"/>
      <c r="I10" s="481"/>
      <c r="J10" s="481"/>
      <c r="K10" s="481"/>
      <c r="L10" s="481"/>
      <c r="M10" s="481"/>
      <c r="N10" s="244">
        <v>6335017</v>
      </c>
      <c r="O10" s="185">
        <v>5268131.56</v>
      </c>
      <c r="P10" s="185">
        <v>5524016.06</v>
      </c>
      <c r="Q10" s="185">
        <v>2877473.61</v>
      </c>
      <c r="R10" s="185">
        <f t="shared" si="0"/>
        <v>20004638.229999997</v>
      </c>
    </row>
    <row r="11" spans="1:18" ht="12.75">
      <c r="A11" s="181" t="s">
        <v>102</v>
      </c>
      <c r="B11" s="244">
        <f t="shared" si="1"/>
        <v>3654000</v>
      </c>
      <c r="C11" s="244">
        <f t="shared" si="2"/>
        <v>32032836.23</v>
      </c>
      <c r="D11" s="244">
        <v>0</v>
      </c>
      <c r="E11" s="244">
        <v>0</v>
      </c>
      <c r="F11" s="244">
        <v>0</v>
      </c>
      <c r="G11" s="244">
        <v>0</v>
      </c>
      <c r="H11" s="244">
        <f>3654*1000</f>
        <v>3654000</v>
      </c>
      <c r="I11" s="244">
        <f>7276*1000</f>
        <v>7276000</v>
      </c>
      <c r="J11" s="244">
        <f>8523*1000</f>
        <v>8523000</v>
      </c>
      <c r="K11" s="244">
        <f>8168*1000</f>
        <v>8168000</v>
      </c>
      <c r="L11" s="244">
        <v>4528037.29</v>
      </c>
      <c r="M11" s="244">
        <v>3537798.94</v>
      </c>
      <c r="N11" s="244">
        <v>4331674.86</v>
      </c>
      <c r="O11" s="185">
        <v>9108808.9</v>
      </c>
      <c r="P11" s="185">
        <v>5511570.11</v>
      </c>
      <c r="Q11" s="185">
        <v>5435668.92</v>
      </c>
      <c r="R11" s="185">
        <f t="shared" si="0"/>
        <v>60074559.019999996</v>
      </c>
    </row>
    <row r="12" spans="1:18" ht="12.75">
      <c r="A12" s="181" t="s">
        <v>271</v>
      </c>
      <c r="B12" s="244">
        <f t="shared" si="1"/>
        <v>0</v>
      </c>
      <c r="C12" s="244">
        <f t="shared" si="2"/>
        <v>0</v>
      </c>
      <c r="D12" s="481"/>
      <c r="E12" s="481"/>
      <c r="F12" s="481"/>
      <c r="G12" s="481"/>
      <c r="H12" s="481"/>
      <c r="I12" s="481"/>
      <c r="J12" s="481"/>
      <c r="K12" s="481"/>
      <c r="L12" s="481"/>
      <c r="M12" s="481"/>
      <c r="N12" s="244">
        <v>3210125.71</v>
      </c>
      <c r="O12" s="185">
        <v>8996274.08</v>
      </c>
      <c r="P12" s="185">
        <v>7419100.21</v>
      </c>
      <c r="Q12" s="185">
        <v>0</v>
      </c>
      <c r="R12" s="185">
        <f t="shared" si="0"/>
        <v>19625500</v>
      </c>
    </row>
    <row r="13" spans="1:19" ht="12.75">
      <c r="A13" s="14" t="s">
        <v>400</v>
      </c>
      <c r="B13" s="243">
        <f t="shared" si="1"/>
        <v>487339542</v>
      </c>
      <c r="C13" s="243">
        <f t="shared" si="2"/>
        <v>893307404.09</v>
      </c>
      <c r="D13" s="243">
        <f aca="true" t="shared" si="3" ref="D13:L13">SUM(D7:D11)</f>
        <v>57555000</v>
      </c>
      <c r="E13" s="243">
        <f t="shared" si="3"/>
        <v>99904000</v>
      </c>
      <c r="F13" s="243">
        <f t="shared" si="3"/>
        <v>97786000</v>
      </c>
      <c r="G13" s="243">
        <f t="shared" si="3"/>
        <v>107502000</v>
      </c>
      <c r="H13" s="243">
        <f t="shared" si="3"/>
        <v>124592542</v>
      </c>
      <c r="I13" s="243">
        <f t="shared" si="3"/>
        <v>171197000</v>
      </c>
      <c r="J13" s="243">
        <f t="shared" si="3"/>
        <v>176811000</v>
      </c>
      <c r="K13" s="243">
        <f t="shared" si="3"/>
        <v>147550000</v>
      </c>
      <c r="L13" s="243">
        <f t="shared" si="3"/>
        <v>178164199.73</v>
      </c>
      <c r="M13" s="243">
        <f>SUM(M7:M11)</f>
        <v>219585204.35999998</v>
      </c>
      <c r="N13" s="243">
        <f>SUM(N7:N12)</f>
        <v>191875940.36</v>
      </c>
      <c r="O13" s="243">
        <f>SUM(O7:O12)</f>
        <v>277843944.14</v>
      </c>
      <c r="P13" s="243">
        <f>SUM(P7:P12)</f>
        <v>202221164.29000005</v>
      </c>
      <c r="Q13" s="243">
        <f>SUM(Q7:Q12)</f>
        <v>203338018.32</v>
      </c>
      <c r="R13" s="243">
        <f t="shared" si="0"/>
        <v>2255926013.2</v>
      </c>
      <c r="S13" s="12"/>
    </row>
    <row r="14" spans="1:18" ht="12.75">
      <c r="A14" s="24"/>
      <c r="B14" s="24"/>
      <c r="C14" s="24"/>
      <c r="D14" s="24"/>
      <c r="E14" s="24"/>
      <c r="F14" s="24"/>
      <c r="G14" s="24"/>
      <c r="H14" s="24"/>
      <c r="I14" s="24"/>
      <c r="J14" s="24"/>
      <c r="K14" s="24"/>
      <c r="L14" s="24"/>
      <c r="M14" s="24"/>
      <c r="N14" s="24"/>
      <c r="O14" s="24"/>
      <c r="P14" s="24"/>
      <c r="Q14" s="24"/>
      <c r="R14" s="74"/>
    </row>
    <row r="15" spans="1:18" ht="15">
      <c r="A15" s="410" t="s">
        <v>343</v>
      </c>
      <c r="R15" s="63"/>
    </row>
    <row r="16" spans="1:18" ht="12.75">
      <c r="A16" s="30" t="s">
        <v>380</v>
      </c>
      <c r="B16" s="40" t="s">
        <v>8</v>
      </c>
      <c r="C16" s="40" t="s">
        <v>8</v>
      </c>
      <c r="D16" s="40" t="s">
        <v>8</v>
      </c>
      <c r="E16" s="40" t="s">
        <v>8</v>
      </c>
      <c r="F16" s="40" t="s">
        <v>8</v>
      </c>
      <c r="G16" s="40" t="s">
        <v>8</v>
      </c>
      <c r="H16" s="40" t="s">
        <v>8</v>
      </c>
      <c r="I16" s="40" t="s">
        <v>8</v>
      </c>
      <c r="J16" s="40" t="s">
        <v>8</v>
      </c>
      <c r="K16" s="40" t="s">
        <v>8</v>
      </c>
      <c r="L16" s="40" t="s">
        <v>8</v>
      </c>
      <c r="M16" s="40" t="s">
        <v>8</v>
      </c>
      <c r="N16" s="40" t="s">
        <v>8</v>
      </c>
      <c r="O16" s="40" t="s">
        <v>8</v>
      </c>
      <c r="P16" s="40" t="s">
        <v>8</v>
      </c>
      <c r="Q16" s="40" t="s">
        <v>8</v>
      </c>
      <c r="R16" s="63"/>
    </row>
    <row r="17" spans="1:19" ht="12.75">
      <c r="A17" s="181" t="s">
        <v>283</v>
      </c>
      <c r="B17" s="250">
        <f>SUM(D17:H17)</f>
        <v>346778</v>
      </c>
      <c r="C17" s="250">
        <f>SUM(I17:M17)</f>
        <v>979405.8</v>
      </c>
      <c r="D17" s="250">
        <f>'Annual Savings'!D19+'Annual Savings'!D21</f>
        <v>19729</v>
      </c>
      <c r="E17" s="250">
        <f>'Annual Savings'!E19+'Annual Savings'!E21</f>
        <v>24161</v>
      </c>
      <c r="F17" s="250">
        <f>'Annual Savings'!F19+'Annual Savings'!F21</f>
        <v>88230</v>
      </c>
      <c r="G17" s="250">
        <f>'Annual Savings'!G19+'Annual Savings'!G21</f>
        <v>124369</v>
      </c>
      <c r="H17" s="250">
        <f>'Annual Savings'!H19+'Annual Savings'!H21</f>
        <v>90289</v>
      </c>
      <c r="I17" s="250">
        <f>'Annual Savings'!I19+'Annual Savings'!I21</f>
        <v>27978</v>
      </c>
      <c r="J17" s="250">
        <f>'Annual Savings'!J19+'Annual Savings'!J21</f>
        <v>137005</v>
      </c>
      <c r="K17" s="250">
        <f>'Annual Savings'!K19+'Annual Savings'!K21</f>
        <v>234965</v>
      </c>
      <c r="L17" s="250">
        <f>'Annual Savings'!L19+'Annual Savings'!L21</f>
        <v>365916</v>
      </c>
      <c r="M17" s="250">
        <f>'Annual Savings'!M19+'Annual Savings'!M21</f>
        <v>213541.80000000002</v>
      </c>
      <c r="N17" s="250">
        <f>'Annual Savings'!N19+'Annual Savings'!N21</f>
        <v>276348.1</v>
      </c>
      <c r="O17" s="250">
        <f>'Annual Savings'!O19+'Annual Savings'!O21</f>
        <v>387282.00000000006</v>
      </c>
      <c r="P17" s="250">
        <f>'Annual Savings'!P19+'Annual Savings'!P21</f>
        <v>306192</v>
      </c>
      <c r="Q17" s="250">
        <f>'Annual Savings'!Q19+'Annual Savings'!Q21</f>
        <v>209106.45428670212</v>
      </c>
      <c r="R17" s="139"/>
      <c r="S17" t="s">
        <v>262</v>
      </c>
    </row>
    <row r="18" spans="1:18" ht="12.75">
      <c r="A18" s="181" t="s">
        <v>284</v>
      </c>
      <c r="B18" s="250">
        <f>SUM(D18:H18)</f>
        <v>725321</v>
      </c>
      <c r="C18" s="250">
        <f>SUM(I18:M18)</f>
        <v>518785</v>
      </c>
      <c r="D18" s="250">
        <f>'Annual Savings'!D32</f>
        <v>30943</v>
      </c>
      <c r="E18" s="250">
        <f>'Annual Savings'!E32</f>
        <v>144635</v>
      </c>
      <c r="F18" s="250">
        <f>'Annual Savings'!F32</f>
        <v>197347</v>
      </c>
      <c r="G18" s="250">
        <f>'Annual Savings'!G32</f>
        <v>204144</v>
      </c>
      <c r="H18" s="250">
        <f>'Annual Savings'!H32</f>
        <v>148252</v>
      </c>
      <c r="I18" s="250">
        <f>'Annual Savings'!I32</f>
        <v>98377</v>
      </c>
      <c r="J18" s="250">
        <f>'Annual Savings'!J32</f>
        <v>90589</v>
      </c>
      <c r="K18" s="250">
        <f>'Annual Savings'!K32</f>
        <v>99663</v>
      </c>
      <c r="L18" s="250">
        <f>'Annual Savings'!L32</f>
        <v>95791</v>
      </c>
      <c r="M18" s="250">
        <f>'Annual Savings'!M32</f>
        <v>134365</v>
      </c>
      <c r="N18" s="250">
        <f>'Annual Savings'!N32</f>
        <v>177334</v>
      </c>
      <c r="O18" s="250">
        <f>'Annual Savings'!O32</f>
        <v>251520</v>
      </c>
      <c r="P18" s="250">
        <f>'Annual Savings'!P32</f>
        <v>212622</v>
      </c>
      <c r="Q18" s="250">
        <f>'Annual Savings'!Q32</f>
        <v>264853</v>
      </c>
      <c r="R18" s="139"/>
    </row>
    <row r="19" spans="1:19" ht="12.75">
      <c r="A19" s="14" t="s">
        <v>75</v>
      </c>
      <c r="B19" s="245">
        <f>SUM(D19:H19)</f>
        <v>1076217</v>
      </c>
      <c r="C19" s="245">
        <f>SUM(I19:M19)</f>
        <v>1502042.8</v>
      </c>
      <c r="D19" s="245">
        <f>'Annual Savings'!D35</f>
        <v>50672</v>
      </c>
      <c r="E19" s="245">
        <f>'Annual Savings'!E35</f>
        <v>168796</v>
      </c>
      <c r="F19" s="245">
        <f>'Annual Savings'!F35</f>
        <v>285577</v>
      </c>
      <c r="G19" s="245">
        <f>'Annual Savings'!G35</f>
        <v>328513</v>
      </c>
      <c r="H19" s="245">
        <f>'Annual Savings'!H35</f>
        <v>242659</v>
      </c>
      <c r="I19" s="245">
        <f>'Annual Savings'!I35</f>
        <v>128252</v>
      </c>
      <c r="J19" s="245">
        <f>'Annual Savings'!J35</f>
        <v>228721</v>
      </c>
      <c r="K19" s="245">
        <f>'Annual Savings'!K35</f>
        <v>335001</v>
      </c>
      <c r="L19" s="245">
        <f>'Annual Savings'!L35</f>
        <v>462162</v>
      </c>
      <c r="M19" s="245">
        <f>'Annual Savings'!M35</f>
        <v>347906.80000000005</v>
      </c>
      <c r="N19" s="245">
        <f>SUM(N17:N18)</f>
        <v>453682.1</v>
      </c>
      <c r="O19" s="245">
        <f>SUM(O17:O18)</f>
        <v>638802</v>
      </c>
      <c r="P19" s="245">
        <f>SUM(P17:P18)</f>
        <v>518814</v>
      </c>
      <c r="Q19" s="245">
        <f>SUM(Q17:Q18)</f>
        <v>473959.4542867021</v>
      </c>
      <c r="R19" s="139"/>
      <c r="S19" s="23"/>
    </row>
    <row r="20" spans="1:19" ht="12.75">
      <c r="A20" s="401"/>
      <c r="B20" s="402"/>
      <c r="C20" s="402"/>
      <c r="D20" s="402"/>
      <c r="E20" s="402"/>
      <c r="F20" s="402"/>
      <c r="G20" s="402"/>
      <c r="H20" s="402"/>
      <c r="I20" s="402"/>
      <c r="J20" s="402"/>
      <c r="K20" s="402"/>
      <c r="L20" s="402"/>
      <c r="M20" s="402"/>
      <c r="N20" s="402"/>
      <c r="O20" s="402"/>
      <c r="P20" s="402"/>
      <c r="Q20" s="402"/>
      <c r="R20" s="139"/>
      <c r="S20" s="23"/>
    </row>
    <row r="21" spans="1:19" ht="12.75">
      <c r="A21" s="210" t="s">
        <v>194</v>
      </c>
      <c r="B21" s="404"/>
      <c r="C21" s="404"/>
      <c r="D21" s="404"/>
      <c r="E21" s="404"/>
      <c r="F21" s="404"/>
      <c r="G21" s="404"/>
      <c r="H21" s="404"/>
      <c r="I21" s="404"/>
      <c r="J21" s="404"/>
      <c r="K21" s="404"/>
      <c r="L21" s="404"/>
      <c r="M21" s="404"/>
      <c r="N21" s="404"/>
      <c r="O21" s="404"/>
      <c r="P21" s="404"/>
      <c r="Q21" s="404"/>
      <c r="R21" s="139"/>
      <c r="S21" s="23"/>
    </row>
    <row r="22" spans="1:18" ht="12.75">
      <c r="A22" s="181" t="s">
        <v>84</v>
      </c>
      <c r="B22" s="246">
        <f>SUM(D22:H22)</f>
        <v>45797</v>
      </c>
      <c r="C22" s="246">
        <f>SUM(I22:M22)</f>
        <v>870536.72</v>
      </c>
      <c r="D22" s="246">
        <f>'Annual Savings'!D49</f>
        <v>11</v>
      </c>
      <c r="E22" s="246">
        <f>'Annual Savings'!E49</f>
        <v>2896</v>
      </c>
      <c r="F22" s="246">
        <f>'Annual Savings'!F49</f>
        <v>7239</v>
      </c>
      <c r="G22" s="246">
        <f>'Annual Savings'!G49</f>
        <v>6515</v>
      </c>
      <c r="H22" s="246">
        <f>'Annual Savings'!H49</f>
        <v>29136</v>
      </c>
      <c r="I22" s="246">
        <f>'Annual Savings'!I49</f>
        <v>44659</v>
      </c>
      <c r="J22" s="246">
        <f>'Annual Savings'!J49</f>
        <v>140229</v>
      </c>
      <c r="K22" s="246">
        <f>'Annual Savings'!K49</f>
        <v>188968.72</v>
      </c>
      <c r="L22" s="246">
        <f>'Annual Savings'!L49</f>
        <v>169101</v>
      </c>
      <c r="M22" s="246">
        <f>'Annual Savings'!M49</f>
        <v>327579</v>
      </c>
      <c r="N22" s="246">
        <f>'Annual Savings'!N49</f>
        <v>382066</v>
      </c>
      <c r="O22" s="246">
        <f>'Annual Savings'!O49</f>
        <v>640636</v>
      </c>
      <c r="P22" s="246">
        <f>'Annual Savings'!P49</f>
        <v>261660</v>
      </c>
      <c r="Q22" s="246">
        <f>'Annual Savings'!Q49</f>
        <v>217860</v>
      </c>
      <c r="R22" s="139"/>
    </row>
    <row r="23" spans="1:18" ht="12.75">
      <c r="A23" s="181" t="s">
        <v>50</v>
      </c>
      <c r="B23" s="246">
        <f>SUM(D23:H23)</f>
        <v>767</v>
      </c>
      <c r="C23" s="246">
        <f>SUM(I23:M23)</f>
        <v>206874</v>
      </c>
      <c r="D23" s="246">
        <f>'Annual Savings'!D40</f>
        <v>0</v>
      </c>
      <c r="E23" s="246">
        <f>'Annual Savings'!E40</f>
        <v>0</v>
      </c>
      <c r="F23" s="246">
        <f>'Annual Savings'!F40</f>
        <v>0</v>
      </c>
      <c r="G23" s="246">
        <f>'Annual Savings'!G40</f>
        <v>0</v>
      </c>
      <c r="H23" s="246">
        <f>'Annual Savings'!H40</f>
        <v>767</v>
      </c>
      <c r="I23" s="246">
        <f>'Annual Savings'!I40</f>
        <v>12575</v>
      </c>
      <c r="J23" s="246">
        <f>'Annual Savings'!J40</f>
        <v>102125</v>
      </c>
      <c r="K23" s="246">
        <f>'Annual Savings'!K40</f>
        <v>9114</v>
      </c>
      <c r="L23" s="246">
        <f>'Annual Savings'!L40</f>
        <v>35317</v>
      </c>
      <c r="M23" s="246">
        <f>'Annual Savings'!M40</f>
        <v>47743</v>
      </c>
      <c r="N23" s="246">
        <f>'Annual Savings'!N40</f>
        <v>0</v>
      </c>
      <c r="O23" s="246">
        <f>'Annual Savings'!O40</f>
        <v>17520</v>
      </c>
      <c r="P23" s="246">
        <f>'Annual Savings'!P40</f>
        <v>9409</v>
      </c>
      <c r="Q23" s="246">
        <f>'Annual Savings'!Q40</f>
        <v>46135</v>
      </c>
      <c r="R23" s="139"/>
    </row>
    <row r="24" spans="1:18" ht="12.75">
      <c r="A24" s="14" t="s">
        <v>1</v>
      </c>
      <c r="B24" s="245">
        <f>SUM(D24:H24)</f>
        <v>46564</v>
      </c>
      <c r="C24" s="245">
        <f>SUM(I24:M24)</f>
        <v>1077410.72</v>
      </c>
      <c r="D24" s="245">
        <f aca="true" t="shared" si="4" ref="D24:O24">SUM(D22:D23)</f>
        <v>11</v>
      </c>
      <c r="E24" s="245">
        <f t="shared" si="4"/>
        <v>2896</v>
      </c>
      <c r="F24" s="245">
        <f t="shared" si="4"/>
        <v>7239</v>
      </c>
      <c r="G24" s="245">
        <f t="shared" si="4"/>
        <v>6515</v>
      </c>
      <c r="H24" s="245">
        <f t="shared" si="4"/>
        <v>29903</v>
      </c>
      <c r="I24" s="245">
        <f t="shared" si="4"/>
        <v>57234</v>
      </c>
      <c r="J24" s="245">
        <f t="shared" si="4"/>
        <v>242354</v>
      </c>
      <c r="K24" s="245">
        <f t="shared" si="4"/>
        <v>198082.72</v>
      </c>
      <c r="L24" s="245">
        <f t="shared" si="4"/>
        <v>204418</v>
      </c>
      <c r="M24" s="245">
        <f t="shared" si="4"/>
        <v>375322</v>
      </c>
      <c r="N24" s="245">
        <f t="shared" si="4"/>
        <v>382066</v>
      </c>
      <c r="O24" s="245">
        <f t="shared" si="4"/>
        <v>658156</v>
      </c>
      <c r="P24" s="245">
        <f>SUM(P22:P23)</f>
        <v>271069</v>
      </c>
      <c r="Q24" s="245">
        <f>SUM(Q22:Q23)</f>
        <v>263995</v>
      </c>
      <c r="R24" s="139"/>
    </row>
    <row r="25" spans="1:18" ht="12.75">
      <c r="A25" s="24"/>
      <c r="B25" s="62"/>
      <c r="C25" s="62"/>
      <c r="D25" s="62"/>
      <c r="E25" s="62"/>
      <c r="F25" s="62"/>
      <c r="G25" s="62"/>
      <c r="H25" s="62"/>
      <c r="I25" s="62"/>
      <c r="J25" s="62"/>
      <c r="K25" s="62"/>
      <c r="L25" s="62"/>
      <c r="M25" s="62"/>
      <c r="N25" s="62"/>
      <c r="O25" s="62"/>
      <c r="P25" s="62"/>
      <c r="Q25" s="62"/>
      <c r="R25" s="97"/>
    </row>
    <row r="26" spans="1:18" ht="12.75">
      <c r="A26" s="30" t="s">
        <v>434</v>
      </c>
      <c r="B26" s="40" t="s">
        <v>397</v>
      </c>
      <c r="C26" s="40" t="s">
        <v>397</v>
      </c>
      <c r="D26" s="40" t="s">
        <v>397</v>
      </c>
      <c r="E26" s="40" t="s">
        <v>397</v>
      </c>
      <c r="F26" s="40" t="s">
        <v>397</v>
      </c>
      <c r="G26" s="40" t="s">
        <v>397</v>
      </c>
      <c r="H26" s="40" t="s">
        <v>397</v>
      </c>
      <c r="I26" s="40" t="s">
        <v>397</v>
      </c>
      <c r="J26" s="40" t="s">
        <v>397</v>
      </c>
      <c r="K26" s="40" t="s">
        <v>397</v>
      </c>
      <c r="L26" s="40" t="s">
        <v>397</v>
      </c>
      <c r="M26" s="40" t="s">
        <v>397</v>
      </c>
      <c r="N26" s="40" t="s">
        <v>397</v>
      </c>
      <c r="O26" s="40" t="s">
        <v>397</v>
      </c>
      <c r="P26" s="40" t="s">
        <v>397</v>
      </c>
      <c r="Q26" s="40" t="s">
        <v>397</v>
      </c>
      <c r="R26" s="63"/>
    </row>
    <row r="27" spans="1:19" ht="12.75">
      <c r="A27" s="179" t="s">
        <v>283</v>
      </c>
      <c r="B27" s="252">
        <f>SUM(D27:H27)</f>
        <v>131443</v>
      </c>
      <c r="C27" s="252">
        <f>SUM(I27:M27)</f>
        <v>146377.6</v>
      </c>
      <c r="D27" s="252">
        <f>'Annual Savings'!D68+'Annual Savings'!D70</f>
        <v>11804</v>
      </c>
      <c r="E27" s="252">
        <f>'Annual Savings'!E68+'Annual Savings'!E70</f>
        <v>17867</v>
      </c>
      <c r="F27" s="252">
        <f>'Annual Savings'!F68+'Annual Savings'!F70</f>
        <v>29409</v>
      </c>
      <c r="G27" s="252">
        <f>'Annual Savings'!G68+'Annual Savings'!G70</f>
        <v>35284</v>
      </c>
      <c r="H27" s="252">
        <f>'Annual Savings'!H68+'Annual Savings'!H70</f>
        <v>37079</v>
      </c>
      <c r="I27" s="252">
        <f>'Annual Savings'!I68+'Annual Savings'!I70</f>
        <v>25148</v>
      </c>
      <c r="J27" s="252">
        <f>'Annual Savings'!J68+'Annual Savings'!J70</f>
        <v>31358</v>
      </c>
      <c r="K27" s="252">
        <f>'Annual Savings'!K68+'Annual Savings'!K70</f>
        <v>24198</v>
      </c>
      <c r="L27" s="252">
        <f>'Annual Savings'!L68+'Annual Savings'!L70</f>
        <v>27568</v>
      </c>
      <c r="M27" s="252">
        <f>'Annual Savings'!M68+'Annual Savings'!M70</f>
        <v>38105.600000000006</v>
      </c>
      <c r="N27" s="252">
        <f>'Annual Savings'!N68+'Annual Savings'!N70</f>
        <v>44241.8</v>
      </c>
      <c r="O27" s="252">
        <f>'Annual Savings'!O68+'Annual Savings'!O70</f>
        <v>66544.90000000001</v>
      </c>
      <c r="P27" s="252">
        <f>'Annual Savings'!P68+'Annual Savings'!P70</f>
        <v>36944</v>
      </c>
      <c r="Q27" s="252">
        <f>'Annual Savings'!Q68+'Annual Savings'!Q70</f>
        <v>60920.7856999996</v>
      </c>
      <c r="R27" s="139"/>
      <c r="S27" t="s">
        <v>262</v>
      </c>
    </row>
    <row r="28" spans="1:18" ht="12.75">
      <c r="A28" s="179" t="s">
        <v>284</v>
      </c>
      <c r="B28" s="252">
        <f>SUM(D28:H28)</f>
        <v>151121</v>
      </c>
      <c r="C28" s="252">
        <f>SUM(I28:M28)</f>
        <v>103467</v>
      </c>
      <c r="D28" s="252">
        <v>6364</v>
      </c>
      <c r="E28" s="252">
        <v>26750</v>
      </c>
      <c r="F28" s="252">
        <v>38155</v>
      </c>
      <c r="G28" s="252">
        <v>43470</v>
      </c>
      <c r="H28" s="252">
        <v>36382</v>
      </c>
      <c r="I28" s="252">
        <v>26301</v>
      </c>
      <c r="J28" s="252">
        <v>17502</v>
      </c>
      <c r="K28" s="252">
        <v>16468</v>
      </c>
      <c r="L28" s="252">
        <v>18781</v>
      </c>
      <c r="M28" s="252">
        <v>24415</v>
      </c>
      <c r="N28" s="252">
        <f>'Annual Savings'!N81</f>
        <v>85424</v>
      </c>
      <c r="O28" s="252">
        <f>'Annual Savings'!O81</f>
        <v>52248</v>
      </c>
      <c r="P28" s="252">
        <f>'Annual Savings'!P81</f>
        <v>43301</v>
      </c>
      <c r="Q28" s="252">
        <f>'Annual Savings'!Q81</f>
        <v>53066</v>
      </c>
      <c r="R28" s="139"/>
    </row>
    <row r="29" spans="1:18" ht="12.75">
      <c r="A29" s="211" t="s">
        <v>75</v>
      </c>
      <c r="B29" s="245">
        <f>SUM(D29:H29)</f>
        <v>282564</v>
      </c>
      <c r="C29" s="245">
        <f>SUM(I29:M29)</f>
        <v>249844.6</v>
      </c>
      <c r="D29" s="245">
        <f>'Annual Savings'!D82</f>
        <v>18168</v>
      </c>
      <c r="E29" s="245">
        <f>'Annual Savings'!E82</f>
        <v>44617</v>
      </c>
      <c r="F29" s="245">
        <f>'Annual Savings'!F82</f>
        <v>67564</v>
      </c>
      <c r="G29" s="245">
        <f>'Annual Savings'!G82</f>
        <v>78754</v>
      </c>
      <c r="H29" s="245">
        <f>'Annual Savings'!H82</f>
        <v>73461</v>
      </c>
      <c r="I29" s="245">
        <f>'Annual Savings'!I82</f>
        <v>51449</v>
      </c>
      <c r="J29" s="245">
        <f>'Annual Savings'!J82</f>
        <v>48860</v>
      </c>
      <c r="K29" s="245">
        <f>'Annual Savings'!K82</f>
        <v>40666</v>
      </c>
      <c r="L29" s="245">
        <f>'Annual Savings'!L82</f>
        <v>46349</v>
      </c>
      <c r="M29" s="245">
        <f>'Annual Savings'!M82</f>
        <v>62520.600000000006</v>
      </c>
      <c r="N29" s="245">
        <f>'Annual Savings'!N82</f>
        <v>129665.8</v>
      </c>
      <c r="O29" s="245">
        <f>'Annual Savings'!O82</f>
        <v>118792.90000000001</v>
      </c>
      <c r="P29" s="245">
        <f>'Annual Savings'!P82</f>
        <v>80245</v>
      </c>
      <c r="Q29" s="245">
        <f>'Annual Savings'!Q82</f>
        <v>113986.7856999996</v>
      </c>
      <c r="R29" s="139"/>
    </row>
    <row r="30" spans="1:18" ht="12.75">
      <c r="A30" s="401"/>
      <c r="B30" s="402"/>
      <c r="C30" s="402"/>
      <c r="D30" s="402"/>
      <c r="E30" s="402"/>
      <c r="F30" s="402"/>
      <c r="G30" s="402"/>
      <c r="H30" s="402"/>
      <c r="I30" s="402"/>
      <c r="J30" s="402"/>
      <c r="K30" s="402"/>
      <c r="L30" s="402"/>
      <c r="M30" s="402"/>
      <c r="N30" s="402"/>
      <c r="O30" s="402"/>
      <c r="P30" s="402"/>
      <c r="Q30" s="402"/>
      <c r="R30" s="139"/>
    </row>
    <row r="31" spans="1:18" ht="12.75">
      <c r="A31" s="210" t="s">
        <v>435</v>
      </c>
      <c r="B31" s="404"/>
      <c r="C31" s="404"/>
      <c r="D31" s="404"/>
      <c r="E31" s="404"/>
      <c r="F31" s="404"/>
      <c r="G31" s="404"/>
      <c r="H31" s="404"/>
      <c r="I31" s="404"/>
      <c r="J31" s="404"/>
      <c r="K31" s="404"/>
      <c r="L31" s="404"/>
      <c r="M31" s="404"/>
      <c r="N31" s="404"/>
      <c r="O31" s="404"/>
      <c r="P31" s="404"/>
      <c r="Q31" s="404"/>
      <c r="R31" s="139"/>
    </row>
    <row r="32" spans="1:18" ht="12.75">
      <c r="A32" s="182" t="s">
        <v>84</v>
      </c>
      <c r="B32" s="246">
        <f>SUM(D32:H32)</f>
        <v>14523</v>
      </c>
      <c r="C32" s="246">
        <f>SUM(I32:M32)</f>
        <v>314472</v>
      </c>
      <c r="D32" s="246">
        <f>'Annual Savings'!D96</f>
        <v>8</v>
      </c>
      <c r="E32" s="246">
        <f>'Annual Savings'!E96</f>
        <v>1142</v>
      </c>
      <c r="F32" s="246">
        <f>'Annual Savings'!F96</f>
        <v>1743</v>
      </c>
      <c r="G32" s="246">
        <f>'Annual Savings'!G96</f>
        <v>2644</v>
      </c>
      <c r="H32" s="246">
        <f>'Annual Savings'!H96</f>
        <v>8986</v>
      </c>
      <c r="I32" s="246">
        <f>'Annual Savings'!I96</f>
        <v>18725</v>
      </c>
      <c r="J32" s="246">
        <f>'Annual Savings'!J96</f>
        <v>28920</v>
      </c>
      <c r="K32" s="246">
        <f>'Annual Savings'!K96</f>
        <v>32805</v>
      </c>
      <c r="L32" s="246">
        <f>'Annual Savings'!L96</f>
        <v>50778</v>
      </c>
      <c r="M32" s="246">
        <f>'Annual Savings'!M96</f>
        <v>183244</v>
      </c>
      <c r="N32" s="246">
        <f>'Annual Savings'!N96</f>
        <v>318387</v>
      </c>
      <c r="O32" s="246">
        <f>'Annual Savings'!O96</f>
        <v>533150</v>
      </c>
      <c r="P32" s="246">
        <f>'Annual Savings'!P96</f>
        <v>207397</v>
      </c>
      <c r="Q32" s="246">
        <f>'Annual Savings'!Q96</f>
        <v>181550.28999999998</v>
      </c>
      <c r="R32" s="139"/>
    </row>
    <row r="33" spans="1:18" ht="12.75">
      <c r="A33" s="181" t="s">
        <v>50</v>
      </c>
      <c r="B33" s="246">
        <f>SUM(D33:H33)</f>
        <v>140</v>
      </c>
      <c r="C33" s="246">
        <f>SUM(I33:M33)</f>
        <v>19611</v>
      </c>
      <c r="D33" s="246">
        <f>'Annual Savings'!D87</f>
        <v>0</v>
      </c>
      <c r="E33" s="246">
        <f>'Annual Savings'!E87</f>
        <v>0</v>
      </c>
      <c r="F33" s="246">
        <f>'Annual Savings'!F87</f>
        <v>0</v>
      </c>
      <c r="G33" s="246">
        <f>'Annual Savings'!G87</f>
        <v>0</v>
      </c>
      <c r="H33" s="246">
        <f>'Annual Savings'!H87</f>
        <v>140</v>
      </c>
      <c r="I33" s="246">
        <f>'Annual Savings'!I87</f>
        <v>3175</v>
      </c>
      <c r="J33" s="246">
        <f>'Annual Savings'!J87</f>
        <v>4925</v>
      </c>
      <c r="K33" s="246">
        <f>'Annual Savings'!K87</f>
        <v>1276</v>
      </c>
      <c r="L33" s="246">
        <f>'Annual Savings'!L87</f>
        <v>4700</v>
      </c>
      <c r="M33" s="246">
        <f>'Annual Savings'!M87</f>
        <v>5535</v>
      </c>
      <c r="N33" s="246">
        <f>'Annual Savings'!N87</f>
        <v>0</v>
      </c>
      <c r="O33" s="246">
        <f>'Annual Savings'!O87</f>
        <v>2000</v>
      </c>
      <c r="P33" s="246">
        <f>'Annual Savings'!P87</f>
        <v>2205</v>
      </c>
      <c r="Q33" s="246">
        <f>'Annual Savings'!Q87</f>
        <v>5770</v>
      </c>
      <c r="R33" s="139"/>
    </row>
    <row r="34" spans="1:18" ht="12.75">
      <c r="A34" s="14" t="s">
        <v>1</v>
      </c>
      <c r="B34" s="245">
        <f>SUM(D34:H34)</f>
        <v>14663</v>
      </c>
      <c r="C34" s="245">
        <f>SUM(I34:M34)</f>
        <v>334083</v>
      </c>
      <c r="D34" s="245">
        <f aca="true" t="shared" si="5" ref="D34:O34">SUM(D32:D33)</f>
        <v>8</v>
      </c>
      <c r="E34" s="245">
        <f t="shared" si="5"/>
        <v>1142</v>
      </c>
      <c r="F34" s="245">
        <f t="shared" si="5"/>
        <v>1743</v>
      </c>
      <c r="G34" s="245">
        <f t="shared" si="5"/>
        <v>2644</v>
      </c>
      <c r="H34" s="245">
        <f t="shared" si="5"/>
        <v>9126</v>
      </c>
      <c r="I34" s="245">
        <f t="shared" si="5"/>
        <v>21900</v>
      </c>
      <c r="J34" s="245">
        <f t="shared" si="5"/>
        <v>33845</v>
      </c>
      <c r="K34" s="245">
        <f t="shared" si="5"/>
        <v>34081</v>
      </c>
      <c r="L34" s="245">
        <f t="shared" si="5"/>
        <v>55478</v>
      </c>
      <c r="M34" s="245">
        <f t="shared" si="5"/>
        <v>188779</v>
      </c>
      <c r="N34" s="245">
        <f t="shared" si="5"/>
        <v>318387</v>
      </c>
      <c r="O34" s="245">
        <f t="shared" si="5"/>
        <v>535150</v>
      </c>
      <c r="P34" s="245">
        <f>SUM(P32:P33)</f>
        <v>209602</v>
      </c>
      <c r="Q34" s="245">
        <f>SUM(Q32:Q33)</f>
        <v>187320.28999999998</v>
      </c>
      <c r="R34" s="139"/>
    </row>
    <row r="35" spans="1:18" ht="12.75">
      <c r="A35" s="24"/>
      <c r="B35" s="62"/>
      <c r="C35" s="62"/>
      <c r="D35" s="62"/>
      <c r="E35" s="62"/>
      <c r="F35" s="62"/>
      <c r="G35" s="62"/>
      <c r="H35" s="62"/>
      <c r="I35" s="62"/>
      <c r="J35" s="62"/>
      <c r="K35" s="62"/>
      <c r="L35" s="62"/>
      <c r="M35" s="62"/>
      <c r="N35" s="62"/>
      <c r="O35" s="62"/>
      <c r="P35" s="62"/>
      <c r="Q35" s="62"/>
      <c r="R35" s="97"/>
    </row>
    <row r="36" spans="1:18" ht="12.75">
      <c r="A36" s="75" t="s">
        <v>62</v>
      </c>
      <c r="B36" s="40" t="s">
        <v>11</v>
      </c>
      <c r="C36" s="40" t="s">
        <v>11</v>
      </c>
      <c r="D36" s="40" t="s">
        <v>11</v>
      </c>
      <c r="E36" s="40" t="s">
        <v>11</v>
      </c>
      <c r="F36" s="40" t="s">
        <v>11</v>
      </c>
      <c r="G36" s="40" t="s">
        <v>11</v>
      </c>
      <c r="H36" s="40" t="s">
        <v>11</v>
      </c>
      <c r="I36" s="40" t="s">
        <v>11</v>
      </c>
      <c r="J36" s="40" t="s">
        <v>11</v>
      </c>
      <c r="K36" s="40" t="s">
        <v>11</v>
      </c>
      <c r="L36" s="40" t="s">
        <v>11</v>
      </c>
      <c r="M36" s="40" t="s">
        <v>11</v>
      </c>
      <c r="N36" s="40" t="s">
        <v>11</v>
      </c>
      <c r="O36" s="40" t="s">
        <v>11</v>
      </c>
      <c r="P36" s="40" t="s">
        <v>11</v>
      </c>
      <c r="Q36" s="40" t="s">
        <v>11</v>
      </c>
      <c r="R36" s="63"/>
    </row>
    <row r="37" spans="1:19" ht="12.75">
      <c r="A37" s="182" t="s">
        <v>283</v>
      </c>
      <c r="B37" s="250">
        <f>SUM(D37:H37)</f>
        <v>1637075</v>
      </c>
      <c r="C37" s="250">
        <f>SUM(I37:M37)</f>
        <v>2136101</v>
      </c>
      <c r="D37" s="250">
        <f>'Annual Savings'!D109+'Annual Savings'!D111</f>
        <v>209344</v>
      </c>
      <c r="E37" s="250">
        <f>'Annual Savings'!E109+'Annual Savings'!E111</f>
        <v>301507</v>
      </c>
      <c r="F37" s="250">
        <f>'Annual Savings'!F109+'Annual Savings'!F111</f>
        <v>320849</v>
      </c>
      <c r="G37" s="250">
        <f>'Annual Savings'!G109+'Annual Savings'!G111</f>
        <v>378115</v>
      </c>
      <c r="H37" s="250">
        <f>'Annual Savings'!H109+'Annual Savings'!H111</f>
        <v>427260</v>
      </c>
      <c r="I37" s="250">
        <f>'Annual Savings'!I109+'Annual Savings'!I111</f>
        <v>438349</v>
      </c>
      <c r="J37" s="250">
        <f>'Annual Savings'!J109+'Annual Savings'!J111</f>
        <v>412744</v>
      </c>
      <c r="K37" s="250">
        <f>'Annual Savings'!K109+'Annual Savings'!K111</f>
        <v>374267</v>
      </c>
      <c r="L37" s="250">
        <f>'Annual Savings'!L109+'Annual Savings'!L111</f>
        <v>406310</v>
      </c>
      <c r="M37" s="250">
        <f>'Annual Savings'!M109+'Annual Savings'!M111</f>
        <v>504431</v>
      </c>
      <c r="N37" s="250">
        <f>'Annual Savings'!N109+'Annual Savings'!N111</f>
        <v>615123.95</v>
      </c>
      <c r="O37" s="250">
        <f>'Annual Savings'!O109+'Annual Savings'!O111</f>
        <v>666430</v>
      </c>
      <c r="P37" s="250">
        <f>'Annual Savings'!P109+'Annual Savings'!P111</f>
        <v>333742</v>
      </c>
      <c r="Q37" s="250">
        <f>'Annual Savings'!Q109+'Annual Savings'!Q111</f>
        <v>432207.4762700019</v>
      </c>
      <c r="R37" s="139"/>
      <c r="S37" t="s">
        <v>262</v>
      </c>
    </row>
    <row r="38" spans="1:18" ht="12.75">
      <c r="A38" s="182" t="s">
        <v>284</v>
      </c>
      <c r="B38" s="250">
        <f>SUM(D38:H38)</f>
        <v>406081</v>
      </c>
      <c r="C38" s="250">
        <f>SUM(I38:M38)</f>
        <v>1544633</v>
      </c>
      <c r="D38" s="250">
        <f>'Annual Savings'!D123</f>
        <v>33802</v>
      </c>
      <c r="E38" s="250">
        <f>'Annual Savings'!E123</f>
        <v>37665</v>
      </c>
      <c r="F38" s="250">
        <f>'Annual Savings'!F123</f>
        <v>89969</v>
      </c>
      <c r="G38" s="250">
        <f>'Annual Savings'!G123</f>
        <v>54644</v>
      </c>
      <c r="H38" s="250">
        <f>'Annual Savings'!H123</f>
        <v>190001</v>
      </c>
      <c r="I38" s="250">
        <f>'Annual Savings'!I123</f>
        <v>201830</v>
      </c>
      <c r="J38" s="250">
        <f>'Annual Savings'!J123</f>
        <v>566918</v>
      </c>
      <c r="K38" s="250">
        <f>'Annual Savings'!K123</f>
        <v>115457</v>
      </c>
      <c r="L38" s="250">
        <f>'Annual Savings'!L123</f>
        <v>230033</v>
      </c>
      <c r="M38" s="250">
        <f>'Annual Savings'!M123</f>
        <v>430395</v>
      </c>
      <c r="N38" s="250">
        <f>'Annual Savings'!N123</f>
        <v>167433</v>
      </c>
      <c r="O38" s="250">
        <f>'Annual Savings'!O123</f>
        <v>562775</v>
      </c>
      <c r="P38" s="250">
        <f>'Annual Savings'!P123</f>
        <v>588049</v>
      </c>
      <c r="Q38" s="250">
        <f>'Annual Savings'!Q123</f>
        <v>550962</v>
      </c>
      <c r="R38" s="139"/>
    </row>
    <row r="39" spans="1:18" ht="12.75">
      <c r="A39" s="211" t="s">
        <v>75</v>
      </c>
      <c r="B39" s="245">
        <f>SUM(D39:H39)</f>
        <v>2043156</v>
      </c>
      <c r="C39" s="245">
        <f>SUM(I39:M39)</f>
        <v>3680734</v>
      </c>
      <c r="D39" s="245">
        <f>'Annual Savings'!D124</f>
        <v>243146</v>
      </c>
      <c r="E39" s="245">
        <f>'Annual Savings'!E124</f>
        <v>339172</v>
      </c>
      <c r="F39" s="245">
        <f>'Annual Savings'!F124</f>
        <v>410818</v>
      </c>
      <c r="G39" s="245">
        <f>'Annual Savings'!G124</f>
        <v>432759</v>
      </c>
      <c r="H39" s="245">
        <f>'Annual Savings'!H124</f>
        <v>617261</v>
      </c>
      <c r="I39" s="245">
        <f>'Annual Savings'!I124</f>
        <v>640179</v>
      </c>
      <c r="J39" s="245">
        <f>'Annual Savings'!J124</f>
        <v>979662</v>
      </c>
      <c r="K39" s="245">
        <f>'Annual Savings'!K124</f>
        <v>489724</v>
      </c>
      <c r="L39" s="245">
        <f>'Annual Savings'!L124</f>
        <v>636343</v>
      </c>
      <c r="M39" s="245">
        <f>'Annual Savings'!M124</f>
        <v>934826</v>
      </c>
      <c r="N39" s="245">
        <f>SUM(N37:N38)</f>
        <v>782556.95</v>
      </c>
      <c r="O39" s="245">
        <f>SUM(O37:O38)</f>
        <v>1229205</v>
      </c>
      <c r="P39" s="245">
        <f>SUM(P37:P38)</f>
        <v>921791</v>
      </c>
      <c r="Q39" s="245">
        <f>SUM(Q37:Q38)</f>
        <v>983169.4762700018</v>
      </c>
      <c r="R39" s="139"/>
    </row>
    <row r="40" spans="1:18" ht="12.75">
      <c r="A40" s="24"/>
      <c r="B40" s="24"/>
      <c r="C40" s="24"/>
      <c r="D40" s="24"/>
      <c r="E40" s="24"/>
      <c r="F40" s="24"/>
      <c r="G40" s="24"/>
      <c r="H40" s="24"/>
      <c r="I40" s="24"/>
      <c r="J40" s="24"/>
      <c r="K40" s="24"/>
      <c r="L40" s="24"/>
      <c r="M40" s="24"/>
      <c r="N40" s="24"/>
      <c r="O40" s="24"/>
      <c r="P40" s="24"/>
      <c r="Q40" s="24"/>
      <c r="R40" s="74"/>
    </row>
    <row r="41" spans="1:18" ht="26.25">
      <c r="A41" s="410" t="s">
        <v>344</v>
      </c>
      <c r="B41" s="196" t="str">
        <f aca="true" t="shared" si="6" ref="B41:R41">B4</f>
        <v>Summary 
2001 to 2005*</v>
      </c>
      <c r="C41" s="196" t="str">
        <f>C4</f>
        <v>Summary 
2006 to 2010*</v>
      </c>
      <c r="D41" s="28">
        <f t="shared" si="6"/>
        <v>2001</v>
      </c>
      <c r="E41" s="28">
        <f t="shared" si="6"/>
        <v>2002</v>
      </c>
      <c r="F41" s="28">
        <f t="shared" si="6"/>
        <v>2003</v>
      </c>
      <c r="G41" s="28">
        <f t="shared" si="6"/>
        <v>2004</v>
      </c>
      <c r="H41" s="28">
        <f t="shared" si="6"/>
        <v>2005</v>
      </c>
      <c r="I41" s="28">
        <f t="shared" si="6"/>
        <v>2006</v>
      </c>
      <c r="J41" s="28">
        <f t="shared" si="6"/>
        <v>2007</v>
      </c>
      <c r="K41" s="28">
        <f t="shared" si="6"/>
        <v>2008</v>
      </c>
      <c r="L41" s="28">
        <f t="shared" si="6"/>
        <v>2009</v>
      </c>
      <c r="M41" s="28">
        <f t="shared" si="6"/>
        <v>2010</v>
      </c>
      <c r="N41" s="28">
        <f t="shared" si="6"/>
        <v>2011</v>
      </c>
      <c r="O41" s="196" t="str">
        <f t="shared" si="6"/>
        <v>(18 month)1
2012-2013</v>
      </c>
      <c r="P41" s="196" t="str">
        <f t="shared" si="6"/>
        <v>FY2014</v>
      </c>
      <c r="Q41" s="196" t="str">
        <f>Q4</f>
        <v>FY2015</v>
      </c>
      <c r="R41" s="213" t="str">
        <f t="shared" si="6"/>
        <v>Total 
2001 ~ FY2015</v>
      </c>
    </row>
    <row r="42" spans="1:18" ht="12.75">
      <c r="A42" s="30" t="s">
        <v>380</v>
      </c>
      <c r="B42" s="40" t="s">
        <v>8</v>
      </c>
      <c r="C42" s="40" t="s">
        <v>8</v>
      </c>
      <c r="D42" s="40" t="s">
        <v>8</v>
      </c>
      <c r="E42" s="40" t="s">
        <v>8</v>
      </c>
      <c r="F42" s="40" t="s">
        <v>8</v>
      </c>
      <c r="G42" s="40" t="s">
        <v>8</v>
      </c>
      <c r="H42" s="40" t="s">
        <v>8</v>
      </c>
      <c r="I42" s="40" t="s">
        <v>8</v>
      </c>
      <c r="J42" s="40" t="s">
        <v>8</v>
      </c>
      <c r="K42" s="40" t="s">
        <v>8</v>
      </c>
      <c r="L42" s="40" t="s">
        <v>8</v>
      </c>
      <c r="M42" s="40" t="s">
        <v>8</v>
      </c>
      <c r="N42" s="40" t="s">
        <v>8</v>
      </c>
      <c r="O42" s="40" t="s">
        <v>8</v>
      </c>
      <c r="P42" s="40" t="s">
        <v>8</v>
      </c>
      <c r="Q42" s="40" t="s">
        <v>8</v>
      </c>
      <c r="R42" s="63" t="s">
        <v>8</v>
      </c>
    </row>
    <row r="43" spans="1:19" ht="12.75">
      <c r="A43" s="179" t="s">
        <v>283</v>
      </c>
      <c r="B43" s="253">
        <f>SUM(D43:H43)</f>
        <v>3738415</v>
      </c>
      <c r="C43" s="253">
        <f>SUM(I43:M43)</f>
        <v>7582209.2</v>
      </c>
      <c r="D43" s="253">
        <f>'Lifetime Savings'!D19+'Lifetime Savings'!D21</f>
        <v>333446</v>
      </c>
      <c r="E43" s="253">
        <f>'Lifetime Savings'!E19+'Lifetime Savings'!E21</f>
        <v>383980</v>
      </c>
      <c r="F43" s="253">
        <f>'Lifetime Savings'!F19+'Lifetime Savings'!F21</f>
        <v>794638</v>
      </c>
      <c r="G43" s="253">
        <f>'Lifetime Savings'!G19+'Lifetime Savings'!G21</f>
        <v>1246972</v>
      </c>
      <c r="H43" s="253">
        <f>'Lifetime Savings'!H19+'Lifetime Savings'!H21</f>
        <v>979379</v>
      </c>
      <c r="I43" s="253">
        <f>'Lifetime Savings'!I19+'Lifetime Savings'!I21</f>
        <v>449662</v>
      </c>
      <c r="J43" s="253">
        <f>'Lifetime Savings'!J19+'Lifetime Savings'!J21</f>
        <v>1249932</v>
      </c>
      <c r="K43" s="253">
        <f>'Lifetime Savings'!K19+'Lifetime Savings'!K21</f>
        <v>1640138</v>
      </c>
      <c r="L43" s="253">
        <f>'Lifetime Savings'!L19+'Lifetime Savings'!L21</f>
        <v>2561639</v>
      </c>
      <c r="M43" s="253">
        <f>'Lifetime Savings'!M19+'Lifetime Savings'!M21</f>
        <v>1680838.2</v>
      </c>
      <c r="N43" s="253">
        <f>'Lifetime Savings'!N19+'Lifetime Savings'!N21</f>
        <v>2136151.3</v>
      </c>
      <c r="O43" s="253">
        <f>'Lifetime Savings'!O19+'Lifetime Savings'!O21</f>
        <v>2978347.2</v>
      </c>
      <c r="P43" s="253">
        <f>'Lifetime Savings'!P19+'Lifetime Savings'!P21</f>
        <v>2709690</v>
      </c>
      <c r="Q43" s="253">
        <f>'Lifetime Savings'!Q19+'Lifetime Savings'!Q21</f>
        <v>2263285.1147770183</v>
      </c>
      <c r="R43" s="252">
        <f>SUM(D43:Q43)</f>
        <v>21408097.814777017</v>
      </c>
      <c r="S43" t="s">
        <v>262</v>
      </c>
    </row>
    <row r="44" spans="1:18" ht="12.75">
      <c r="A44" s="179" t="s">
        <v>284</v>
      </c>
      <c r="B44" s="252">
        <f>SUM(D44:H44)</f>
        <v>10858893</v>
      </c>
      <c r="C44" s="252">
        <f>SUM(I44:M44)</f>
        <v>7513906</v>
      </c>
      <c r="D44" s="252">
        <f>'Lifetime Savings'!D32</f>
        <v>464149</v>
      </c>
      <c r="E44" s="252">
        <f>'Lifetime Savings'!E32</f>
        <v>2164648</v>
      </c>
      <c r="F44" s="252">
        <f>'Lifetime Savings'!F32</f>
        <v>2944525</v>
      </c>
      <c r="G44" s="252">
        <f>'Lifetime Savings'!G32</f>
        <v>3061799</v>
      </c>
      <c r="H44" s="252">
        <f>'Lifetime Savings'!H32</f>
        <v>2223772</v>
      </c>
      <c r="I44" s="252">
        <f>'Lifetime Savings'!I32</f>
        <v>1475649</v>
      </c>
      <c r="J44" s="252">
        <f>'Lifetime Savings'!J32</f>
        <v>1385437</v>
      </c>
      <c r="K44" s="252">
        <f>'Lifetime Savings'!K32</f>
        <v>1508571</v>
      </c>
      <c r="L44" s="252">
        <f>'Lifetime Savings'!L32</f>
        <v>1410736</v>
      </c>
      <c r="M44" s="252">
        <f>'Lifetime Savings'!M32</f>
        <v>1733513</v>
      </c>
      <c r="N44" s="252">
        <f>'Lifetime Savings'!N32</f>
        <v>2744834</v>
      </c>
      <c r="O44" s="252">
        <f>'Lifetime Savings'!O32</f>
        <v>3852123</v>
      </c>
      <c r="P44" s="252">
        <f>'Lifetime Savings'!P32</f>
        <v>3330631</v>
      </c>
      <c r="Q44" s="252">
        <f>'Lifetime Savings'!Q32</f>
        <v>4374387</v>
      </c>
      <c r="R44" s="252">
        <f>SUM(D44:Q44)</f>
        <v>32674774</v>
      </c>
    </row>
    <row r="45" spans="1:18" ht="12.75">
      <c r="A45" s="14" t="s">
        <v>75</v>
      </c>
      <c r="B45" s="245">
        <f>SUM(D45:H45)</f>
        <v>14876711</v>
      </c>
      <c r="C45" s="245">
        <f>SUM(I45:M45)</f>
        <v>15142604.2</v>
      </c>
      <c r="D45" s="245">
        <f>'Lifetime Savings'!D35</f>
        <v>797595</v>
      </c>
      <c r="E45" s="245">
        <f>'Lifetime Savings'!E35</f>
        <v>2548628</v>
      </c>
      <c r="F45" s="245">
        <f>'Lifetime Savings'!F35</f>
        <v>3739163</v>
      </c>
      <c r="G45" s="245">
        <f>'Lifetime Savings'!G35</f>
        <v>4308771</v>
      </c>
      <c r="H45" s="245">
        <f>'Lifetime Savings'!H35</f>
        <v>3482554</v>
      </c>
      <c r="I45" s="245">
        <f>'Lifetime Savings'!I35</f>
        <v>1935790</v>
      </c>
      <c r="J45" s="245">
        <f>'Lifetime Savings'!J35</f>
        <v>2645703</v>
      </c>
      <c r="K45" s="245">
        <f>'Lifetime Savings'!K35</f>
        <v>3160279</v>
      </c>
      <c r="L45" s="245">
        <f>'Lifetime Savings'!L35</f>
        <v>3986481</v>
      </c>
      <c r="M45" s="245">
        <f>'Lifetime Savings'!M35</f>
        <v>3414351.2</v>
      </c>
      <c r="N45" s="245">
        <f>SUM(N43:N44)</f>
        <v>4880985.3</v>
      </c>
      <c r="O45" s="245">
        <f>SUM(O43:O44)</f>
        <v>6830470.2</v>
      </c>
      <c r="P45" s="245">
        <f>SUM(P43:P44)</f>
        <v>6040321</v>
      </c>
      <c r="Q45" s="245">
        <f>SUM(Q43:Q44)</f>
        <v>6637672.114777018</v>
      </c>
      <c r="R45" s="254">
        <f>SUM(D45:Q45)</f>
        <v>54408763.814777024</v>
      </c>
    </row>
    <row r="46" spans="1:18" ht="12.75">
      <c r="A46" s="30"/>
      <c r="B46" s="402"/>
      <c r="C46" s="402"/>
      <c r="D46" s="402"/>
      <c r="E46" s="402"/>
      <c r="F46" s="402"/>
      <c r="G46" s="402"/>
      <c r="H46" s="402"/>
      <c r="I46" s="402"/>
      <c r="J46" s="402"/>
      <c r="K46" s="402"/>
      <c r="L46" s="402"/>
      <c r="M46" s="402"/>
      <c r="N46" s="402"/>
      <c r="O46" s="402"/>
      <c r="P46" s="402"/>
      <c r="Q46" s="402"/>
      <c r="R46" s="360"/>
    </row>
    <row r="47" spans="1:18" ht="12.75">
      <c r="A47" s="30" t="s">
        <v>194</v>
      </c>
      <c r="B47" s="40"/>
      <c r="C47" s="40"/>
      <c r="D47" s="40"/>
      <c r="E47" s="40"/>
      <c r="F47" s="40"/>
      <c r="G47" s="40"/>
      <c r="H47" s="40"/>
      <c r="I47" s="40"/>
      <c r="J47" s="40"/>
      <c r="K47" s="40"/>
      <c r="L47" s="40"/>
      <c r="M47" s="40"/>
      <c r="N47" s="40"/>
      <c r="O47" s="40"/>
      <c r="P47" s="40"/>
      <c r="Q47" s="40"/>
      <c r="R47" s="63"/>
    </row>
    <row r="48" spans="1:18" ht="12.75">
      <c r="A48" s="181" t="s">
        <v>84</v>
      </c>
      <c r="B48" s="246">
        <f>SUM(D48:H48)</f>
        <v>788399</v>
      </c>
      <c r="C48" s="246">
        <f>SUM(I48:M48)</f>
        <v>9618568</v>
      </c>
      <c r="D48" s="246">
        <f>'Lifetime Savings'!D48</f>
        <v>173</v>
      </c>
      <c r="E48" s="246">
        <f>'Lifetime Savings'!E48</f>
        <v>56330</v>
      </c>
      <c r="F48" s="246">
        <f>'Lifetime Savings'!F48</f>
        <v>109981</v>
      </c>
      <c r="G48" s="246">
        <f>'Lifetime Savings'!G48</f>
        <v>82996</v>
      </c>
      <c r="H48" s="246">
        <f>'Lifetime Savings'!H48</f>
        <v>538919</v>
      </c>
      <c r="I48" s="246">
        <f>'Lifetime Savings'!I48</f>
        <v>449400</v>
      </c>
      <c r="J48" s="246">
        <f>'Lifetime Savings'!J48</f>
        <v>966155</v>
      </c>
      <c r="K48" s="246">
        <f>'Lifetime Savings'!K48</f>
        <v>1994960</v>
      </c>
      <c r="L48" s="246">
        <f>'Lifetime Savings'!L48</f>
        <v>1356920</v>
      </c>
      <c r="M48" s="246">
        <f>'Lifetime Savings'!M48</f>
        <v>4851133</v>
      </c>
      <c r="N48" s="246">
        <f>'Lifetime Savings'!N48</f>
        <v>7641312</v>
      </c>
      <c r="O48" s="246">
        <f>'Lifetime Savings'!O48</f>
        <v>12812718</v>
      </c>
      <c r="P48" s="246">
        <f>'Lifetime Savings'!P48</f>
        <v>5233196</v>
      </c>
      <c r="Q48" s="246">
        <f>'Lifetime Savings'!Q48</f>
        <v>4357200</v>
      </c>
      <c r="R48" s="252">
        <f>SUM(D48:Q48)</f>
        <v>40451393</v>
      </c>
    </row>
    <row r="49" spans="1:18" ht="12.75">
      <c r="A49" s="181" t="s">
        <v>50</v>
      </c>
      <c r="B49" s="246">
        <f>SUM(D49:H49)</f>
        <v>11498</v>
      </c>
      <c r="C49" s="246">
        <f>SUM(I49:M49)</f>
        <v>2395505</v>
      </c>
      <c r="D49" s="246">
        <f>'Lifetime Savings'!D40</f>
        <v>0</v>
      </c>
      <c r="E49" s="246">
        <f>'Lifetime Savings'!E40</f>
        <v>0</v>
      </c>
      <c r="F49" s="246">
        <f>'Lifetime Savings'!F40</f>
        <v>0</v>
      </c>
      <c r="G49" s="246">
        <f>'Lifetime Savings'!G40</f>
        <v>0</v>
      </c>
      <c r="H49" s="246">
        <f>'Lifetime Savings'!H40</f>
        <v>11498</v>
      </c>
      <c r="I49" s="246">
        <f>'Lifetime Savings'!I40</f>
        <v>112759</v>
      </c>
      <c r="J49" s="246">
        <f>'Lifetime Savings'!J40</f>
        <v>1225505</v>
      </c>
      <c r="K49" s="246">
        <f>'Lifetime Savings'!K40</f>
        <v>109364</v>
      </c>
      <c r="L49" s="246">
        <f>'Lifetime Savings'!L40</f>
        <v>423802</v>
      </c>
      <c r="M49" s="246">
        <f>'Lifetime Savings'!M40</f>
        <v>524075</v>
      </c>
      <c r="N49" s="246">
        <f>'Lifetime Savings'!N40</f>
        <v>0</v>
      </c>
      <c r="O49" s="246">
        <f>'Lifetime Savings'!O40</f>
        <v>210240</v>
      </c>
      <c r="P49" s="246">
        <f>'Lifetime Savings'!P40</f>
        <v>112909</v>
      </c>
      <c r="Q49" s="246">
        <f>'Lifetime Savings'!Q40</f>
        <v>496417</v>
      </c>
      <c r="R49" s="252">
        <f>SUM(D49:Q49)</f>
        <v>3226569</v>
      </c>
    </row>
    <row r="50" spans="1:18" ht="12.75">
      <c r="A50" s="14" t="s">
        <v>1</v>
      </c>
      <c r="B50" s="245">
        <f>SUM(D50:H50)</f>
        <v>799897</v>
      </c>
      <c r="C50" s="245">
        <f>SUM(I50:M50)</f>
        <v>12014073</v>
      </c>
      <c r="D50" s="245">
        <f>SUM(D48:D49)</f>
        <v>173</v>
      </c>
      <c r="E50" s="245">
        <f aca="true" t="shared" si="7" ref="E50:R50">SUM(E48:E49)</f>
        <v>56330</v>
      </c>
      <c r="F50" s="245">
        <f t="shared" si="7"/>
        <v>109981</v>
      </c>
      <c r="G50" s="245">
        <f t="shared" si="7"/>
        <v>82996</v>
      </c>
      <c r="H50" s="245">
        <f t="shared" si="7"/>
        <v>550417</v>
      </c>
      <c r="I50" s="245">
        <f t="shared" si="7"/>
        <v>562159</v>
      </c>
      <c r="J50" s="245">
        <f t="shared" si="7"/>
        <v>2191660</v>
      </c>
      <c r="K50" s="245">
        <f t="shared" si="7"/>
        <v>2104324</v>
      </c>
      <c r="L50" s="245">
        <f t="shared" si="7"/>
        <v>1780722</v>
      </c>
      <c r="M50" s="245">
        <f t="shared" si="7"/>
        <v>5375208</v>
      </c>
      <c r="N50" s="245">
        <f t="shared" si="7"/>
        <v>7641312</v>
      </c>
      <c r="O50" s="245">
        <f t="shared" si="7"/>
        <v>13022958</v>
      </c>
      <c r="P50" s="245">
        <f t="shared" si="7"/>
        <v>5346105</v>
      </c>
      <c r="Q50" s="245">
        <f t="shared" si="7"/>
        <v>4853617</v>
      </c>
      <c r="R50" s="254">
        <f t="shared" si="7"/>
        <v>43677962</v>
      </c>
    </row>
    <row r="51" spans="1:18" ht="12.75">
      <c r="A51" s="401"/>
      <c r="B51" s="402"/>
      <c r="C51" s="402"/>
      <c r="D51" s="402"/>
      <c r="E51" s="402"/>
      <c r="F51" s="402"/>
      <c r="G51" s="402"/>
      <c r="H51" s="402"/>
      <c r="I51" s="402"/>
      <c r="J51" s="402"/>
      <c r="K51" s="402"/>
      <c r="L51" s="402"/>
      <c r="M51" s="402"/>
      <c r="N51" s="402"/>
      <c r="O51" s="402"/>
      <c r="P51" s="402"/>
      <c r="Q51" s="402"/>
      <c r="R51" s="360"/>
    </row>
    <row r="52" spans="1:18" ht="12.75">
      <c r="A52" s="75" t="s">
        <v>62</v>
      </c>
      <c r="B52" s="40" t="s">
        <v>11</v>
      </c>
      <c r="C52" s="40" t="s">
        <v>11</v>
      </c>
      <c r="D52" s="40" t="s">
        <v>11</v>
      </c>
      <c r="E52" s="40" t="s">
        <v>11</v>
      </c>
      <c r="F52" s="40" t="s">
        <v>11</v>
      </c>
      <c r="G52" s="40" t="s">
        <v>11</v>
      </c>
      <c r="H52" s="40" t="s">
        <v>11</v>
      </c>
      <c r="I52" s="40" t="s">
        <v>11</v>
      </c>
      <c r="J52" s="40" t="s">
        <v>11</v>
      </c>
      <c r="K52" s="40" t="s">
        <v>11</v>
      </c>
      <c r="L52" s="40" t="s">
        <v>11</v>
      </c>
      <c r="M52" s="40" t="s">
        <v>11</v>
      </c>
      <c r="N52" s="40" t="s">
        <v>11</v>
      </c>
      <c r="O52" s="40" t="s">
        <v>11</v>
      </c>
      <c r="P52" s="40" t="s">
        <v>11</v>
      </c>
      <c r="Q52" s="40" t="s">
        <v>11</v>
      </c>
      <c r="R52" s="63" t="s">
        <v>11</v>
      </c>
    </row>
    <row r="53" spans="1:19" ht="12.75">
      <c r="A53" s="179" t="s">
        <v>283</v>
      </c>
      <c r="B53" s="252">
        <f>SUM(D53:H53)</f>
        <v>31941952</v>
      </c>
      <c r="C53" s="252">
        <f>SUM(I53:M53)</f>
        <v>36960329</v>
      </c>
      <c r="D53" s="252">
        <f>'Lifetime Savings'!D58+'Lifetime Savings'!D60</f>
        <v>4186883</v>
      </c>
      <c r="E53" s="252">
        <f>'Lifetime Savings'!E58+'Lifetime Savings'!E60</f>
        <v>6030139</v>
      </c>
      <c r="F53" s="252">
        <f>'Lifetime Savings'!F58+'Lifetime Savings'!F60</f>
        <v>6195630</v>
      </c>
      <c r="G53" s="252">
        <f>'Lifetime Savings'!G58+'Lifetime Savings'!G60</f>
        <v>7288146</v>
      </c>
      <c r="H53" s="252">
        <f>'Lifetime Savings'!H58+'Lifetime Savings'!H60</f>
        <v>8241154</v>
      </c>
      <c r="I53" s="252">
        <f>'Lifetime Savings'!I58+'Lifetime Savings'!I60</f>
        <v>5991369</v>
      </c>
      <c r="J53" s="252">
        <f>'Lifetime Savings'!J58+'Lifetime Savings'!J60</f>
        <v>6739813</v>
      </c>
      <c r="K53" s="252">
        <f>'Lifetime Savings'!K58+'Lifetime Savings'!K60</f>
        <v>6912070</v>
      </c>
      <c r="L53" s="252">
        <f>'Lifetime Savings'!L58+'Lifetime Savings'!L60</f>
        <v>7588296</v>
      </c>
      <c r="M53" s="252">
        <f>'Lifetime Savings'!M58+'Lifetime Savings'!M60</f>
        <v>9728781</v>
      </c>
      <c r="N53" s="252">
        <f>'Lifetime Savings'!N58+'Lifetime Savings'!N60</f>
        <v>11855780.84</v>
      </c>
      <c r="O53" s="252">
        <f>'Lifetime Savings'!O58+'Lifetime Savings'!O60</f>
        <v>12795357</v>
      </c>
      <c r="P53" s="252">
        <f>'Lifetime Savings'!P58+'Lifetime Savings'!P60</f>
        <v>6324099</v>
      </c>
      <c r="Q53" s="252">
        <f>'Lifetime Savings'!Q58+'Lifetime Savings'!Q60</f>
        <v>8395963.47860003</v>
      </c>
      <c r="R53" s="252">
        <f>SUM(D53:Q53)</f>
        <v>108273481.31860003</v>
      </c>
      <c r="S53" t="s">
        <v>262</v>
      </c>
    </row>
    <row r="54" spans="1:18" ht="12.75">
      <c r="A54" s="179" t="s">
        <v>284</v>
      </c>
      <c r="B54" s="252">
        <f>SUM(D54:H54)</f>
        <v>6885363</v>
      </c>
      <c r="C54" s="252">
        <f>SUM(I54:M54)</f>
        <v>21480397</v>
      </c>
      <c r="D54" s="252">
        <f>'Lifetime Savings'!D71</f>
        <v>616099</v>
      </c>
      <c r="E54" s="252">
        <f>'Lifetime Savings'!E71</f>
        <v>502563</v>
      </c>
      <c r="F54" s="252">
        <f>'Lifetime Savings'!F71</f>
        <v>1510800</v>
      </c>
      <c r="G54" s="252">
        <f>'Lifetime Savings'!G71</f>
        <v>819655</v>
      </c>
      <c r="H54" s="252">
        <f>'Lifetime Savings'!H71</f>
        <v>3436246</v>
      </c>
      <c r="I54" s="252">
        <f>'Lifetime Savings'!I71</f>
        <v>3145861</v>
      </c>
      <c r="J54" s="252">
        <f>'Lifetime Savings'!J71</f>
        <v>6992671</v>
      </c>
      <c r="K54" s="252">
        <f>'Lifetime Savings'!K71</f>
        <v>1659156</v>
      </c>
      <c r="L54" s="252">
        <f>'Lifetime Savings'!L71</f>
        <v>2935762</v>
      </c>
      <c r="M54" s="252">
        <f>'Lifetime Savings'!M71</f>
        <v>6746947</v>
      </c>
      <c r="N54" s="252">
        <f>'Lifetime Savings'!N71</f>
        <v>2637393</v>
      </c>
      <c r="O54" s="252">
        <f>'Lifetime Savings'!O71</f>
        <v>9648043</v>
      </c>
      <c r="P54" s="252">
        <f>'Lifetime Savings'!P71</f>
        <v>10333496</v>
      </c>
      <c r="Q54" s="252">
        <f>'Lifetime Savings'!Q71</f>
        <v>8727600</v>
      </c>
      <c r="R54" s="252">
        <f>SUM(D54:Q54)</f>
        <v>59712292</v>
      </c>
    </row>
    <row r="55" spans="1:18" ht="12.75">
      <c r="A55" s="211" t="s">
        <v>75</v>
      </c>
      <c r="B55" s="245">
        <f>SUM(D55:H55)</f>
        <v>38827315</v>
      </c>
      <c r="C55" s="245">
        <f>SUM(I55:M55)</f>
        <v>58440726</v>
      </c>
      <c r="D55" s="245">
        <f>'Lifetime Savings'!D72</f>
        <v>4802982</v>
      </c>
      <c r="E55" s="245">
        <f>'Lifetime Savings'!E72</f>
        <v>6532702</v>
      </c>
      <c r="F55" s="245">
        <f>'Lifetime Savings'!F72</f>
        <v>7706430</v>
      </c>
      <c r="G55" s="245">
        <f>'Lifetime Savings'!G72</f>
        <v>8107801</v>
      </c>
      <c r="H55" s="245">
        <f>'Lifetime Savings'!H72</f>
        <v>11677400</v>
      </c>
      <c r="I55" s="245">
        <f>'Lifetime Savings'!I72</f>
        <v>9137230</v>
      </c>
      <c r="J55" s="245">
        <f>'Lifetime Savings'!J72</f>
        <v>13732484</v>
      </c>
      <c r="K55" s="245">
        <f>'Lifetime Savings'!K72</f>
        <v>8571226</v>
      </c>
      <c r="L55" s="245">
        <f>'Lifetime Savings'!L72</f>
        <v>10524058</v>
      </c>
      <c r="M55" s="245">
        <f>'Lifetime Savings'!M72</f>
        <v>16475728</v>
      </c>
      <c r="N55" s="245">
        <f>SUM(N53:N54)</f>
        <v>14493173.84</v>
      </c>
      <c r="O55" s="245">
        <f>SUM(O53:O54)</f>
        <v>22443400</v>
      </c>
      <c r="P55" s="245">
        <f>SUM(P53:P54)</f>
        <v>16657595</v>
      </c>
      <c r="Q55" s="245">
        <f>SUM(Q53:Q54)</f>
        <v>17123563.478600033</v>
      </c>
      <c r="R55" s="254">
        <f>SUM(D55:Q55)</f>
        <v>167985773.31860003</v>
      </c>
    </row>
    <row r="56" spans="1:18" ht="12.75">
      <c r="A56" s="24"/>
      <c r="B56" s="62"/>
      <c r="C56" s="62"/>
      <c r="D56" s="62"/>
      <c r="E56" s="62"/>
      <c r="F56" s="62"/>
      <c r="G56" s="62"/>
      <c r="H56" s="62"/>
      <c r="I56" s="62"/>
      <c r="J56" s="62"/>
      <c r="K56" s="62"/>
      <c r="L56" s="62"/>
      <c r="M56" s="62"/>
      <c r="N56" s="62"/>
      <c r="O56" s="62"/>
      <c r="P56" s="62"/>
      <c r="Q56" s="62"/>
      <c r="R56" s="97"/>
    </row>
    <row r="57" spans="1:3" ht="12.75">
      <c r="A57" s="2" t="s">
        <v>291</v>
      </c>
      <c r="B57" s="214"/>
      <c r="C57" s="214"/>
    </row>
    <row r="58" ht="12.75">
      <c r="A58" s="357" t="s">
        <v>350</v>
      </c>
    </row>
  </sheetData>
  <sheetProtection/>
  <mergeCells count="2">
    <mergeCell ref="A1:R1"/>
    <mergeCell ref="A2:R2"/>
  </mergeCells>
  <printOptions/>
  <pageMargins left="0.17" right="0.17" top="0.4" bottom="0.6" header="0.24" footer="0.24"/>
  <pageSetup fitToHeight="1" fitToWidth="1" horizontalDpi="600" verticalDpi="600" orientation="landscape" scale="73" r:id="rId1"/>
  <headerFooter scaleWithDoc="0" alignWithMargins="0">
    <oddFooter>&amp;L&amp;6&amp;A - Results by Program Year&amp;R&amp;6printed &amp;D at &amp;T</oddFooter>
  </headerFooter>
  <colBreaks count="1" manualBreakCount="1">
    <brk id="18" max="65535" man="1"/>
  </colBreaks>
</worksheet>
</file>

<file path=xl/worksheets/sheet30.xml><?xml version="1.0" encoding="utf-8"?>
<worksheet xmlns="http://schemas.openxmlformats.org/spreadsheetml/2006/main" xmlns:r="http://schemas.openxmlformats.org/officeDocument/2006/relationships">
  <sheetPr>
    <tabColor theme="5" tint="0.39998000860214233"/>
  </sheetPr>
  <dimension ref="A1:P32"/>
  <sheetViews>
    <sheetView showGridLines="0" zoomScalePageLayoutView="0" workbookViewId="0" topLeftCell="A1">
      <selection activeCell="A1" sqref="A1:L1"/>
    </sheetView>
  </sheetViews>
  <sheetFormatPr defaultColWidth="10.7109375" defaultRowHeight="12.75"/>
  <cols>
    <col min="1" max="1" width="25.7109375" style="3" customWidth="1"/>
    <col min="2" max="16384" width="10.7109375" style="6" customWidth="1"/>
  </cols>
  <sheetData>
    <row r="1" spans="1:16" ht="12.75">
      <c r="A1" s="483" t="s">
        <v>393</v>
      </c>
      <c r="B1" s="483"/>
      <c r="C1" s="483"/>
      <c r="D1" s="483"/>
      <c r="E1" s="483"/>
      <c r="F1" s="483"/>
      <c r="G1" s="435"/>
      <c r="H1" s="435"/>
      <c r="I1" s="435"/>
      <c r="J1" s="435"/>
      <c r="K1" s="435"/>
      <c r="L1" s="435"/>
      <c r="M1" s="435"/>
      <c r="N1" s="435"/>
      <c r="O1" s="435"/>
      <c r="P1" s="435"/>
    </row>
    <row r="2" spans="1:6" ht="12.75">
      <c r="A2" s="483" t="s">
        <v>25</v>
      </c>
      <c r="B2" s="483"/>
      <c r="C2" s="483"/>
      <c r="D2" s="483"/>
      <c r="E2" s="483"/>
      <c r="F2" s="483"/>
    </row>
    <row r="3" spans="1:9" ht="25.5">
      <c r="A3" s="21"/>
      <c r="B3" s="28">
        <v>2001</v>
      </c>
      <c r="C3" s="28">
        <v>2002</v>
      </c>
      <c r="D3" s="28">
        <v>2003</v>
      </c>
      <c r="E3" s="28">
        <v>2004</v>
      </c>
      <c r="F3" s="196" t="str">
        <f>"Total "&amp;CHAR(10)&amp;B3&amp;" - "&amp;E3</f>
        <v>Total 
2001 - 2004</v>
      </c>
      <c r="G3" s="3"/>
      <c r="H3" s="3"/>
      <c r="I3" s="3"/>
    </row>
    <row r="4" spans="1:9" ht="12.75">
      <c r="A4" s="43" t="s">
        <v>54</v>
      </c>
      <c r="B4" s="40"/>
      <c r="C4" s="40"/>
      <c r="D4" s="40"/>
      <c r="E4" s="40"/>
      <c r="F4" s="40"/>
      <c r="G4" s="3"/>
      <c r="H4" s="3"/>
      <c r="I4" s="3"/>
    </row>
    <row r="5" spans="1:9" ht="12.75">
      <c r="A5" s="15" t="s">
        <v>110</v>
      </c>
      <c r="B5" s="272">
        <v>6740</v>
      </c>
      <c r="C5" s="272">
        <v>7246</v>
      </c>
      <c r="D5" s="272">
        <v>7906</v>
      </c>
      <c r="E5" s="272">
        <v>935</v>
      </c>
      <c r="F5" s="272">
        <f>SUM(B5:E5)</f>
        <v>22827</v>
      </c>
      <c r="G5" s="3"/>
      <c r="H5" s="3"/>
      <c r="I5" s="3"/>
    </row>
    <row r="6" spans="1:6" ht="42" customHeight="1">
      <c r="A6" s="485" t="s">
        <v>282</v>
      </c>
      <c r="B6" s="485"/>
      <c r="C6" s="485"/>
      <c r="D6" s="485"/>
      <c r="E6" s="485"/>
      <c r="F6" s="485"/>
    </row>
    <row r="7" ht="12.75" customHeight="1"/>
    <row r="8" spans="1:9" ht="12.75">
      <c r="A8" s="30" t="s">
        <v>33</v>
      </c>
      <c r="B8" s="41"/>
      <c r="C8" s="41"/>
      <c r="D8" s="41"/>
      <c r="E8" s="41"/>
      <c r="F8" s="40"/>
      <c r="G8" s="3"/>
      <c r="H8" s="3"/>
      <c r="I8" s="3"/>
    </row>
    <row r="9" spans="1:6" s="3" customFormat="1" ht="12.75">
      <c r="A9" s="15" t="s">
        <v>58</v>
      </c>
      <c r="B9" s="272">
        <v>7825</v>
      </c>
      <c r="C9" s="272">
        <v>7516</v>
      </c>
      <c r="D9" s="272">
        <v>5916</v>
      </c>
      <c r="E9" s="272">
        <v>496</v>
      </c>
      <c r="F9" s="272">
        <f>SUM(B9:E9)</f>
        <v>21753</v>
      </c>
    </row>
    <row r="10" spans="1:6" s="3" customFormat="1" ht="12.75">
      <c r="A10" s="21"/>
      <c r="B10" s="42"/>
      <c r="C10" s="42"/>
      <c r="D10" s="42"/>
      <c r="E10" s="42"/>
      <c r="F10" s="42"/>
    </row>
    <row r="11" spans="1:6" s="3" customFormat="1" ht="12.75">
      <c r="A11" s="43" t="s">
        <v>34</v>
      </c>
      <c r="F11" s="44"/>
    </row>
    <row r="12" spans="1:6" s="3" customFormat="1" ht="12.75">
      <c r="A12" s="16" t="s">
        <v>114</v>
      </c>
      <c r="B12" s="250">
        <v>239060</v>
      </c>
      <c r="C12" s="250">
        <v>226830</v>
      </c>
      <c r="D12" s="250">
        <v>218392</v>
      </c>
      <c r="E12" s="250">
        <v>228655</v>
      </c>
      <c r="F12" s="250"/>
    </row>
    <row r="13" spans="1:6" s="3" customFormat="1" ht="12.75">
      <c r="A13" s="21"/>
      <c r="B13" s="44"/>
      <c r="C13" s="44"/>
      <c r="D13" s="44"/>
      <c r="E13" s="44"/>
      <c r="F13" s="44"/>
    </row>
    <row r="14" spans="1:6" s="3" customFormat="1" ht="12.75">
      <c r="A14" s="43" t="s">
        <v>59</v>
      </c>
      <c r="B14" s="40" t="s">
        <v>9</v>
      </c>
      <c r="C14" s="40" t="s">
        <v>9</v>
      </c>
      <c r="D14" s="40" t="s">
        <v>9</v>
      </c>
      <c r="E14" s="40" t="s">
        <v>9</v>
      </c>
      <c r="F14" s="40"/>
    </row>
    <row r="15" spans="1:6" ht="12.75">
      <c r="A15" s="15" t="s">
        <v>31</v>
      </c>
      <c r="B15" s="250">
        <v>204971</v>
      </c>
      <c r="C15" s="250">
        <v>196222</v>
      </c>
      <c r="D15" s="250">
        <v>194531</v>
      </c>
      <c r="E15" s="250">
        <v>173164</v>
      </c>
      <c r="F15" s="250"/>
    </row>
    <row r="17" spans="1:2" ht="12.75">
      <c r="A17" s="21" t="s">
        <v>60</v>
      </c>
      <c r="B17" s="7"/>
    </row>
    <row r="18" ht="12.75">
      <c r="A18" s="7" t="s">
        <v>77</v>
      </c>
    </row>
    <row r="19" spans="2:7" ht="12.75">
      <c r="B19" s="8"/>
      <c r="G19" s="8"/>
    </row>
    <row r="20" spans="2:10" ht="12.75">
      <c r="B20" s="9"/>
      <c r="C20" s="9"/>
      <c r="D20" s="9"/>
      <c r="E20" s="9"/>
      <c r="F20" s="9"/>
      <c r="G20" s="9"/>
      <c r="H20" s="9"/>
      <c r="I20" s="9"/>
      <c r="J20" s="9"/>
    </row>
    <row r="21" ht="12.75">
      <c r="B21" s="3"/>
    </row>
    <row r="22" ht="12.75">
      <c r="A22" s="2"/>
    </row>
    <row r="23" spans="2:10" ht="12.75">
      <c r="B23" s="10"/>
      <c r="C23" s="10"/>
      <c r="D23" s="10"/>
      <c r="E23" s="10"/>
      <c r="F23" s="10"/>
      <c r="G23" s="10"/>
      <c r="H23" s="10"/>
      <c r="I23" s="10"/>
      <c r="J23" s="10"/>
    </row>
    <row r="24" spans="1:10" ht="12.75">
      <c r="A24" s="2"/>
      <c r="B24" s="10"/>
      <c r="C24" s="10"/>
      <c r="D24" s="10"/>
      <c r="E24" s="10"/>
      <c r="F24" s="10"/>
      <c r="G24" s="10"/>
      <c r="H24" s="10"/>
      <c r="I24" s="10"/>
      <c r="J24" s="10"/>
    </row>
    <row r="25" spans="2:7" ht="12.75">
      <c r="B25" s="8"/>
      <c r="G25" s="8"/>
    </row>
    <row r="26" ht="12.75">
      <c r="A26" s="2"/>
    </row>
    <row r="27" spans="1:10" ht="12.75">
      <c r="A27" s="2"/>
      <c r="B27" s="9"/>
      <c r="C27" s="9"/>
      <c r="D27" s="9"/>
      <c r="E27" s="9"/>
      <c r="F27" s="9"/>
      <c r="G27" s="9"/>
      <c r="H27" s="9"/>
      <c r="I27" s="9"/>
      <c r="J27" s="9"/>
    </row>
    <row r="28" spans="2:10" ht="12.75">
      <c r="B28" s="9"/>
      <c r="C28" s="9"/>
      <c r="D28" s="9"/>
      <c r="E28" s="9"/>
      <c r="F28" s="9"/>
      <c r="G28" s="9"/>
      <c r="H28" s="9"/>
      <c r="I28" s="9"/>
      <c r="J28" s="9"/>
    </row>
    <row r="29" ht="12.75">
      <c r="B29" s="3"/>
    </row>
    <row r="30" ht="12.75">
      <c r="A30" s="2"/>
    </row>
    <row r="31" spans="1:10" ht="12.75">
      <c r="A31" s="2"/>
      <c r="B31" s="10"/>
      <c r="C31" s="10"/>
      <c r="D31" s="10"/>
      <c r="E31" s="10"/>
      <c r="F31" s="10"/>
      <c r="G31" s="10"/>
      <c r="H31" s="10"/>
      <c r="I31" s="10"/>
      <c r="J31" s="10"/>
    </row>
    <row r="32" spans="1:10" ht="12.75">
      <c r="A32" s="2"/>
      <c r="B32" s="10"/>
      <c r="C32" s="10"/>
      <c r="D32" s="10"/>
      <c r="E32" s="10"/>
      <c r="F32" s="10"/>
      <c r="G32" s="10"/>
      <c r="H32" s="10"/>
      <c r="I32" s="10"/>
      <c r="J32" s="10"/>
    </row>
  </sheetData>
  <sheetProtection/>
  <mergeCells count="3">
    <mergeCell ref="A6:F6"/>
    <mergeCell ref="A2:F2"/>
    <mergeCell ref="A1:F1"/>
  </mergeCells>
  <printOptions horizontalCentered="1"/>
  <pageMargins left="0.17" right="0.17" top="0.4" bottom="0.6" header="0.24" footer="0.24"/>
  <pageSetup horizontalDpi="600" verticalDpi="600" orientation="landscape" r:id="rId1"/>
  <headerFooter scaleWithDoc="0" alignWithMargins="0">
    <oddFooter>&amp;L&amp;6&amp;A - Results by Program Year&amp;R&amp;6printed &amp;D at &amp;T</oddFooter>
  </headerFooter>
</worksheet>
</file>

<file path=xl/worksheets/sheet31.xml><?xml version="1.0" encoding="utf-8"?>
<worksheet xmlns="http://schemas.openxmlformats.org/spreadsheetml/2006/main" xmlns:r="http://schemas.openxmlformats.org/officeDocument/2006/relationships">
  <sheetPr>
    <tabColor theme="5" tint="0.39998000860214233"/>
    <pageSetUpPr fitToPage="1"/>
  </sheetPr>
  <dimension ref="A1:O16"/>
  <sheetViews>
    <sheetView showGridLines="0" zoomScalePageLayoutView="0" workbookViewId="0" topLeftCell="A1">
      <selection activeCell="A1" sqref="A1:L1"/>
    </sheetView>
  </sheetViews>
  <sheetFormatPr defaultColWidth="10.7109375" defaultRowHeight="12.75"/>
  <cols>
    <col min="1" max="1" width="38.00390625" style="3" bestFit="1" customWidth="1"/>
    <col min="2" max="2" width="11.8515625" style="6" bestFit="1" customWidth="1"/>
    <col min="3" max="3" width="11.28125" style="6" bestFit="1" customWidth="1"/>
    <col min="4" max="6" width="10.8515625" style="6" bestFit="1" customWidth="1"/>
    <col min="7" max="10" width="10.8515625" style="6" customWidth="1"/>
    <col min="11" max="11" width="13.7109375" style="6" bestFit="1" customWidth="1"/>
    <col min="12" max="16384" width="10.7109375" style="6" customWidth="1"/>
  </cols>
  <sheetData>
    <row r="1" spans="1:11" ht="12.75">
      <c r="A1" s="483" t="s">
        <v>393</v>
      </c>
      <c r="B1" s="483"/>
      <c r="C1" s="483"/>
      <c r="D1" s="483"/>
      <c r="E1" s="483"/>
      <c r="F1" s="483"/>
      <c r="G1" s="483"/>
      <c r="H1" s="483"/>
      <c r="I1" s="483"/>
      <c r="J1" s="483"/>
      <c r="K1" s="483"/>
    </row>
    <row r="2" spans="1:11" ht="12.75">
      <c r="A2" s="483" t="s">
        <v>336</v>
      </c>
      <c r="B2" s="483"/>
      <c r="C2" s="483"/>
      <c r="D2" s="483"/>
      <c r="E2" s="483"/>
      <c r="F2" s="483"/>
      <c r="G2" s="483"/>
      <c r="H2" s="483"/>
      <c r="I2" s="483"/>
      <c r="J2" s="483"/>
      <c r="K2" s="483"/>
    </row>
    <row r="3" spans="1:14" ht="12.75">
      <c r="A3" s="21"/>
      <c r="L3" s="3"/>
      <c r="M3" s="3"/>
      <c r="N3" s="3"/>
    </row>
    <row r="4" spans="1:14" ht="25.5">
      <c r="A4" s="43"/>
      <c r="B4" s="28">
        <v>2005</v>
      </c>
      <c r="C4" s="28">
        <v>2006</v>
      </c>
      <c r="D4" s="28">
        <v>2007</v>
      </c>
      <c r="E4" s="28">
        <v>2008</v>
      </c>
      <c r="F4" s="28">
        <v>2009</v>
      </c>
      <c r="G4" s="28">
        <v>2010</v>
      </c>
      <c r="H4" s="28">
        <v>2011</v>
      </c>
      <c r="I4" s="196" t="s">
        <v>346</v>
      </c>
      <c r="J4" s="196" t="s">
        <v>351</v>
      </c>
      <c r="K4" s="196" t="str">
        <f>"Total "&amp;CHAR(10)&amp;B4&amp;" ~ "&amp;J4</f>
        <v>Total 
2005 ~ FY2014</v>
      </c>
      <c r="L4" s="3"/>
      <c r="M4" s="3"/>
      <c r="N4" s="3"/>
    </row>
    <row r="5" spans="1:14" ht="12.75">
      <c r="A5" s="16" t="s">
        <v>206</v>
      </c>
      <c r="B5" s="272">
        <v>3000000</v>
      </c>
      <c r="C5" s="272">
        <v>1933000</v>
      </c>
      <c r="D5" s="272">
        <v>935000</v>
      </c>
      <c r="E5" s="272">
        <v>982000</v>
      </c>
      <c r="F5" s="272">
        <v>629501</v>
      </c>
      <c r="G5" s="272">
        <v>123115.25</v>
      </c>
      <c r="H5" s="272">
        <v>68400</v>
      </c>
      <c r="I5" s="247">
        <v>32400</v>
      </c>
      <c r="J5" s="247">
        <v>0</v>
      </c>
      <c r="K5" s="272">
        <f>SUM(B5:J5)</f>
        <v>7703416.25</v>
      </c>
      <c r="L5" s="3"/>
      <c r="M5" s="3"/>
      <c r="N5" s="3"/>
    </row>
    <row r="6" spans="2:14" ht="12.75">
      <c r="B6" s="121"/>
      <c r="C6" s="121"/>
      <c r="D6" s="121"/>
      <c r="E6" s="121"/>
      <c r="F6" s="121"/>
      <c r="G6" s="121"/>
      <c r="H6" s="121"/>
      <c r="I6" s="140"/>
      <c r="J6" s="140"/>
      <c r="K6" s="102"/>
      <c r="L6" s="3"/>
      <c r="M6" s="3"/>
      <c r="N6" s="3"/>
    </row>
    <row r="7" spans="1:11" ht="12.75">
      <c r="A7" s="14" t="s">
        <v>256</v>
      </c>
      <c r="B7" s="272">
        <v>2729000</v>
      </c>
      <c r="C7" s="272">
        <v>1150000</v>
      </c>
      <c r="D7" s="272">
        <v>740000</v>
      </c>
      <c r="E7" s="272">
        <v>834000</v>
      </c>
      <c r="F7" s="272">
        <v>411884.32</v>
      </c>
      <c r="G7" s="272">
        <v>66748.64</v>
      </c>
      <c r="H7" s="272">
        <v>29209.4</v>
      </c>
      <c r="I7" s="247">
        <v>28529.94</v>
      </c>
      <c r="J7" s="247">
        <v>0</v>
      </c>
      <c r="K7" s="272">
        <f>SUM(B7:J7)</f>
        <v>5989372.300000001</v>
      </c>
    </row>
    <row r="8" spans="1:15" ht="12.75">
      <c r="A8" s="6"/>
      <c r="B8" s="10"/>
      <c r="C8" s="10"/>
      <c r="D8" s="10"/>
      <c r="E8" s="10"/>
      <c r="F8" s="10"/>
      <c r="G8" s="10"/>
      <c r="H8" s="10"/>
      <c r="I8" s="10"/>
      <c r="J8" s="10"/>
      <c r="K8" s="10"/>
      <c r="L8" s="10"/>
      <c r="M8" s="10"/>
      <c r="N8" s="10"/>
      <c r="O8" s="10"/>
    </row>
    <row r="9" spans="1:11" ht="12.75">
      <c r="A9" s="76" t="s">
        <v>5</v>
      </c>
      <c r="B9" s="252"/>
      <c r="C9" s="252">
        <v>8867</v>
      </c>
      <c r="D9" s="252">
        <v>13473</v>
      </c>
      <c r="E9" s="252">
        <v>14456</v>
      </c>
      <c r="F9" s="252">
        <v>14135</v>
      </c>
      <c r="G9" s="252">
        <v>8933</v>
      </c>
      <c r="H9" s="252">
        <v>10388</v>
      </c>
      <c r="I9" s="252">
        <f>9384+182</f>
        <v>9566</v>
      </c>
      <c r="J9" s="252">
        <v>0</v>
      </c>
      <c r="K9" s="129"/>
    </row>
    <row r="10" spans="1:11" ht="12.75">
      <c r="A10" s="78"/>
      <c r="B10" s="58"/>
      <c r="C10" s="58"/>
      <c r="D10" s="58"/>
      <c r="E10" s="58"/>
      <c r="F10" s="58"/>
      <c r="G10" s="58"/>
      <c r="H10" s="58"/>
      <c r="I10" s="58"/>
      <c r="J10" s="58"/>
      <c r="K10" s="44"/>
    </row>
    <row r="11" spans="1:15" ht="12.75">
      <c r="A11" s="6"/>
      <c r="B11" s="64" t="s">
        <v>8</v>
      </c>
      <c r="C11" s="64" t="s">
        <v>8</v>
      </c>
      <c r="D11" s="64" t="s">
        <v>8</v>
      </c>
      <c r="E11" s="91" t="s">
        <v>8</v>
      </c>
      <c r="F11" s="91" t="s">
        <v>8</v>
      </c>
      <c r="G11" s="91" t="s">
        <v>8</v>
      </c>
      <c r="H11" s="91" t="s">
        <v>8</v>
      </c>
      <c r="I11" s="91" t="s">
        <v>8</v>
      </c>
      <c r="J11" s="91" t="s">
        <v>8</v>
      </c>
      <c r="K11" s="91" t="s">
        <v>8</v>
      </c>
      <c r="L11" s="10"/>
      <c r="M11" s="10"/>
      <c r="N11" s="10"/>
      <c r="O11" s="10"/>
    </row>
    <row r="12" spans="1:11" ht="12.75">
      <c r="A12" s="16" t="s">
        <v>99</v>
      </c>
      <c r="B12" s="252">
        <v>0</v>
      </c>
      <c r="C12" s="252">
        <v>22189</v>
      </c>
      <c r="D12" s="252">
        <v>74091</v>
      </c>
      <c r="E12" s="252">
        <v>89220.72</v>
      </c>
      <c r="F12" s="252">
        <v>101256</v>
      </c>
      <c r="G12" s="252">
        <v>74988</v>
      </c>
      <c r="H12" s="252"/>
      <c r="I12" s="256"/>
      <c r="J12" s="256">
        <v>0</v>
      </c>
      <c r="K12" s="252">
        <f>SUM(B12:J12)</f>
        <v>361744.72</v>
      </c>
    </row>
    <row r="13" spans="1:11" ht="12.75">
      <c r="A13" s="43"/>
      <c r="B13" s="58"/>
      <c r="C13" s="58"/>
      <c r="D13" s="58"/>
      <c r="E13" s="58"/>
      <c r="F13" s="58"/>
      <c r="G13" s="58"/>
      <c r="H13" s="58"/>
      <c r="I13" s="58"/>
      <c r="J13" s="58"/>
      <c r="K13" s="44"/>
    </row>
    <row r="16" spans="4:6" ht="12.75">
      <c r="D16" s="71"/>
      <c r="E16" s="71"/>
      <c r="F16" s="71"/>
    </row>
  </sheetData>
  <sheetProtection/>
  <mergeCells count="2">
    <mergeCell ref="A2:K2"/>
    <mergeCell ref="A1:K1"/>
  </mergeCells>
  <printOptions/>
  <pageMargins left="0.17" right="0.17" top="0.4" bottom="0.6" header="0.24" footer="0.24"/>
  <pageSetup fitToHeight="1" fitToWidth="1" horizontalDpi="600" verticalDpi="600" orientation="landscape" scale="91" r:id="rId1"/>
  <headerFooter scaleWithDoc="0" alignWithMargins="0">
    <oddFooter>&amp;L&amp;6&amp;A - Results by Program Year&amp;R&amp;6printed &amp;D at &amp;T</oddFooter>
  </headerFooter>
</worksheet>
</file>

<file path=xl/worksheets/sheet32.xml><?xml version="1.0" encoding="utf-8"?>
<worksheet xmlns="http://schemas.openxmlformats.org/spreadsheetml/2006/main" xmlns:r="http://schemas.openxmlformats.org/officeDocument/2006/relationships">
  <sheetPr>
    <tabColor theme="5" tint="0.39998000860214233"/>
    <pageSetUpPr fitToPage="1"/>
  </sheetPr>
  <dimension ref="A1:I27"/>
  <sheetViews>
    <sheetView showGridLines="0" zoomScalePageLayoutView="0" workbookViewId="0" topLeftCell="A1">
      <selection activeCell="A1" sqref="A1:L1"/>
    </sheetView>
  </sheetViews>
  <sheetFormatPr defaultColWidth="9.140625" defaultRowHeight="12.75"/>
  <cols>
    <col min="1" max="1" width="28.7109375" style="0" customWidth="1"/>
    <col min="2" max="5" width="14.7109375" style="0" bestFit="1" customWidth="1"/>
    <col min="6" max="6" width="14.421875" style="0" bestFit="1" customWidth="1"/>
    <col min="7" max="8" width="14.140625" style="0" bestFit="1" customWidth="1"/>
    <col min="9" max="9" width="15.57421875" style="0" bestFit="1" customWidth="1"/>
  </cols>
  <sheetData>
    <row r="1" spans="1:9" ht="12.75">
      <c r="A1" s="483" t="s">
        <v>393</v>
      </c>
      <c r="B1" s="483"/>
      <c r="C1" s="483"/>
      <c r="D1" s="483"/>
      <c r="E1" s="483"/>
      <c r="F1" s="483"/>
      <c r="G1" s="483"/>
      <c r="H1" s="483"/>
      <c r="I1" s="483"/>
    </row>
    <row r="2" spans="1:9" ht="12.75">
      <c r="A2" s="483" t="s">
        <v>55</v>
      </c>
      <c r="B2" s="483"/>
      <c r="C2" s="483"/>
      <c r="D2" s="483"/>
      <c r="E2" s="483"/>
      <c r="F2" s="483"/>
      <c r="G2" s="483"/>
      <c r="H2" s="483"/>
      <c r="I2" s="483"/>
    </row>
    <row r="3" ht="12.75">
      <c r="A3" s="24"/>
    </row>
    <row r="4" spans="1:9" ht="25.5">
      <c r="A4" s="30" t="s">
        <v>206</v>
      </c>
      <c r="B4" s="28">
        <v>2003</v>
      </c>
      <c r="C4" s="28">
        <v>2004</v>
      </c>
      <c r="D4" s="28">
        <v>2005</v>
      </c>
      <c r="E4" s="28">
        <v>2006</v>
      </c>
      <c r="F4" s="28">
        <v>2007</v>
      </c>
      <c r="G4" s="28">
        <v>2008</v>
      </c>
      <c r="H4" s="28">
        <v>2009</v>
      </c>
      <c r="I4" s="196" t="str">
        <f>"Total "&amp;CHAR(10)&amp;B4&amp;" - "&amp;H4</f>
        <v>Total 
2003 - 2009</v>
      </c>
    </row>
    <row r="5" spans="1:9" ht="12.75">
      <c r="A5" s="18" t="s">
        <v>101</v>
      </c>
      <c r="B5" s="240">
        <v>2000</v>
      </c>
      <c r="C5" s="240">
        <v>3000</v>
      </c>
      <c r="D5" s="240">
        <v>4000</v>
      </c>
      <c r="E5" s="240">
        <v>4000</v>
      </c>
      <c r="F5" s="240">
        <v>6736</v>
      </c>
      <c r="G5" s="240">
        <v>7950</v>
      </c>
      <c r="H5" s="240"/>
      <c r="I5" s="240"/>
    </row>
    <row r="6" spans="1:9" ht="12.75">
      <c r="A6" s="16" t="s">
        <v>205</v>
      </c>
      <c r="B6" s="242">
        <f aca="true" t="shared" si="0" ref="B6:G6">B5*1000</f>
        <v>2000000</v>
      </c>
      <c r="C6" s="242">
        <f t="shared" si="0"/>
        <v>3000000</v>
      </c>
      <c r="D6" s="242">
        <f t="shared" si="0"/>
        <v>4000000</v>
      </c>
      <c r="E6" s="242">
        <f t="shared" si="0"/>
        <v>4000000</v>
      </c>
      <c r="F6" s="242">
        <f t="shared" si="0"/>
        <v>6736000</v>
      </c>
      <c r="G6" s="242">
        <f t="shared" si="0"/>
        <v>7950000</v>
      </c>
      <c r="H6" s="242">
        <v>4956762</v>
      </c>
      <c r="I6" s="242">
        <f>SUM(B6:H6)</f>
        <v>32642762</v>
      </c>
    </row>
    <row r="7" spans="1:9" ht="29.25" customHeight="1">
      <c r="A7" s="496" t="s">
        <v>282</v>
      </c>
      <c r="B7" s="496"/>
      <c r="C7" s="496"/>
      <c r="D7" s="496"/>
      <c r="E7" s="496"/>
      <c r="F7" s="496"/>
      <c r="G7" s="496"/>
      <c r="H7" s="496"/>
      <c r="I7" s="496"/>
    </row>
    <row r="8" spans="1:9" ht="13.5" customHeight="1">
      <c r="A8" s="133"/>
      <c r="B8" s="133"/>
      <c r="C8" s="133"/>
      <c r="D8" s="133"/>
      <c r="E8" s="133"/>
      <c r="F8" s="133"/>
      <c r="G8" s="133"/>
      <c r="H8" s="133"/>
      <c r="I8" s="133"/>
    </row>
    <row r="9" spans="1:9" ht="12.75">
      <c r="A9" s="30" t="s">
        <v>255</v>
      </c>
      <c r="B9" s="104"/>
      <c r="C9" s="104"/>
      <c r="D9" s="104"/>
      <c r="E9" s="104"/>
      <c r="F9" s="104"/>
      <c r="G9" s="104"/>
      <c r="H9" s="104"/>
      <c r="I9" s="104"/>
    </row>
    <row r="10" spans="1:9" ht="12.75">
      <c r="A10" s="15" t="s">
        <v>27</v>
      </c>
      <c r="B10" s="240">
        <v>39</v>
      </c>
      <c r="C10" s="240">
        <v>2429</v>
      </c>
      <c r="D10" s="240">
        <v>2572</v>
      </c>
      <c r="E10" s="240">
        <v>1123</v>
      </c>
      <c r="F10" s="240">
        <v>2786</v>
      </c>
      <c r="G10" s="240">
        <v>3043</v>
      </c>
      <c r="H10" s="240">
        <v>3709765</v>
      </c>
      <c r="I10" s="240"/>
    </row>
    <row r="11" spans="1:9" ht="12.75">
      <c r="A11" s="15" t="s">
        <v>17</v>
      </c>
      <c r="B11" s="240">
        <v>1052</v>
      </c>
      <c r="C11" s="240">
        <v>382</v>
      </c>
      <c r="D11" s="240">
        <v>1067</v>
      </c>
      <c r="E11" s="240">
        <v>2118</v>
      </c>
      <c r="F11" s="240">
        <v>1175</v>
      </c>
      <c r="G11" s="240">
        <v>1667</v>
      </c>
      <c r="H11" s="240"/>
      <c r="I11" s="240"/>
    </row>
    <row r="12" spans="1:9" ht="12.75">
      <c r="A12" s="15" t="s">
        <v>28</v>
      </c>
      <c r="B12" s="240">
        <f aca="true" t="shared" si="1" ref="B12:G12">SUM(B10:B11)</f>
        <v>1091</v>
      </c>
      <c r="C12" s="240">
        <f t="shared" si="1"/>
        <v>2811</v>
      </c>
      <c r="D12" s="240">
        <f t="shared" si="1"/>
        <v>3639</v>
      </c>
      <c r="E12" s="240">
        <f t="shared" si="1"/>
        <v>3241</v>
      </c>
      <c r="F12" s="240">
        <f t="shared" si="1"/>
        <v>3961</v>
      </c>
      <c r="G12" s="240">
        <f t="shared" si="1"/>
        <v>4710</v>
      </c>
      <c r="H12" s="240"/>
      <c r="I12" s="240"/>
    </row>
    <row r="13" spans="1:9" ht="12.75">
      <c r="A13" s="16" t="s">
        <v>205</v>
      </c>
      <c r="B13" s="242">
        <f aca="true" t="shared" si="2" ref="B13:G13">B12*1000</f>
        <v>1091000</v>
      </c>
      <c r="C13" s="242">
        <f t="shared" si="2"/>
        <v>2811000</v>
      </c>
      <c r="D13" s="242">
        <f t="shared" si="2"/>
        <v>3639000</v>
      </c>
      <c r="E13" s="242">
        <f t="shared" si="2"/>
        <v>3241000</v>
      </c>
      <c r="F13" s="242">
        <f t="shared" si="2"/>
        <v>3961000</v>
      </c>
      <c r="G13" s="242">
        <f t="shared" si="2"/>
        <v>4710000</v>
      </c>
      <c r="H13" s="242">
        <f>SUM(H10:H12)</f>
        <v>3709765</v>
      </c>
      <c r="I13" s="242">
        <f>SUM(B13:H13)</f>
        <v>23162765</v>
      </c>
    </row>
    <row r="14" spans="1:9" ht="12.75">
      <c r="A14" s="24"/>
      <c r="B14" s="24"/>
      <c r="C14" s="24"/>
      <c r="D14" s="24"/>
      <c r="E14" s="24"/>
      <c r="F14" s="24"/>
      <c r="G14" s="24"/>
      <c r="H14" s="24"/>
      <c r="I14" s="24"/>
    </row>
    <row r="15" ht="12.75">
      <c r="A15" s="30" t="s">
        <v>56</v>
      </c>
    </row>
    <row r="16" spans="1:9" ht="12.75">
      <c r="A16" s="14"/>
      <c r="B16" s="246">
        <v>2216</v>
      </c>
      <c r="C16" s="246">
        <f>560+927</f>
        <v>1487</v>
      </c>
      <c r="D16" s="246">
        <v>4850</v>
      </c>
      <c r="E16" s="246">
        <v>2004</v>
      </c>
      <c r="F16" s="246">
        <v>1978</v>
      </c>
      <c r="G16" s="246">
        <v>8982</v>
      </c>
      <c r="H16" s="246">
        <v>11256</v>
      </c>
      <c r="I16" s="246">
        <f>SUM(B16:H16)</f>
        <v>32773</v>
      </c>
    </row>
    <row r="17" spans="1:9" ht="12.75">
      <c r="A17" s="24"/>
      <c r="B17" s="24"/>
      <c r="C17" s="24"/>
      <c r="D17" s="24"/>
      <c r="E17" s="24"/>
      <c r="F17" s="24"/>
      <c r="G17" s="24"/>
      <c r="H17" s="24"/>
      <c r="I17" s="24"/>
    </row>
    <row r="18" spans="1:9" ht="12.75">
      <c r="A18" s="30" t="s">
        <v>138</v>
      </c>
      <c r="D18" s="3" t="s">
        <v>8</v>
      </c>
      <c r="E18" s="3" t="s">
        <v>155</v>
      </c>
      <c r="F18" s="3" t="s">
        <v>8</v>
      </c>
      <c r="G18" s="26" t="s">
        <v>8</v>
      </c>
      <c r="H18" s="26" t="s">
        <v>8</v>
      </c>
      <c r="I18" s="3" t="s">
        <v>8</v>
      </c>
    </row>
    <row r="19" spans="1:9" ht="12.75">
      <c r="A19" s="22"/>
      <c r="B19" s="277" t="s">
        <v>57</v>
      </c>
      <c r="C19" s="277" t="s">
        <v>57</v>
      </c>
      <c r="D19" s="246">
        <v>4118</v>
      </c>
      <c r="E19" s="246">
        <v>1897</v>
      </c>
      <c r="F19" s="246">
        <v>1127</v>
      </c>
      <c r="G19" s="246">
        <v>373</v>
      </c>
      <c r="H19" s="246">
        <v>455</v>
      </c>
      <c r="I19" s="246">
        <f>SUM(B19:H19)</f>
        <v>7970</v>
      </c>
    </row>
    <row r="21" spans="1:9" ht="12.75">
      <c r="A21" s="1" t="s">
        <v>139</v>
      </c>
      <c r="D21" s="3" t="s">
        <v>8</v>
      </c>
      <c r="E21" s="3" t="s">
        <v>8</v>
      </c>
      <c r="F21" s="3" t="s">
        <v>8</v>
      </c>
      <c r="G21" s="26" t="s">
        <v>8</v>
      </c>
      <c r="H21" s="26" t="s">
        <v>8</v>
      </c>
      <c r="I21" s="3" t="s">
        <v>8</v>
      </c>
    </row>
    <row r="22" spans="1:9" ht="12.75">
      <c r="A22" s="22"/>
      <c r="B22" s="246"/>
      <c r="C22" s="246"/>
      <c r="D22" s="246"/>
      <c r="E22" s="246">
        <v>10479</v>
      </c>
      <c r="F22" s="246">
        <v>10334</v>
      </c>
      <c r="G22" s="246">
        <v>11570</v>
      </c>
      <c r="H22" s="246">
        <v>14106</v>
      </c>
      <c r="I22" s="246">
        <f>SUM(B22:H22)</f>
        <v>46489</v>
      </c>
    </row>
    <row r="23" spans="1:9" ht="12.75">
      <c r="A23" s="24"/>
      <c r="B23" s="24"/>
      <c r="C23" s="24"/>
      <c r="D23" s="24"/>
      <c r="E23" s="24"/>
      <c r="F23" s="24"/>
      <c r="G23" s="24"/>
      <c r="H23" s="24"/>
      <c r="I23" s="24"/>
    </row>
    <row r="24" spans="1:9" ht="12.75">
      <c r="A24" s="1" t="s">
        <v>140</v>
      </c>
      <c r="E24" s="26" t="s">
        <v>9</v>
      </c>
      <c r="F24" s="26" t="s">
        <v>9</v>
      </c>
      <c r="G24" s="26" t="s">
        <v>9</v>
      </c>
      <c r="H24" s="26" t="s">
        <v>9</v>
      </c>
      <c r="I24" s="26" t="s">
        <v>9</v>
      </c>
    </row>
    <row r="25" spans="1:9" ht="12.75">
      <c r="A25" s="22"/>
      <c r="B25" s="246"/>
      <c r="C25" s="246"/>
      <c r="D25" s="246"/>
      <c r="E25" s="246"/>
      <c r="F25" s="246"/>
      <c r="G25" s="246"/>
      <c r="H25" s="246"/>
      <c r="I25" s="246"/>
    </row>
    <row r="27" ht="12.75">
      <c r="A27" t="s">
        <v>156</v>
      </c>
    </row>
  </sheetData>
  <sheetProtection/>
  <mergeCells count="3">
    <mergeCell ref="A2:I2"/>
    <mergeCell ref="A7:I7"/>
    <mergeCell ref="A1:I1"/>
  </mergeCells>
  <printOptions/>
  <pageMargins left="0.17" right="0.17" top="0.4" bottom="0.6" header="0.24" footer="0.24"/>
  <pageSetup fitToHeight="1" fitToWidth="1" horizontalDpi="600" verticalDpi="600" orientation="landscape" scale="94" r:id="rId1"/>
  <headerFooter scaleWithDoc="0" alignWithMargins="0">
    <oddFooter>&amp;L&amp;6&amp;A - Results by Program Year&amp;R&amp;6printed &amp;D at &amp;T</oddFooter>
  </headerFooter>
</worksheet>
</file>

<file path=xl/worksheets/sheet33.xml><?xml version="1.0" encoding="utf-8"?>
<worksheet xmlns="http://schemas.openxmlformats.org/spreadsheetml/2006/main" xmlns:r="http://schemas.openxmlformats.org/officeDocument/2006/relationships">
  <sheetPr>
    <tabColor theme="5" tint="0.39998000860214233"/>
    <outlinePr summaryRight="0"/>
    <pageSetUpPr fitToPage="1"/>
  </sheetPr>
  <dimension ref="A1:X58"/>
  <sheetViews>
    <sheetView showGridLines="0" zoomScalePageLayoutView="0" workbookViewId="0" topLeftCell="A1">
      <selection activeCell="A1" sqref="A1:L1"/>
    </sheetView>
  </sheetViews>
  <sheetFormatPr defaultColWidth="10.7109375" defaultRowHeight="12.75" outlineLevelCol="1"/>
  <cols>
    <col min="1" max="1" width="31.00390625" style="3" customWidth="1"/>
    <col min="2" max="2" width="12.8515625" style="3" bestFit="1" customWidth="1" collapsed="1"/>
    <col min="3" max="3" width="12.00390625" style="6" hidden="1" customWidth="1" outlineLevel="1"/>
    <col min="4" max="4" width="12.140625" style="6" hidden="1" customWidth="1" outlineLevel="1"/>
    <col min="5" max="6" width="12.57421875" style="6" hidden="1" customWidth="1" outlineLevel="1"/>
    <col min="7" max="7" width="13.7109375" style="6" hidden="1" customWidth="1" outlineLevel="1"/>
    <col min="8" max="8" width="12.7109375" style="6" customWidth="1"/>
    <col min="9" max="9" width="12.8515625" style="6" customWidth="1"/>
    <col min="10" max="10" width="13.140625" style="6" customWidth="1"/>
    <col min="11" max="11" width="15.57421875" style="6" bestFit="1" customWidth="1"/>
    <col min="12" max="13" width="14.57421875" style="6" bestFit="1" customWidth="1"/>
    <col min="14" max="14" width="13.57421875" style="6" bestFit="1" customWidth="1"/>
    <col min="15" max="15" width="17.00390625" style="6" bestFit="1" customWidth="1"/>
    <col min="16" max="16384" width="10.7109375" style="6" customWidth="1"/>
  </cols>
  <sheetData>
    <row r="1" spans="1:15" ht="12.75">
      <c r="A1" s="483" t="s">
        <v>393</v>
      </c>
      <c r="B1" s="483"/>
      <c r="C1" s="483"/>
      <c r="D1" s="483"/>
      <c r="E1" s="483"/>
      <c r="F1" s="483"/>
      <c r="G1" s="483"/>
      <c r="H1" s="483"/>
      <c r="I1" s="483"/>
      <c r="J1" s="483"/>
      <c r="K1" s="483"/>
      <c r="L1" s="483"/>
      <c r="M1" s="483"/>
      <c r="N1" s="483"/>
      <c r="O1" s="483"/>
    </row>
    <row r="2" spans="1:15" ht="12.75">
      <c r="A2" s="483" t="s">
        <v>26</v>
      </c>
      <c r="B2" s="483"/>
      <c r="C2" s="483"/>
      <c r="D2" s="483"/>
      <c r="E2" s="483"/>
      <c r="F2" s="483"/>
      <c r="G2" s="483"/>
      <c r="H2" s="483"/>
      <c r="I2" s="483"/>
      <c r="J2" s="483"/>
      <c r="K2" s="483"/>
      <c r="L2" s="483"/>
      <c r="M2" s="483"/>
      <c r="N2" s="483"/>
      <c r="O2" s="483"/>
    </row>
    <row r="3" spans="1:16" ht="12.75">
      <c r="A3" s="21"/>
      <c r="B3" s="21"/>
      <c r="P3" s="3"/>
    </row>
    <row r="4" spans="1:16" ht="39.75" customHeight="1">
      <c r="A4" s="30" t="s">
        <v>254</v>
      </c>
      <c r="B4" s="196" t="s">
        <v>289</v>
      </c>
      <c r="C4" s="28">
        <v>2001</v>
      </c>
      <c r="D4" s="28">
        <v>2002</v>
      </c>
      <c r="E4" s="28">
        <v>2003</v>
      </c>
      <c r="F4" s="28">
        <v>2004</v>
      </c>
      <c r="G4" s="28">
        <v>2005</v>
      </c>
      <c r="H4" s="28">
        <v>2006</v>
      </c>
      <c r="I4" s="28">
        <v>2007</v>
      </c>
      <c r="J4" s="28">
        <v>2008</v>
      </c>
      <c r="K4" s="28">
        <v>2009</v>
      </c>
      <c r="L4" s="28">
        <v>2010</v>
      </c>
      <c r="M4" s="28">
        <v>2011</v>
      </c>
      <c r="N4" s="196" t="s">
        <v>346</v>
      </c>
      <c r="O4" s="344" t="str">
        <f>"Total "&amp;CHAR(10)&amp;C4&amp;" ~ "&amp;RIGHT(N4,9)</f>
        <v>Total 
2001 ~ 2012-2013</v>
      </c>
      <c r="P4" s="3"/>
    </row>
    <row r="5" spans="1:16" ht="12.75">
      <c r="A5" s="151" t="s">
        <v>422</v>
      </c>
      <c r="B5" s="299">
        <f>SUM(SUM(C5:G5))</f>
        <v>177305000</v>
      </c>
      <c r="C5" s="299">
        <f>17250*1000</f>
        <v>17250000</v>
      </c>
      <c r="D5" s="299">
        <f>16455*1000</f>
        <v>16455000</v>
      </c>
      <c r="E5" s="299">
        <f>12700*1000</f>
        <v>12700000</v>
      </c>
      <c r="F5" s="299">
        <f>45200*1000</f>
        <v>45200000</v>
      </c>
      <c r="G5" s="247">
        <f>85700*1000</f>
        <v>85700000</v>
      </c>
      <c r="H5" s="247">
        <f>147453*1000</f>
        <v>147453000</v>
      </c>
      <c r="I5" s="247">
        <f>151712*1000</f>
        <v>151712000</v>
      </c>
      <c r="J5" s="247">
        <f>195049*1000</f>
        <v>195049000</v>
      </c>
      <c r="K5" s="279">
        <v>126605581.76</v>
      </c>
      <c r="L5" s="279">
        <v>54778432.5</v>
      </c>
      <c r="M5" s="279">
        <v>22623674.18</v>
      </c>
      <c r="N5" s="279">
        <v>4150000</v>
      </c>
      <c r="O5" s="279">
        <f>SUM(C5:N5)</f>
        <v>879676688.4399999</v>
      </c>
      <c r="P5" s="3"/>
    </row>
    <row r="6" spans="1:16" ht="21.75" customHeight="1">
      <c r="A6" s="3"/>
      <c r="B6" s="488" t="s">
        <v>282</v>
      </c>
      <c r="C6" s="488"/>
      <c r="D6" s="488"/>
      <c r="E6" s="488"/>
      <c r="F6" s="488"/>
      <c r="G6" s="488"/>
      <c r="H6" s="488"/>
      <c r="I6" s="488"/>
      <c r="J6" s="488"/>
      <c r="K6" s="488"/>
      <c r="L6" s="488"/>
      <c r="M6" s="488"/>
      <c r="N6" s="488"/>
      <c r="O6" s="488"/>
      <c r="P6" s="3"/>
    </row>
    <row r="7" spans="1:16" ht="12.75">
      <c r="A7" s="186"/>
      <c r="B7" s="186"/>
      <c r="C7" s="186"/>
      <c r="D7" s="186"/>
      <c r="E7" s="186"/>
      <c r="F7" s="186"/>
      <c r="G7" s="186"/>
      <c r="H7" s="186"/>
      <c r="I7" s="186"/>
      <c r="J7" s="186"/>
      <c r="K7" s="186"/>
      <c r="L7" s="186"/>
      <c r="M7" s="186"/>
      <c r="N7" s="186"/>
      <c r="O7" s="186"/>
      <c r="P7" s="3"/>
    </row>
    <row r="8" spans="1:16" ht="12.75">
      <c r="A8" s="75" t="s">
        <v>253</v>
      </c>
      <c r="B8" s="75"/>
      <c r="C8" s="191"/>
      <c r="D8" s="191"/>
      <c r="E8" s="191"/>
      <c r="F8" s="191"/>
      <c r="G8" s="178"/>
      <c r="H8" s="178"/>
      <c r="I8" s="178"/>
      <c r="J8" s="178"/>
      <c r="K8" s="178"/>
      <c r="L8" s="178"/>
      <c r="M8" s="178"/>
      <c r="N8" s="178"/>
      <c r="O8" s="178"/>
      <c r="P8" s="3"/>
    </row>
    <row r="9" spans="1:15" s="3" customFormat="1" ht="12.75">
      <c r="A9" s="331" t="s">
        <v>20</v>
      </c>
      <c r="B9" s="247">
        <f>SUM(SUM(C9:G9))</f>
        <v>58326000</v>
      </c>
      <c r="C9" s="299">
        <f>951*1000</f>
        <v>951000</v>
      </c>
      <c r="D9" s="299">
        <f>6343*1000</f>
        <v>6343000</v>
      </c>
      <c r="E9" s="299">
        <f>7821*1000</f>
        <v>7821000</v>
      </c>
      <c r="F9" s="299">
        <f>13361*1000</f>
        <v>13361000</v>
      </c>
      <c r="G9" s="247">
        <f>29850*1000</f>
        <v>29850000</v>
      </c>
      <c r="H9" s="247">
        <f>82723*1000</f>
        <v>82723000</v>
      </c>
      <c r="I9" s="247">
        <f>73285.4*1000</f>
        <v>73285400</v>
      </c>
      <c r="J9" s="247">
        <f>51587*1000</f>
        <v>51587000</v>
      </c>
      <c r="K9" s="279">
        <v>35155470.15</v>
      </c>
      <c r="L9" s="279">
        <v>28526247.32</v>
      </c>
      <c r="M9" s="279">
        <v>13139812.21</v>
      </c>
      <c r="N9" s="279">
        <v>4037205.82</v>
      </c>
      <c r="O9" s="279">
        <f>SUM(C9:N9)</f>
        <v>346780135.49999994</v>
      </c>
    </row>
    <row r="10" spans="1:15" s="3" customFormat="1" ht="12.75">
      <c r="A10" s="331" t="s">
        <v>19</v>
      </c>
      <c r="B10" s="247">
        <f>SUM(SUM(C10:G10))</f>
        <v>306277000</v>
      </c>
      <c r="C10" s="299">
        <f>8216*1000</f>
        <v>8216000</v>
      </c>
      <c r="D10" s="299">
        <f>14687*1000</f>
        <v>14687000</v>
      </c>
      <c r="E10" s="299">
        <f>33248*1000</f>
        <v>33248000</v>
      </c>
      <c r="F10" s="299">
        <f>113612*1000</f>
        <v>113612000</v>
      </c>
      <c r="G10" s="247">
        <f>136514*1000</f>
        <v>136514000</v>
      </c>
      <c r="H10" s="247">
        <f>95233*1000</f>
        <v>95233000</v>
      </c>
      <c r="I10" s="247">
        <f>72991.4*1000</f>
        <v>72991400</v>
      </c>
      <c r="J10" s="247">
        <f>102711*1000</f>
        <v>102711000</v>
      </c>
      <c r="K10" s="279">
        <v>77343991</v>
      </c>
      <c r="L10" s="279">
        <v>25616683.86</v>
      </c>
      <c r="M10" s="279">
        <v>6045121.4</v>
      </c>
      <c r="N10" s="279">
        <v>0</v>
      </c>
      <c r="O10" s="279">
        <f>SUM(C10:N10)</f>
        <v>686218196.26</v>
      </c>
    </row>
    <row r="11" spans="1:15" s="3" customFormat="1" ht="12.75">
      <c r="A11" s="16" t="s">
        <v>1</v>
      </c>
      <c r="B11" s="297">
        <f>SUM(SUM(C11:G11))</f>
        <v>364603000</v>
      </c>
      <c r="C11" s="300">
        <f aca="true" t="shared" si="0" ref="C11:H11">SUM(C9:C10)</f>
        <v>9167000</v>
      </c>
      <c r="D11" s="300">
        <f t="shared" si="0"/>
        <v>21030000</v>
      </c>
      <c r="E11" s="300">
        <f t="shared" si="0"/>
        <v>41069000</v>
      </c>
      <c r="F11" s="300">
        <f t="shared" si="0"/>
        <v>126973000</v>
      </c>
      <c r="G11" s="283">
        <f t="shared" si="0"/>
        <v>166364000</v>
      </c>
      <c r="H11" s="283">
        <f t="shared" si="0"/>
        <v>177956000</v>
      </c>
      <c r="I11" s="283">
        <f aca="true" t="shared" si="1" ref="I11:N11">SUM(I9:I10)</f>
        <v>146276800</v>
      </c>
      <c r="J11" s="283">
        <f t="shared" si="1"/>
        <v>154298000</v>
      </c>
      <c r="K11" s="281">
        <f t="shared" si="1"/>
        <v>112499461.15</v>
      </c>
      <c r="L11" s="281">
        <f t="shared" si="1"/>
        <v>54142931.18</v>
      </c>
      <c r="M11" s="281">
        <f t="shared" si="1"/>
        <v>19184933.61</v>
      </c>
      <c r="N11" s="281">
        <f t="shared" si="1"/>
        <v>4037205.82</v>
      </c>
      <c r="O11" s="289">
        <f>SUM(C11:N11)</f>
        <v>1032998331.76</v>
      </c>
    </row>
    <row r="12" spans="1:15" s="3" customFormat="1" ht="12.75">
      <c r="A12" s="21"/>
      <c r="B12" s="21"/>
      <c r="C12" s="42"/>
      <c r="D12" s="42"/>
      <c r="E12" s="42"/>
      <c r="F12" s="42"/>
      <c r="G12" s="42"/>
      <c r="H12" s="42"/>
      <c r="I12" s="42"/>
      <c r="J12" s="42"/>
      <c r="K12" s="42"/>
      <c r="L12" s="42"/>
      <c r="M12" s="42"/>
      <c r="N12" s="42"/>
      <c r="O12" s="42"/>
    </row>
    <row r="13" spans="1:15" s="3" customFormat="1" ht="12.75">
      <c r="A13" s="43" t="s">
        <v>5</v>
      </c>
      <c r="B13" s="43"/>
      <c r="C13" s="40"/>
      <c r="D13" s="40"/>
      <c r="E13" s="40"/>
      <c r="F13" s="40"/>
      <c r="G13" s="40"/>
      <c r="H13" s="40"/>
      <c r="I13" s="40"/>
      <c r="J13" s="40"/>
      <c r="K13" s="40"/>
      <c r="L13" s="40"/>
      <c r="M13" s="40"/>
      <c r="N13" s="40"/>
      <c r="O13" s="40"/>
    </row>
    <row r="14" spans="1:15" s="3" customFormat="1" ht="12.75">
      <c r="A14" s="225" t="s">
        <v>20</v>
      </c>
      <c r="B14" s="250">
        <f>SUM(C14:G14)</f>
        <v>890</v>
      </c>
      <c r="C14" s="250">
        <v>6</v>
      </c>
      <c r="D14" s="250">
        <v>46</v>
      </c>
      <c r="E14" s="250">
        <v>58</v>
      </c>
      <c r="F14" s="250">
        <v>284</v>
      </c>
      <c r="G14" s="250">
        <v>496</v>
      </c>
      <c r="H14" s="250">
        <v>1005</v>
      </c>
      <c r="I14" s="250">
        <v>832</v>
      </c>
      <c r="J14" s="250">
        <v>827</v>
      </c>
      <c r="K14" s="250">
        <v>509</v>
      </c>
      <c r="L14" s="250">
        <v>341</v>
      </c>
      <c r="M14" s="252">
        <v>64</v>
      </c>
      <c r="N14" s="252">
        <v>17</v>
      </c>
      <c r="O14" s="253">
        <f>SUM(C14:N14)</f>
        <v>4485</v>
      </c>
    </row>
    <row r="15" spans="1:15" s="3" customFormat="1" ht="12.75">
      <c r="A15" s="225" t="s">
        <v>19</v>
      </c>
      <c r="B15" s="250">
        <f>SUM(C15:G15)</f>
        <v>2099</v>
      </c>
      <c r="C15" s="250">
        <v>45</v>
      </c>
      <c r="D15" s="250">
        <v>59</v>
      </c>
      <c r="E15" s="250">
        <v>226</v>
      </c>
      <c r="F15" s="250">
        <v>587</v>
      </c>
      <c r="G15" s="250">
        <v>1182</v>
      </c>
      <c r="H15" s="250">
        <v>565</v>
      </c>
      <c r="I15" s="250">
        <v>1070</v>
      </c>
      <c r="J15" s="250">
        <v>1047</v>
      </c>
      <c r="K15" s="250">
        <v>665</v>
      </c>
      <c r="L15" s="252">
        <v>101</v>
      </c>
      <c r="M15" s="252"/>
      <c r="N15" s="252">
        <v>0</v>
      </c>
      <c r="O15" s="253">
        <f>SUM(C15:N15)</f>
        <v>5547</v>
      </c>
    </row>
    <row r="16" spans="1:15" s="3" customFormat="1" ht="12.75">
      <c r="A16" s="16" t="s">
        <v>1</v>
      </c>
      <c r="B16" s="263">
        <f>SUM(C16:G16)</f>
        <v>2989</v>
      </c>
      <c r="C16" s="263">
        <f aca="true" t="shared" si="2" ref="C16:H16">SUM(C14:C15)</f>
        <v>51</v>
      </c>
      <c r="D16" s="263">
        <f t="shared" si="2"/>
        <v>105</v>
      </c>
      <c r="E16" s="263">
        <f t="shared" si="2"/>
        <v>284</v>
      </c>
      <c r="F16" s="263">
        <f t="shared" si="2"/>
        <v>871</v>
      </c>
      <c r="G16" s="263">
        <f t="shared" si="2"/>
        <v>1678</v>
      </c>
      <c r="H16" s="263">
        <f t="shared" si="2"/>
        <v>1570</v>
      </c>
      <c r="I16" s="263">
        <f aca="true" t="shared" si="3" ref="I16:N16">SUM(I14:I15)</f>
        <v>1902</v>
      </c>
      <c r="J16" s="263">
        <f t="shared" si="3"/>
        <v>1874</v>
      </c>
      <c r="K16" s="263">
        <f t="shared" si="3"/>
        <v>1174</v>
      </c>
      <c r="L16" s="263">
        <f t="shared" si="3"/>
        <v>442</v>
      </c>
      <c r="M16" s="254">
        <f t="shared" si="3"/>
        <v>64</v>
      </c>
      <c r="N16" s="254">
        <f t="shared" si="3"/>
        <v>17</v>
      </c>
      <c r="O16" s="254">
        <f>SUM(C16:N16)</f>
        <v>10032</v>
      </c>
    </row>
    <row r="17" spans="1:15" s="3" customFormat="1" ht="12.75">
      <c r="A17" s="21"/>
      <c r="B17" s="21"/>
      <c r="C17" s="44"/>
      <c r="D17" s="44"/>
      <c r="E17" s="44"/>
      <c r="F17" s="44"/>
      <c r="G17" s="44"/>
      <c r="H17" s="44"/>
      <c r="I17" s="44"/>
      <c r="J17" s="44"/>
      <c r="K17" s="44"/>
      <c r="L17" s="44"/>
      <c r="M17" s="58"/>
      <c r="N17" s="58"/>
      <c r="O17" s="58"/>
    </row>
    <row r="18" spans="1:15" s="3" customFormat="1" ht="12.75">
      <c r="A18" s="21"/>
      <c r="B18" s="21"/>
      <c r="C18" s="44"/>
      <c r="D18" s="44"/>
      <c r="E18" s="44"/>
      <c r="F18" s="44"/>
      <c r="G18" s="44"/>
      <c r="H18" s="44"/>
      <c r="I18" s="44"/>
      <c r="J18" s="44"/>
      <c r="K18" s="44"/>
      <c r="L18" s="44"/>
      <c r="M18" s="58"/>
      <c r="N18" s="58"/>
      <c r="O18" s="58"/>
    </row>
    <row r="19" spans="1:15" s="3" customFormat="1" ht="12.75">
      <c r="A19" s="428" t="s">
        <v>388</v>
      </c>
      <c r="B19" s="21"/>
      <c r="C19" s="44"/>
      <c r="D19" s="44"/>
      <c r="E19" s="44"/>
      <c r="F19" s="44"/>
      <c r="G19" s="44"/>
      <c r="H19" s="44"/>
      <c r="I19" s="44"/>
      <c r="J19" s="44"/>
      <c r="K19" s="44"/>
      <c r="L19" s="44"/>
      <c r="M19" s="58"/>
      <c r="N19" s="58"/>
      <c r="O19" s="58"/>
    </row>
    <row r="20" spans="1:15" s="3" customFormat="1" ht="12.75">
      <c r="A20" s="21"/>
      <c r="B20" s="21"/>
      <c r="C20" s="44"/>
      <c r="D20" s="44"/>
      <c r="E20" s="44"/>
      <c r="F20" s="44"/>
      <c r="G20" s="44"/>
      <c r="H20" s="44"/>
      <c r="I20" s="44"/>
      <c r="J20" s="44"/>
      <c r="K20" s="44"/>
      <c r="L20" s="44"/>
      <c r="M20" s="58"/>
      <c r="N20" s="58"/>
      <c r="O20" s="58"/>
    </row>
    <row r="21" spans="1:15" s="3" customFormat="1" ht="12.75">
      <c r="A21" s="150" t="s">
        <v>342</v>
      </c>
      <c r="B21" s="50"/>
      <c r="C21" s="40"/>
      <c r="D21" s="40"/>
      <c r="E21" s="40"/>
      <c r="F21" s="40"/>
      <c r="G21" s="40"/>
      <c r="H21" s="40"/>
      <c r="I21" s="40"/>
      <c r="J21" s="40"/>
      <c r="K21" s="40"/>
      <c r="L21" s="40"/>
      <c r="M21" s="40"/>
      <c r="N21" s="40"/>
      <c r="O21" s="40"/>
    </row>
    <row r="22" spans="1:15" s="3" customFormat="1" ht="12.75">
      <c r="A22" s="439" t="s">
        <v>7</v>
      </c>
      <c r="B22" s="40" t="s">
        <v>8</v>
      </c>
      <c r="C22" s="40" t="s">
        <v>8</v>
      </c>
      <c r="D22" s="40" t="s">
        <v>8</v>
      </c>
      <c r="E22" s="40" t="s">
        <v>8</v>
      </c>
      <c r="F22" s="40" t="s">
        <v>8</v>
      </c>
      <c r="G22" s="40" t="s">
        <v>8</v>
      </c>
      <c r="H22" s="40" t="s">
        <v>8</v>
      </c>
      <c r="I22" s="40" t="s">
        <v>8</v>
      </c>
      <c r="J22" s="45" t="s">
        <v>8</v>
      </c>
      <c r="K22" s="45" t="s">
        <v>8</v>
      </c>
      <c r="L22" s="45" t="s">
        <v>8</v>
      </c>
      <c r="M22" s="45" t="s">
        <v>8</v>
      </c>
      <c r="N22" s="45" t="s">
        <v>8</v>
      </c>
      <c r="O22" s="40" t="s">
        <v>8</v>
      </c>
    </row>
    <row r="23" spans="1:15" ht="12.75">
      <c r="A23" s="19" t="s">
        <v>343</v>
      </c>
      <c r="B23" s="250">
        <f>SUM(C23:G23)</f>
        <v>33281</v>
      </c>
      <c r="C23" s="250">
        <v>11</v>
      </c>
      <c r="D23" s="250">
        <v>2896</v>
      </c>
      <c r="E23" s="250">
        <v>7239</v>
      </c>
      <c r="F23" s="250">
        <v>6515</v>
      </c>
      <c r="G23" s="250">
        <v>16620</v>
      </c>
      <c r="H23" s="250">
        <v>22470</v>
      </c>
      <c r="I23" s="250">
        <v>24369</v>
      </c>
      <c r="J23" s="250">
        <v>17726</v>
      </c>
      <c r="K23" s="250">
        <v>15432</v>
      </c>
      <c r="L23" s="250">
        <v>18181</v>
      </c>
      <c r="M23" s="250">
        <v>6961</v>
      </c>
      <c r="N23" s="252">
        <v>3632</v>
      </c>
      <c r="O23" s="251">
        <f>SUM(C23:N23)</f>
        <v>142052</v>
      </c>
    </row>
    <row r="24" spans="1:15" ht="12.75">
      <c r="A24" s="19" t="s">
        <v>344</v>
      </c>
      <c r="B24" s="250">
        <f>SUM(C24:G24)</f>
        <v>600659</v>
      </c>
      <c r="C24" s="250">
        <v>173</v>
      </c>
      <c r="D24" s="250">
        <v>56330</v>
      </c>
      <c r="E24" s="250">
        <v>109981</v>
      </c>
      <c r="F24" s="250">
        <v>82996</v>
      </c>
      <c r="G24" s="250">
        <v>351179</v>
      </c>
      <c r="H24" s="250">
        <v>449400</v>
      </c>
      <c r="I24" s="250">
        <v>487379</v>
      </c>
      <c r="J24" s="250">
        <v>354528</v>
      </c>
      <c r="K24" s="250">
        <v>308648</v>
      </c>
      <c r="L24" s="250">
        <v>363625</v>
      </c>
      <c r="M24" s="250">
        <v>139211</v>
      </c>
      <c r="N24" s="252">
        <v>72638</v>
      </c>
      <c r="O24" s="251">
        <f>SUM(C24:N24)</f>
        <v>2776088</v>
      </c>
    </row>
    <row r="25" spans="1:15" ht="12.75">
      <c r="A25" s="21"/>
      <c r="B25" s="21"/>
      <c r="C25" s="44"/>
      <c r="D25" s="44"/>
      <c r="E25" s="44"/>
      <c r="F25" s="44"/>
      <c r="G25" s="44"/>
      <c r="H25" s="44"/>
      <c r="I25" s="44"/>
      <c r="J25" s="44"/>
      <c r="K25" s="44"/>
      <c r="L25" s="44"/>
      <c r="M25" s="44"/>
      <c r="N25" s="58"/>
      <c r="O25" s="44"/>
    </row>
    <row r="26" spans="1:15" ht="12.75">
      <c r="A26" s="43" t="s">
        <v>439</v>
      </c>
      <c r="B26" s="44" t="s">
        <v>397</v>
      </c>
      <c r="C26" s="44" t="s">
        <v>397</v>
      </c>
      <c r="D26" s="44" t="s">
        <v>397</v>
      </c>
      <c r="E26" s="44" t="s">
        <v>397</v>
      </c>
      <c r="F26" s="44" t="s">
        <v>397</v>
      </c>
      <c r="G26" s="44" t="s">
        <v>397</v>
      </c>
      <c r="H26" s="44" t="s">
        <v>397</v>
      </c>
      <c r="I26" s="44" t="s">
        <v>397</v>
      </c>
      <c r="J26" s="84" t="s">
        <v>397</v>
      </c>
      <c r="K26" s="84" t="s">
        <v>397</v>
      </c>
      <c r="L26" s="84" t="s">
        <v>397</v>
      </c>
      <c r="M26" s="84" t="s">
        <v>397</v>
      </c>
      <c r="N26" s="88" t="s">
        <v>397</v>
      </c>
      <c r="O26" s="44" t="s">
        <v>397</v>
      </c>
    </row>
    <row r="27" spans="1:15" ht="12.75">
      <c r="A27" s="19" t="s">
        <v>343</v>
      </c>
      <c r="B27" s="250">
        <f>SUM(C27:G27)</f>
        <v>12923</v>
      </c>
      <c r="C27" s="250">
        <v>8</v>
      </c>
      <c r="D27" s="250">
        <v>1142</v>
      </c>
      <c r="E27" s="250">
        <v>1743</v>
      </c>
      <c r="F27" s="250">
        <v>2644</v>
      </c>
      <c r="G27" s="250">
        <v>7386</v>
      </c>
      <c r="H27" s="250">
        <v>18725</v>
      </c>
      <c r="I27" s="250">
        <v>20307</v>
      </c>
      <c r="J27" s="250">
        <v>14772</v>
      </c>
      <c r="K27" s="250">
        <v>12860</v>
      </c>
      <c r="L27" s="250">
        <v>15151</v>
      </c>
      <c r="M27" s="250">
        <v>5800</v>
      </c>
      <c r="N27" s="252">
        <v>2314</v>
      </c>
      <c r="O27" s="251">
        <f>SUM(C27:N27)</f>
        <v>102852</v>
      </c>
    </row>
    <row r="28" spans="1:15" ht="12.75">
      <c r="A28" s="40"/>
      <c r="B28" s="40"/>
      <c r="C28" s="44"/>
      <c r="D28" s="44"/>
      <c r="E28" s="44"/>
      <c r="F28" s="44"/>
      <c r="G28" s="44"/>
      <c r="H28" s="44"/>
      <c r="I28" s="44"/>
      <c r="J28" s="44"/>
      <c r="K28" s="44"/>
      <c r="L28" s="44"/>
      <c r="M28" s="44"/>
      <c r="N28" s="58"/>
      <c r="O28" s="44"/>
    </row>
    <row r="29" spans="1:15" ht="12.75">
      <c r="A29" s="43" t="s">
        <v>6</v>
      </c>
      <c r="B29" s="40"/>
      <c r="C29" s="44"/>
      <c r="D29" s="44"/>
      <c r="E29" s="44"/>
      <c r="F29" s="44"/>
      <c r="G29" s="44"/>
      <c r="H29" s="44"/>
      <c r="I29" s="44"/>
      <c r="J29" s="44"/>
      <c r="K29" s="44"/>
      <c r="L29" s="44"/>
      <c r="M29" s="44"/>
      <c r="N29" s="58"/>
      <c r="O29" s="44"/>
    </row>
    <row r="30" spans="1:15" ht="12.75">
      <c r="A30" s="43" t="s">
        <v>10</v>
      </c>
      <c r="B30" s="44" t="s">
        <v>11</v>
      </c>
      <c r="C30" s="44" t="s">
        <v>11</v>
      </c>
      <c r="D30" s="44" t="s">
        <v>11</v>
      </c>
      <c r="E30" s="44" t="s">
        <v>11</v>
      </c>
      <c r="F30" s="44" t="s">
        <v>11</v>
      </c>
      <c r="G30" s="44" t="s">
        <v>11</v>
      </c>
      <c r="H30" s="44" t="s">
        <v>11</v>
      </c>
      <c r="I30" s="44" t="s">
        <v>11</v>
      </c>
      <c r="J30" s="84" t="s">
        <v>11</v>
      </c>
      <c r="K30" s="84" t="s">
        <v>11</v>
      </c>
      <c r="L30" s="84" t="s">
        <v>11</v>
      </c>
      <c r="M30" s="84" t="s">
        <v>11</v>
      </c>
      <c r="N30" s="88" t="s">
        <v>11</v>
      </c>
      <c r="O30" s="44" t="s">
        <v>11</v>
      </c>
    </row>
    <row r="31" spans="1:15" ht="12.75">
      <c r="A31" s="19" t="s">
        <v>403</v>
      </c>
      <c r="B31" s="250">
        <f>SUM(C31:G31)</f>
        <v>5825</v>
      </c>
      <c r="C31" s="250">
        <v>0</v>
      </c>
      <c r="D31" s="250">
        <v>4161</v>
      </c>
      <c r="E31" s="250">
        <v>1664</v>
      </c>
      <c r="F31" s="250">
        <v>0</v>
      </c>
      <c r="G31" s="250">
        <v>0</v>
      </c>
      <c r="H31" s="250">
        <v>0</v>
      </c>
      <c r="I31" s="250"/>
      <c r="J31" s="250"/>
      <c r="K31" s="250"/>
      <c r="L31" s="250"/>
      <c r="M31" s="250"/>
      <c r="N31" s="252"/>
      <c r="O31" s="251">
        <f>SUM(C31:N31)</f>
        <v>5825</v>
      </c>
    </row>
    <row r="32" spans="1:15" ht="12.75">
      <c r="A32" s="19" t="s">
        <v>344</v>
      </c>
      <c r="B32" s="250">
        <f>SUM(C32:G32)</f>
        <v>116508</v>
      </c>
      <c r="C32" s="250">
        <v>0</v>
      </c>
      <c r="D32" s="250">
        <v>83220</v>
      </c>
      <c r="E32" s="250">
        <v>33288</v>
      </c>
      <c r="F32" s="250">
        <v>0</v>
      </c>
      <c r="G32" s="250">
        <v>0</v>
      </c>
      <c r="H32" s="250">
        <v>0</v>
      </c>
      <c r="I32" s="250"/>
      <c r="J32" s="250"/>
      <c r="K32" s="250"/>
      <c r="L32" s="250"/>
      <c r="M32" s="250"/>
      <c r="N32" s="252"/>
      <c r="O32" s="251">
        <f>SUM(C32:N32)</f>
        <v>116508</v>
      </c>
    </row>
    <row r="33" spans="1:15" ht="12.75">
      <c r="A33" s="21"/>
      <c r="B33" s="259"/>
      <c r="C33" s="259"/>
      <c r="D33" s="259"/>
      <c r="E33" s="259"/>
      <c r="F33" s="259"/>
      <c r="G33" s="259"/>
      <c r="H33" s="259"/>
      <c r="I33" s="259"/>
      <c r="J33" s="259"/>
      <c r="K33" s="259"/>
      <c r="L33" s="259"/>
      <c r="M33" s="259"/>
      <c r="N33" s="311"/>
      <c r="O33" s="270"/>
    </row>
    <row r="34" ht="12.75">
      <c r="N34" s="65"/>
    </row>
    <row r="35" spans="1:14" ht="12.75">
      <c r="A35" s="428" t="s">
        <v>19</v>
      </c>
      <c r="N35" s="65"/>
    </row>
    <row r="36" ht="12.75">
      <c r="N36" s="65"/>
    </row>
    <row r="37" spans="1:14" ht="12.75">
      <c r="A37" s="150" t="s">
        <v>342</v>
      </c>
      <c r="B37" s="61"/>
      <c r="C37" s="7"/>
      <c r="N37" s="65"/>
    </row>
    <row r="38" spans="1:15" ht="12.75">
      <c r="A38" s="439" t="s">
        <v>7</v>
      </c>
      <c r="B38" s="40" t="s">
        <v>8</v>
      </c>
      <c r="C38" s="40" t="s">
        <v>8</v>
      </c>
      <c r="D38" s="40" t="s">
        <v>8</v>
      </c>
      <c r="E38" s="40" t="s">
        <v>8</v>
      </c>
      <c r="F38" s="40" t="s">
        <v>8</v>
      </c>
      <c r="G38" s="40" t="s">
        <v>8</v>
      </c>
      <c r="H38" s="40" t="s">
        <v>8</v>
      </c>
      <c r="I38" s="40" t="s">
        <v>8</v>
      </c>
      <c r="J38" s="45" t="s">
        <v>8</v>
      </c>
      <c r="K38" s="45" t="s">
        <v>8</v>
      </c>
      <c r="L38" s="45" t="s">
        <v>8</v>
      </c>
      <c r="M38" s="45" t="s">
        <v>8</v>
      </c>
      <c r="N38" s="87" t="s">
        <v>8</v>
      </c>
      <c r="O38" s="40"/>
    </row>
    <row r="39" spans="1:15" ht="12.75">
      <c r="A39" s="15" t="s">
        <v>343</v>
      </c>
      <c r="B39" s="250">
        <f>SUM(C39:G39)</f>
        <v>83601</v>
      </c>
      <c r="C39" s="250"/>
      <c r="D39" s="250"/>
      <c r="E39" s="250"/>
      <c r="F39" s="250"/>
      <c r="G39" s="250">
        <v>83601</v>
      </c>
      <c r="H39" s="250">
        <v>35316</v>
      </c>
      <c r="I39" s="250">
        <v>25757</v>
      </c>
      <c r="J39" s="250">
        <v>64262</v>
      </c>
      <c r="K39" s="250">
        <v>48452</v>
      </c>
      <c r="L39" s="250">
        <v>16435</v>
      </c>
      <c r="M39" s="250">
        <v>5239</v>
      </c>
      <c r="N39" s="252">
        <v>0</v>
      </c>
      <c r="O39" s="84"/>
    </row>
    <row r="40" spans="1:15" ht="12.75">
      <c r="A40" s="15" t="s">
        <v>344</v>
      </c>
      <c r="B40" s="250">
        <f>SUM(C40:G40)</f>
        <v>1488376</v>
      </c>
      <c r="C40" s="250"/>
      <c r="D40" s="250"/>
      <c r="E40" s="250"/>
      <c r="F40" s="250"/>
      <c r="G40" s="250">
        <v>1488376</v>
      </c>
      <c r="H40" s="250">
        <v>706325</v>
      </c>
      <c r="I40" s="250">
        <v>515130</v>
      </c>
      <c r="J40" s="250">
        <v>1285248</v>
      </c>
      <c r="K40" s="250">
        <v>969030</v>
      </c>
      <c r="L40" s="250">
        <v>328695</v>
      </c>
      <c r="M40" s="250">
        <v>104779</v>
      </c>
      <c r="N40" s="252">
        <v>0</v>
      </c>
      <c r="O40" s="84"/>
    </row>
    <row r="41" spans="1:15" ht="12.75">
      <c r="A41" s="21"/>
      <c r="B41" s="21"/>
      <c r="C41" s="44"/>
      <c r="D41" s="44"/>
      <c r="E41" s="44"/>
      <c r="F41" s="44"/>
      <c r="G41" s="44"/>
      <c r="H41" s="44"/>
      <c r="I41" s="44"/>
      <c r="J41" s="44"/>
      <c r="K41" s="44"/>
      <c r="L41" s="44"/>
      <c r="M41" s="44"/>
      <c r="N41" s="58"/>
      <c r="O41" s="44"/>
    </row>
    <row r="42" spans="1:15" ht="12.75">
      <c r="A42" s="43" t="s">
        <v>439</v>
      </c>
      <c r="B42" s="44" t="s">
        <v>397</v>
      </c>
      <c r="C42" s="44" t="s">
        <v>397</v>
      </c>
      <c r="D42" s="44" t="s">
        <v>397</v>
      </c>
      <c r="E42" s="44" t="s">
        <v>397</v>
      </c>
      <c r="F42" s="44" t="s">
        <v>397</v>
      </c>
      <c r="G42" s="44" t="s">
        <v>397</v>
      </c>
      <c r="H42" s="44" t="s">
        <v>397</v>
      </c>
      <c r="I42" s="44" t="s">
        <v>397</v>
      </c>
      <c r="J42" s="84" t="s">
        <v>397</v>
      </c>
      <c r="K42" s="84" t="s">
        <v>397</v>
      </c>
      <c r="L42" s="84" t="s">
        <v>397</v>
      </c>
      <c r="M42" s="84" t="s">
        <v>397</v>
      </c>
      <c r="N42" s="88" t="s">
        <v>397</v>
      </c>
      <c r="O42" s="84"/>
    </row>
    <row r="43" spans="1:24" ht="12.75">
      <c r="A43" s="15" t="s">
        <v>343</v>
      </c>
      <c r="B43" s="250">
        <f>SUM(C43:G43)</f>
        <v>38148</v>
      </c>
      <c r="C43" s="250"/>
      <c r="D43" s="250"/>
      <c r="E43" s="250"/>
      <c r="F43" s="250"/>
      <c r="G43" s="250">
        <v>38148</v>
      </c>
      <c r="H43" s="250">
        <v>29430</v>
      </c>
      <c r="I43" s="250">
        <v>21464</v>
      </c>
      <c r="J43" s="250">
        <v>53552</v>
      </c>
      <c r="K43" s="250">
        <v>40376</v>
      </c>
      <c r="L43" s="250">
        <v>13696</v>
      </c>
      <c r="M43" s="250">
        <v>4366</v>
      </c>
      <c r="N43" s="252">
        <v>0</v>
      </c>
      <c r="O43" s="84"/>
      <c r="P43" s="10"/>
      <c r="Q43" s="9"/>
      <c r="R43" s="9"/>
      <c r="S43" s="9"/>
      <c r="T43" s="9"/>
      <c r="U43" s="9"/>
      <c r="V43" s="9"/>
      <c r="W43" s="9"/>
      <c r="X43" s="9"/>
    </row>
    <row r="44" spans="1:24" ht="12.75">
      <c r="A44" s="2" t="s">
        <v>291</v>
      </c>
      <c r="B44" s="2"/>
      <c r="C44" s="10"/>
      <c r="D44" s="10"/>
      <c r="E44" s="10"/>
      <c r="F44" s="10"/>
      <c r="G44" s="10"/>
      <c r="H44" s="10"/>
      <c r="I44" s="10"/>
      <c r="J44" s="10"/>
      <c r="K44" s="10"/>
      <c r="L44" s="10"/>
      <c r="M44" s="10"/>
      <c r="N44" s="10"/>
      <c r="O44" s="10"/>
      <c r="P44" s="10"/>
      <c r="Q44" s="9"/>
      <c r="R44" s="9"/>
      <c r="S44" s="9"/>
      <c r="T44" s="9"/>
      <c r="U44" s="9"/>
      <c r="V44" s="9"/>
      <c r="W44" s="9"/>
      <c r="X44" s="9"/>
    </row>
    <row r="45" spans="1:24" ht="12.75">
      <c r="A45" s="2"/>
      <c r="B45" s="2"/>
      <c r="C45" s="10"/>
      <c r="D45" s="10"/>
      <c r="E45" s="10"/>
      <c r="F45" s="10"/>
      <c r="G45" s="10"/>
      <c r="H45" s="10"/>
      <c r="I45" s="10"/>
      <c r="J45" s="10"/>
      <c r="K45" s="10"/>
      <c r="L45" s="10"/>
      <c r="M45" s="10"/>
      <c r="N45" s="10"/>
      <c r="O45" s="10"/>
      <c r="P45" s="10"/>
      <c r="Q45" s="9"/>
      <c r="R45" s="9"/>
      <c r="S45" s="9"/>
      <c r="T45" s="9"/>
      <c r="U45" s="9"/>
      <c r="V45" s="9"/>
      <c r="W45" s="9"/>
      <c r="X45" s="9"/>
    </row>
    <row r="46" spans="1:24" ht="12.75">
      <c r="A46" s="2"/>
      <c r="B46" s="2"/>
      <c r="C46" s="9"/>
      <c r="D46" s="9"/>
      <c r="E46" s="9"/>
      <c r="F46" s="9"/>
      <c r="G46" s="9"/>
      <c r="H46" s="9"/>
      <c r="I46" s="9"/>
      <c r="J46" s="9"/>
      <c r="K46" s="9"/>
      <c r="L46" s="9"/>
      <c r="M46" s="9"/>
      <c r="N46" s="9"/>
      <c r="O46" s="9"/>
      <c r="P46" s="9"/>
      <c r="Q46" s="9"/>
      <c r="R46" s="9"/>
      <c r="S46" s="9"/>
      <c r="T46" s="9"/>
      <c r="U46" s="9"/>
      <c r="V46" s="9"/>
      <c r="W46" s="9"/>
      <c r="X46" s="9"/>
    </row>
    <row r="47" spans="3:16" ht="12.75">
      <c r="C47" s="9"/>
      <c r="D47" s="9"/>
      <c r="E47" s="9"/>
      <c r="F47" s="9"/>
      <c r="G47" s="9"/>
      <c r="H47" s="9"/>
      <c r="I47" s="9"/>
      <c r="J47" s="9"/>
      <c r="K47" s="9"/>
      <c r="L47" s="9"/>
      <c r="M47" s="9"/>
      <c r="N47" s="9"/>
      <c r="O47" s="9"/>
      <c r="P47" s="9"/>
    </row>
    <row r="48" spans="1:3" ht="12.75">
      <c r="A48" s="6"/>
      <c r="B48" s="6"/>
      <c r="C48" s="8"/>
    </row>
    <row r="49" spans="1:2" ht="12.75">
      <c r="A49" s="2"/>
      <c r="B49" s="2"/>
    </row>
    <row r="50" spans="1:16" ht="12.75">
      <c r="A50" s="2"/>
      <c r="B50" s="2"/>
      <c r="C50" s="10"/>
      <c r="D50" s="10"/>
      <c r="E50" s="10"/>
      <c r="F50" s="10"/>
      <c r="G50" s="10"/>
      <c r="H50" s="10"/>
      <c r="I50" s="10"/>
      <c r="J50" s="10"/>
      <c r="K50" s="10"/>
      <c r="L50" s="10"/>
      <c r="M50" s="10"/>
      <c r="N50" s="10"/>
      <c r="O50" s="10"/>
      <c r="P50" s="10"/>
    </row>
    <row r="51" spans="1:16" ht="12.75">
      <c r="A51" s="2"/>
      <c r="B51" s="2"/>
      <c r="C51" s="10"/>
      <c r="D51" s="10"/>
      <c r="E51" s="10"/>
      <c r="F51" s="10"/>
      <c r="G51" s="10"/>
      <c r="H51" s="10"/>
      <c r="I51" s="10"/>
      <c r="J51" s="10"/>
      <c r="K51" s="10"/>
      <c r="L51" s="10"/>
      <c r="M51" s="10"/>
      <c r="N51" s="10"/>
      <c r="O51" s="10"/>
      <c r="P51" s="10"/>
    </row>
    <row r="52" spans="1:16" ht="12.75">
      <c r="A52" s="2"/>
      <c r="B52" s="2"/>
      <c r="C52" s="10"/>
      <c r="D52" s="10"/>
      <c r="E52" s="10"/>
      <c r="F52" s="10"/>
      <c r="G52" s="10"/>
      <c r="H52" s="10"/>
      <c r="I52" s="10"/>
      <c r="J52" s="10"/>
      <c r="K52" s="10"/>
      <c r="L52" s="10"/>
      <c r="M52" s="10"/>
      <c r="N52" s="10"/>
      <c r="O52" s="10"/>
      <c r="P52" s="10"/>
    </row>
    <row r="53" spans="1:16" ht="12.75">
      <c r="A53" s="2"/>
      <c r="B53" s="2"/>
      <c r="C53" s="9"/>
      <c r="D53" s="9"/>
      <c r="E53" s="9"/>
      <c r="F53" s="9"/>
      <c r="G53" s="9"/>
      <c r="H53" s="9"/>
      <c r="I53" s="9"/>
      <c r="J53" s="9"/>
      <c r="K53" s="9"/>
      <c r="L53" s="9"/>
      <c r="M53" s="9"/>
      <c r="N53" s="9"/>
      <c r="O53" s="9"/>
      <c r="P53" s="9"/>
    </row>
    <row r="54" spans="1:3" ht="12.75">
      <c r="A54" s="2"/>
      <c r="B54" s="2"/>
      <c r="C54" s="8"/>
    </row>
    <row r="55" spans="1:2" ht="12.75">
      <c r="A55" s="2"/>
      <c r="B55" s="2"/>
    </row>
    <row r="56" spans="1:16" ht="12.75">
      <c r="A56" s="2"/>
      <c r="B56" s="2"/>
      <c r="C56" s="11"/>
      <c r="D56" s="11"/>
      <c r="E56" s="11"/>
      <c r="F56" s="11"/>
      <c r="G56" s="11"/>
      <c r="H56" s="11"/>
      <c r="I56" s="11"/>
      <c r="J56" s="11"/>
      <c r="K56" s="11"/>
      <c r="L56" s="11"/>
      <c r="M56" s="11"/>
      <c r="N56" s="11"/>
      <c r="O56" s="11"/>
      <c r="P56" s="11"/>
    </row>
    <row r="57" spans="1:16" ht="12.75">
      <c r="A57" s="2"/>
      <c r="B57" s="2"/>
      <c r="C57" s="11"/>
      <c r="D57" s="11"/>
      <c r="E57" s="11"/>
      <c r="F57" s="11"/>
      <c r="G57" s="11"/>
      <c r="H57" s="11"/>
      <c r="I57" s="11"/>
      <c r="J57" s="11"/>
      <c r="K57" s="11"/>
      <c r="L57" s="11"/>
      <c r="M57" s="11"/>
      <c r="N57" s="11"/>
      <c r="O57" s="11"/>
      <c r="P57" s="11"/>
    </row>
    <row r="58" spans="1:16" ht="12.75">
      <c r="A58" s="2"/>
      <c r="B58" s="2"/>
      <c r="C58" s="10"/>
      <c r="D58" s="10"/>
      <c r="E58" s="10"/>
      <c r="F58" s="10"/>
      <c r="G58" s="10"/>
      <c r="H58" s="10"/>
      <c r="I58" s="10"/>
      <c r="J58" s="10"/>
      <c r="K58" s="10"/>
      <c r="L58" s="10"/>
      <c r="M58" s="10"/>
      <c r="N58" s="10"/>
      <c r="O58" s="10"/>
      <c r="P58" s="10"/>
    </row>
  </sheetData>
  <sheetProtection/>
  <mergeCells count="3">
    <mergeCell ref="A2:O2"/>
    <mergeCell ref="B6:O6"/>
    <mergeCell ref="A1:O1"/>
  </mergeCells>
  <printOptions/>
  <pageMargins left="0.17" right="0.17" top="0.4" bottom="0.6" header="0.24" footer="0.24"/>
  <pageSetup fitToHeight="1" fitToWidth="1" horizontalDpi="600" verticalDpi="600" orientation="landscape" scale="87" r:id="rId1"/>
  <headerFooter scaleWithDoc="0" alignWithMargins="0">
    <oddFooter>&amp;L&amp;6&amp;A - Results by Program Year&amp;R&amp;6printed &amp;D at &amp;T</oddFooter>
  </headerFooter>
</worksheet>
</file>

<file path=xl/worksheets/sheet34.xml><?xml version="1.0" encoding="utf-8"?>
<worksheet xmlns="http://schemas.openxmlformats.org/spreadsheetml/2006/main" xmlns:r="http://schemas.openxmlformats.org/officeDocument/2006/relationships">
  <sheetPr>
    <tabColor theme="5" tint="0.39998000860214233"/>
    <pageSetUpPr fitToPage="1"/>
  </sheetPr>
  <dimension ref="A1:X53"/>
  <sheetViews>
    <sheetView showGridLines="0" zoomScalePageLayoutView="0" workbookViewId="0" topLeftCell="A1">
      <selection activeCell="A1" sqref="A1:L1"/>
    </sheetView>
  </sheetViews>
  <sheetFormatPr defaultColWidth="10.7109375" defaultRowHeight="12.75"/>
  <cols>
    <col min="1" max="1" width="40.421875" style="3" customWidth="1"/>
    <col min="2" max="2" width="12.00390625" style="6" bestFit="1" customWidth="1"/>
    <col min="3" max="3" width="12.140625" style="6" bestFit="1" customWidth="1"/>
    <col min="4" max="6" width="12.7109375" style="6" bestFit="1" customWidth="1"/>
    <col min="7" max="7" width="12.00390625" style="6" bestFit="1" customWidth="1"/>
    <col min="8" max="8" width="12.7109375" style="6" bestFit="1" customWidth="1"/>
    <col min="9" max="9" width="10.7109375" style="6" bestFit="1" customWidth="1"/>
    <col min="10" max="10" width="11.7109375" style="6" customWidth="1"/>
    <col min="11" max="11" width="11.28125" style="6" customWidth="1"/>
    <col min="12" max="12" width="13.28125" style="6" bestFit="1" customWidth="1"/>
    <col min="13" max="16384" width="10.7109375" style="6" customWidth="1"/>
  </cols>
  <sheetData>
    <row r="1" spans="1:12" ht="12.75">
      <c r="A1" s="483" t="s">
        <v>393</v>
      </c>
      <c r="B1" s="483"/>
      <c r="C1" s="483"/>
      <c r="D1" s="483"/>
      <c r="E1" s="483"/>
      <c r="F1" s="483"/>
      <c r="G1" s="483"/>
      <c r="H1" s="483"/>
      <c r="I1" s="483"/>
      <c r="J1" s="483"/>
      <c r="K1" s="483"/>
      <c r="L1" s="483"/>
    </row>
    <row r="2" spans="1:12" ht="12.75">
      <c r="A2" s="483" t="s">
        <v>134</v>
      </c>
      <c r="B2" s="483"/>
      <c r="C2" s="483"/>
      <c r="D2" s="483"/>
      <c r="E2" s="483"/>
      <c r="F2" s="483"/>
      <c r="G2" s="483"/>
      <c r="H2" s="483"/>
      <c r="I2" s="483"/>
      <c r="J2" s="483"/>
      <c r="K2" s="483"/>
      <c r="L2" s="483"/>
    </row>
    <row r="3" spans="1:15" ht="12.75">
      <c r="A3" s="43" t="s">
        <v>305</v>
      </c>
      <c r="M3" s="3"/>
      <c r="N3" s="3"/>
      <c r="O3" s="3"/>
    </row>
    <row r="4" spans="1:15" ht="25.5">
      <c r="A4" s="43" t="s">
        <v>254</v>
      </c>
      <c r="B4" s="28">
        <v>2001</v>
      </c>
      <c r="C4" s="28">
        <v>2002</v>
      </c>
      <c r="D4" s="28" t="s">
        <v>240</v>
      </c>
      <c r="E4" s="28">
        <v>2004</v>
      </c>
      <c r="F4" s="28">
        <v>2005</v>
      </c>
      <c r="G4" s="28">
        <v>2006</v>
      </c>
      <c r="H4" s="28">
        <v>2007</v>
      </c>
      <c r="I4" s="28">
        <v>2008</v>
      </c>
      <c r="J4" s="28">
        <v>2009</v>
      </c>
      <c r="K4" s="28">
        <v>2010</v>
      </c>
      <c r="L4" s="344" t="str">
        <f>"Total "&amp;CHAR(10)&amp;B4&amp;" - "&amp;K4</f>
        <v>Total 
2001 - 2010</v>
      </c>
      <c r="M4" s="3"/>
      <c r="N4" s="3"/>
      <c r="O4" s="3"/>
    </row>
    <row r="5" spans="1:15" ht="12.75">
      <c r="A5" s="32" t="s">
        <v>106</v>
      </c>
      <c r="B5" s="272">
        <f>11500*1000</f>
        <v>11500000</v>
      </c>
      <c r="C5" s="272">
        <f>14916*1000</f>
        <v>14916000</v>
      </c>
      <c r="D5" s="272"/>
      <c r="E5" s="272">
        <v>2000000</v>
      </c>
      <c r="F5" s="272">
        <v>2000000</v>
      </c>
      <c r="G5" s="272"/>
      <c r="H5" s="272"/>
      <c r="I5" s="272"/>
      <c r="J5" s="272"/>
      <c r="K5" s="272"/>
      <c r="L5" s="272"/>
      <c r="M5" s="3"/>
      <c r="N5" s="3"/>
      <c r="O5" s="3"/>
    </row>
    <row r="6" spans="1:15" ht="25.5">
      <c r="A6" s="38" t="s">
        <v>95</v>
      </c>
      <c r="B6" s="272">
        <v>0</v>
      </c>
      <c r="C6" s="272">
        <v>0</v>
      </c>
      <c r="D6" s="272"/>
      <c r="E6" s="272">
        <v>16000000</v>
      </c>
      <c r="F6" s="272">
        <v>14000000</v>
      </c>
      <c r="G6" s="272">
        <v>11782000</v>
      </c>
      <c r="H6" s="272">
        <v>10400000</v>
      </c>
      <c r="I6" s="272">
        <v>4072000</v>
      </c>
      <c r="J6" s="272">
        <v>4085967</v>
      </c>
      <c r="K6" s="272">
        <v>1284714</v>
      </c>
      <c r="L6" s="272"/>
      <c r="M6" s="3"/>
      <c r="N6" s="3"/>
      <c r="O6" s="3"/>
    </row>
    <row r="7" spans="1:15" ht="12.75">
      <c r="A7" s="16" t="s">
        <v>1</v>
      </c>
      <c r="B7" s="272">
        <f>SUM(B5:B6)</f>
        <v>11500000</v>
      </c>
      <c r="C7" s="272">
        <f>SUM(C5:C6)</f>
        <v>14916000</v>
      </c>
      <c r="D7" s="272">
        <v>14900000</v>
      </c>
      <c r="E7" s="272">
        <f aca="true" t="shared" si="0" ref="E7:K7">SUM(E5:E6)</f>
        <v>18000000</v>
      </c>
      <c r="F7" s="272">
        <f t="shared" si="0"/>
        <v>16000000</v>
      </c>
      <c r="G7" s="272">
        <f t="shared" si="0"/>
        <v>11782000</v>
      </c>
      <c r="H7" s="272">
        <f t="shared" si="0"/>
        <v>10400000</v>
      </c>
      <c r="I7" s="272">
        <f t="shared" si="0"/>
        <v>4072000</v>
      </c>
      <c r="J7" s="272">
        <f t="shared" si="0"/>
        <v>4085967</v>
      </c>
      <c r="K7" s="272">
        <f t="shared" si="0"/>
        <v>1284714</v>
      </c>
      <c r="L7" s="272">
        <f>SUM(B7:K7)</f>
        <v>106940681</v>
      </c>
      <c r="M7" s="3"/>
      <c r="N7" s="3"/>
      <c r="O7" s="3"/>
    </row>
    <row r="8" spans="1:15" ht="12.75">
      <c r="A8" s="21" t="s">
        <v>96</v>
      </c>
      <c r="B8" s="96"/>
      <c r="C8" s="96"/>
      <c r="D8" s="96"/>
      <c r="E8" s="96"/>
      <c r="F8" s="96"/>
      <c r="G8" s="96"/>
      <c r="H8" s="96"/>
      <c r="I8" s="96"/>
      <c r="J8" s="96"/>
      <c r="K8" s="96"/>
      <c r="L8" s="96"/>
      <c r="M8" s="3"/>
      <c r="N8" s="3"/>
      <c r="O8" s="3"/>
    </row>
    <row r="9" spans="1:15" ht="12.75">
      <c r="A9" s="39"/>
      <c r="B9" s="102"/>
      <c r="C9" s="102"/>
      <c r="D9" s="102"/>
      <c r="E9" s="102"/>
      <c r="F9" s="102"/>
      <c r="G9" s="102"/>
      <c r="H9" s="102"/>
      <c r="I9" s="102"/>
      <c r="J9" s="122" t="s">
        <v>88</v>
      </c>
      <c r="K9" s="102"/>
      <c r="L9" s="102"/>
      <c r="M9" s="3"/>
      <c r="N9" s="3"/>
      <c r="O9" s="3"/>
    </row>
    <row r="10" spans="1:15" ht="12.75">
      <c r="A10" s="30" t="s">
        <v>256</v>
      </c>
      <c r="B10" s="121"/>
      <c r="C10" s="121"/>
      <c r="D10" s="121"/>
      <c r="E10" s="121"/>
      <c r="F10" s="121"/>
      <c r="G10" s="121"/>
      <c r="H10" s="121"/>
      <c r="I10" s="121"/>
      <c r="J10" s="121"/>
      <c r="K10" s="121"/>
      <c r="L10" s="102"/>
      <c r="M10" s="3"/>
      <c r="N10" s="3"/>
      <c r="O10" s="3"/>
    </row>
    <row r="11" spans="1:12" ht="12.75">
      <c r="A11" s="32" t="s">
        <v>106</v>
      </c>
      <c r="B11" s="272">
        <v>34</v>
      </c>
      <c r="C11" s="272">
        <v>303</v>
      </c>
      <c r="D11" s="272">
        <v>305</v>
      </c>
      <c r="E11" s="272">
        <v>181</v>
      </c>
      <c r="F11" s="272">
        <v>6</v>
      </c>
      <c r="G11" s="272" t="s">
        <v>4</v>
      </c>
      <c r="H11" s="272"/>
      <c r="I11" s="272"/>
      <c r="J11" s="272"/>
      <c r="K11" s="272"/>
      <c r="L11" s="272"/>
    </row>
    <row r="12" spans="1:12" ht="25.5">
      <c r="A12" s="38" t="s">
        <v>95</v>
      </c>
      <c r="B12" s="272">
        <v>0</v>
      </c>
      <c r="C12" s="272">
        <v>0</v>
      </c>
      <c r="D12" s="272">
        <v>0</v>
      </c>
      <c r="E12" s="272">
        <v>114</v>
      </c>
      <c r="F12" s="272">
        <v>557</v>
      </c>
      <c r="G12" s="272">
        <v>203</v>
      </c>
      <c r="H12" s="272">
        <v>3052</v>
      </c>
      <c r="I12" s="272">
        <v>1536</v>
      </c>
      <c r="J12" s="272">
        <v>2725286</v>
      </c>
      <c r="K12" s="272">
        <v>1284714</v>
      </c>
      <c r="L12" s="272"/>
    </row>
    <row r="13" spans="1:12" ht="12.75">
      <c r="A13" s="16" t="s">
        <v>1</v>
      </c>
      <c r="B13" s="272">
        <f aca="true" t="shared" si="1" ref="B13:I13">SUM(B11:B12)</f>
        <v>34</v>
      </c>
      <c r="C13" s="272">
        <f t="shared" si="1"/>
        <v>303</v>
      </c>
      <c r="D13" s="272">
        <f t="shared" si="1"/>
        <v>305</v>
      </c>
      <c r="E13" s="272">
        <f t="shared" si="1"/>
        <v>295</v>
      </c>
      <c r="F13" s="272">
        <f t="shared" si="1"/>
        <v>563</v>
      </c>
      <c r="G13" s="272">
        <f t="shared" si="1"/>
        <v>203</v>
      </c>
      <c r="H13" s="272">
        <f t="shared" si="1"/>
        <v>3052</v>
      </c>
      <c r="I13" s="272">
        <f t="shared" si="1"/>
        <v>1536</v>
      </c>
      <c r="J13" s="272"/>
      <c r="K13" s="272"/>
      <c r="L13" s="272"/>
    </row>
    <row r="14" spans="1:12" ht="12.75">
      <c r="A14" s="16" t="s">
        <v>205</v>
      </c>
      <c r="B14" s="272">
        <f>B13*1000</f>
        <v>34000</v>
      </c>
      <c r="C14" s="272">
        <f aca="true" t="shared" si="2" ref="C14:I14">C13*1000</f>
        <v>303000</v>
      </c>
      <c r="D14" s="272">
        <f t="shared" si="2"/>
        <v>305000</v>
      </c>
      <c r="E14" s="272">
        <f t="shared" si="2"/>
        <v>295000</v>
      </c>
      <c r="F14" s="272">
        <f t="shared" si="2"/>
        <v>563000</v>
      </c>
      <c r="G14" s="272">
        <f t="shared" si="2"/>
        <v>203000</v>
      </c>
      <c r="H14" s="272">
        <f t="shared" si="2"/>
        <v>3052000</v>
      </c>
      <c r="I14" s="272">
        <f t="shared" si="2"/>
        <v>1536000</v>
      </c>
      <c r="J14" s="272">
        <f>SUM(J12:J13)</f>
        <v>2725286</v>
      </c>
      <c r="K14" s="272">
        <f>SUM(K12:K13)</f>
        <v>1284714</v>
      </c>
      <c r="L14" s="272">
        <f>SUM(B14:K14)</f>
        <v>10301000</v>
      </c>
    </row>
    <row r="15" spans="1:24" ht="12.75">
      <c r="A15" s="2"/>
      <c r="B15" s="123"/>
      <c r="C15" s="123"/>
      <c r="D15" s="123"/>
      <c r="E15" s="123"/>
      <c r="F15" s="123"/>
      <c r="G15" s="123"/>
      <c r="H15" s="123"/>
      <c r="I15" s="123"/>
      <c r="J15" s="123"/>
      <c r="K15" s="123"/>
      <c r="L15" s="123"/>
      <c r="M15" s="10"/>
      <c r="N15" s="10"/>
      <c r="O15" s="10"/>
      <c r="P15" s="10"/>
      <c r="Q15" s="9"/>
      <c r="R15" s="9"/>
      <c r="S15" s="9"/>
      <c r="T15" s="9"/>
      <c r="U15" s="9"/>
      <c r="V15" s="9"/>
      <c r="W15" s="9"/>
      <c r="X15" s="9"/>
    </row>
    <row r="16" spans="1:24" ht="12.75">
      <c r="A16" s="30" t="s">
        <v>98</v>
      </c>
      <c r="B16" s="121"/>
      <c r="C16" s="121"/>
      <c r="D16" s="121"/>
      <c r="E16" s="121"/>
      <c r="F16" s="121"/>
      <c r="G16" s="121"/>
      <c r="H16" s="121"/>
      <c r="I16" s="121"/>
      <c r="J16" s="121"/>
      <c r="K16" s="121"/>
      <c r="L16" s="102"/>
      <c r="M16" s="10"/>
      <c r="N16" s="10"/>
      <c r="O16" s="10"/>
      <c r="P16" s="10"/>
      <c r="Q16" s="9"/>
      <c r="R16" s="9"/>
      <c r="S16" s="9"/>
      <c r="T16" s="9"/>
      <c r="U16" s="9"/>
      <c r="V16" s="9"/>
      <c r="W16" s="9"/>
      <c r="X16" s="9"/>
    </row>
    <row r="17" spans="1:24" ht="12.75">
      <c r="A17" s="32" t="s">
        <v>106</v>
      </c>
      <c r="B17" s="272">
        <v>0</v>
      </c>
      <c r="C17" s="272">
        <v>11300</v>
      </c>
      <c r="D17" s="272">
        <v>0</v>
      </c>
      <c r="E17" s="272">
        <v>0</v>
      </c>
      <c r="F17" s="272">
        <v>2000</v>
      </c>
      <c r="G17" s="272" t="s">
        <v>4</v>
      </c>
      <c r="H17" s="272"/>
      <c r="I17" s="272"/>
      <c r="J17" s="272"/>
      <c r="K17" s="272"/>
      <c r="L17" s="272">
        <f>SUM(B17:K17)</f>
        <v>13300</v>
      </c>
      <c r="M17" s="10"/>
      <c r="N17" s="10"/>
      <c r="O17" s="10"/>
      <c r="P17" s="10"/>
      <c r="Q17" s="9"/>
      <c r="R17" s="9"/>
      <c r="S17" s="9"/>
      <c r="T17" s="9"/>
      <c r="U17" s="9"/>
      <c r="V17" s="9"/>
      <c r="W17" s="9"/>
      <c r="X17" s="9"/>
    </row>
    <row r="18" spans="1:12" ht="25.5">
      <c r="A18" s="38" t="s">
        <v>95</v>
      </c>
      <c r="B18" s="272">
        <v>0</v>
      </c>
      <c r="C18" s="272">
        <v>0</v>
      </c>
      <c r="D18" s="272">
        <v>0</v>
      </c>
      <c r="E18" s="272">
        <v>513</v>
      </c>
      <c r="F18" s="272">
        <v>0</v>
      </c>
      <c r="G18" s="272">
        <v>7956</v>
      </c>
      <c r="H18" s="272">
        <v>3263</v>
      </c>
      <c r="I18" s="272">
        <v>4010</v>
      </c>
      <c r="J18" s="272">
        <v>894714</v>
      </c>
      <c r="K18" s="272">
        <v>0</v>
      </c>
      <c r="L18" s="272">
        <f>SUM(B18:K18)</f>
        <v>910456</v>
      </c>
    </row>
    <row r="19" spans="1:13" ht="12.75">
      <c r="A19" s="16" t="s">
        <v>1</v>
      </c>
      <c r="B19" s="272">
        <f aca="true" t="shared" si="3" ref="B19:I19">SUM(B17:B18)</f>
        <v>0</v>
      </c>
      <c r="C19" s="272">
        <f t="shared" si="3"/>
        <v>11300</v>
      </c>
      <c r="D19" s="272">
        <f t="shared" si="3"/>
        <v>0</v>
      </c>
      <c r="E19" s="272">
        <f t="shared" si="3"/>
        <v>513</v>
      </c>
      <c r="F19" s="272">
        <f t="shared" si="3"/>
        <v>2000</v>
      </c>
      <c r="G19" s="272">
        <f t="shared" si="3"/>
        <v>7956</v>
      </c>
      <c r="H19" s="272">
        <f t="shared" si="3"/>
        <v>3263</v>
      </c>
      <c r="I19" s="272">
        <f t="shared" si="3"/>
        <v>4010</v>
      </c>
      <c r="J19" s="272"/>
      <c r="K19" s="272"/>
      <c r="L19" s="272">
        <f>SUM(B19:K19)</f>
        <v>29042</v>
      </c>
      <c r="M19" s="8"/>
    </row>
    <row r="20" spans="1:13" ht="12.75">
      <c r="A20" s="16" t="s">
        <v>205</v>
      </c>
      <c r="B20" s="272">
        <f>B19*1000</f>
        <v>0</v>
      </c>
      <c r="C20" s="272">
        <f aca="true" t="shared" si="4" ref="C20:I20">C19*1000</f>
        <v>11300000</v>
      </c>
      <c r="D20" s="272">
        <f t="shared" si="4"/>
        <v>0</v>
      </c>
      <c r="E20" s="272">
        <f t="shared" si="4"/>
        <v>513000</v>
      </c>
      <c r="F20" s="272">
        <f t="shared" si="4"/>
        <v>2000000</v>
      </c>
      <c r="G20" s="272">
        <f t="shared" si="4"/>
        <v>7956000</v>
      </c>
      <c r="H20" s="272">
        <f t="shared" si="4"/>
        <v>3263000</v>
      </c>
      <c r="I20" s="272">
        <f t="shared" si="4"/>
        <v>4010000</v>
      </c>
      <c r="J20" s="272">
        <f>SUM(J18:J19)</f>
        <v>894714</v>
      </c>
      <c r="K20" s="272">
        <f>SUM(K17:K19)</f>
        <v>0</v>
      </c>
      <c r="L20" s="272">
        <f>SUM(B20:K20)</f>
        <v>29936714</v>
      </c>
      <c r="M20" s="8"/>
    </row>
    <row r="22" spans="1:16" ht="12.75">
      <c r="A22" s="46" t="s">
        <v>133</v>
      </c>
      <c r="B22" s="10"/>
      <c r="C22" s="10"/>
      <c r="D22" s="10"/>
      <c r="E22" s="10"/>
      <c r="F22" s="10"/>
      <c r="G22" s="10"/>
      <c r="H22" s="10"/>
      <c r="I22" s="10"/>
      <c r="J22" s="10"/>
      <c r="K22" s="10"/>
      <c r="L22" s="10"/>
      <c r="M22" s="10"/>
      <c r="N22" s="10"/>
      <c r="O22" s="10"/>
      <c r="P22" s="10"/>
    </row>
    <row r="23" spans="1:16" ht="12.75">
      <c r="A23" s="32" t="s">
        <v>106</v>
      </c>
      <c r="B23" s="250">
        <v>0</v>
      </c>
      <c r="C23" s="250">
        <v>0</v>
      </c>
      <c r="D23" s="250">
        <v>0</v>
      </c>
      <c r="E23" s="250">
        <v>0</v>
      </c>
      <c r="F23" s="250">
        <v>0</v>
      </c>
      <c r="G23" s="250" t="s">
        <v>4</v>
      </c>
      <c r="H23" s="250"/>
      <c r="I23" s="250"/>
      <c r="J23" s="250"/>
      <c r="K23" s="252"/>
      <c r="L23" s="250">
        <f>SUM(B23:K23)</f>
        <v>0</v>
      </c>
      <c r="M23" s="130"/>
      <c r="N23" s="10"/>
      <c r="O23" s="10"/>
      <c r="P23" s="10"/>
    </row>
    <row r="24" spans="1:16" ht="25.5">
      <c r="A24" s="38" t="s">
        <v>95</v>
      </c>
      <c r="B24" s="250">
        <v>0</v>
      </c>
      <c r="C24" s="250">
        <v>0</v>
      </c>
      <c r="D24" s="250">
        <v>0</v>
      </c>
      <c r="E24" s="250">
        <v>0</v>
      </c>
      <c r="F24" s="250">
        <v>1</v>
      </c>
      <c r="G24" s="250">
        <v>0</v>
      </c>
      <c r="H24" s="250">
        <v>3</v>
      </c>
      <c r="I24" s="250">
        <v>1</v>
      </c>
      <c r="J24" s="250">
        <v>1</v>
      </c>
      <c r="K24" s="252">
        <v>1</v>
      </c>
      <c r="L24" s="250">
        <f>SUM(B24:K24)</f>
        <v>7</v>
      </c>
      <c r="M24" s="130"/>
      <c r="N24" s="9"/>
      <c r="O24" s="9"/>
      <c r="P24" s="9"/>
    </row>
    <row r="25" spans="1:16" ht="12.75">
      <c r="A25" s="16" t="s">
        <v>1</v>
      </c>
      <c r="B25" s="250">
        <f aca="true" t="shared" si="5" ref="B25:I25">SUM(B23:B24)</f>
        <v>0</v>
      </c>
      <c r="C25" s="250">
        <f t="shared" si="5"/>
        <v>0</v>
      </c>
      <c r="D25" s="250">
        <f t="shared" si="5"/>
        <v>0</v>
      </c>
      <c r="E25" s="250">
        <f t="shared" si="5"/>
        <v>0</v>
      </c>
      <c r="F25" s="250">
        <f t="shared" si="5"/>
        <v>1</v>
      </c>
      <c r="G25" s="250">
        <f t="shared" si="5"/>
        <v>0</v>
      </c>
      <c r="H25" s="250">
        <f t="shared" si="5"/>
        <v>3</v>
      </c>
      <c r="I25" s="250">
        <f t="shared" si="5"/>
        <v>1</v>
      </c>
      <c r="J25" s="250">
        <f>SUM(J23:J24)</f>
        <v>1</v>
      </c>
      <c r="K25" s="250">
        <f>SUM(K23:K24)</f>
        <v>1</v>
      </c>
      <c r="L25" s="250">
        <f>SUM(B25:K25)</f>
        <v>7</v>
      </c>
      <c r="M25" s="11"/>
      <c r="N25" s="11"/>
      <c r="O25" s="11"/>
      <c r="P25" s="11"/>
    </row>
    <row r="26" spans="1:16" ht="12.75">
      <c r="A26" s="43"/>
      <c r="B26" s="11"/>
      <c r="C26" s="11"/>
      <c r="D26" s="11"/>
      <c r="E26" s="11"/>
      <c r="F26" s="11"/>
      <c r="G26" s="11"/>
      <c r="H26" s="11"/>
      <c r="I26" s="11"/>
      <c r="J26" s="11"/>
      <c r="K26" s="11"/>
      <c r="L26" s="11"/>
      <c r="M26" s="11"/>
      <c r="N26" s="11"/>
      <c r="O26" s="11"/>
      <c r="P26" s="11"/>
    </row>
    <row r="27" spans="1:16" ht="12.75">
      <c r="A27" s="5" t="s">
        <v>99</v>
      </c>
      <c r="B27" s="10" t="s">
        <v>8</v>
      </c>
      <c r="C27" s="10" t="s">
        <v>8</v>
      </c>
      <c r="D27" s="10" t="s">
        <v>8</v>
      </c>
      <c r="E27" s="10" t="s">
        <v>8</v>
      </c>
      <c r="F27" s="10" t="s">
        <v>8</v>
      </c>
      <c r="G27" s="10" t="s">
        <v>8</v>
      </c>
      <c r="H27" s="10" t="s">
        <v>8</v>
      </c>
      <c r="I27" s="89" t="s">
        <v>8</v>
      </c>
      <c r="J27" s="89" t="s">
        <v>8</v>
      </c>
      <c r="K27" s="89" t="s">
        <v>8</v>
      </c>
      <c r="L27" s="10" t="s">
        <v>8</v>
      </c>
      <c r="M27" s="10"/>
      <c r="N27" s="10"/>
      <c r="O27" s="10"/>
      <c r="P27" s="10"/>
    </row>
    <row r="28" spans="1:12" ht="12.75">
      <c r="A28" s="32" t="s">
        <v>106</v>
      </c>
      <c r="B28" s="250">
        <v>0</v>
      </c>
      <c r="C28" s="250">
        <v>0</v>
      </c>
      <c r="D28" s="250">
        <v>0</v>
      </c>
      <c r="E28" s="250">
        <v>0</v>
      </c>
      <c r="F28" s="250">
        <v>0</v>
      </c>
      <c r="G28" s="250" t="s">
        <v>4</v>
      </c>
      <c r="H28" s="250"/>
      <c r="I28" s="250"/>
      <c r="J28" s="250"/>
      <c r="K28" s="252"/>
      <c r="L28" s="250">
        <f>SUM(B28:K28)</f>
        <v>0</v>
      </c>
    </row>
    <row r="29" spans="1:12" ht="25.5">
      <c r="A29" s="38" t="s">
        <v>95</v>
      </c>
      <c r="B29" s="250">
        <v>0</v>
      </c>
      <c r="C29" s="250">
        <v>0</v>
      </c>
      <c r="D29" s="250">
        <v>0</v>
      </c>
      <c r="E29" s="250">
        <v>0</v>
      </c>
      <c r="F29" s="250">
        <v>12516</v>
      </c>
      <c r="G29" s="250"/>
      <c r="H29" s="250">
        <v>41753</v>
      </c>
      <c r="I29" s="250">
        <v>71902</v>
      </c>
      <c r="J29" s="250">
        <v>8712</v>
      </c>
      <c r="K29" s="252">
        <v>40137</v>
      </c>
      <c r="L29" s="250">
        <f>SUM(B29:K29)</f>
        <v>175020</v>
      </c>
    </row>
    <row r="30" spans="1:12" ht="12.75">
      <c r="A30" s="16" t="s">
        <v>1</v>
      </c>
      <c r="B30" s="250">
        <f aca="true" t="shared" si="6" ref="B30:K30">SUM(B28:B29)</f>
        <v>0</v>
      </c>
      <c r="C30" s="250">
        <f t="shared" si="6"/>
        <v>0</v>
      </c>
      <c r="D30" s="250">
        <f t="shared" si="6"/>
        <v>0</v>
      </c>
      <c r="E30" s="250">
        <f t="shared" si="6"/>
        <v>0</v>
      </c>
      <c r="F30" s="250">
        <f t="shared" si="6"/>
        <v>12516</v>
      </c>
      <c r="G30" s="250">
        <f t="shared" si="6"/>
        <v>0</v>
      </c>
      <c r="H30" s="250">
        <f t="shared" si="6"/>
        <v>41753</v>
      </c>
      <c r="I30" s="250">
        <f t="shared" si="6"/>
        <v>71902</v>
      </c>
      <c r="J30" s="250">
        <f t="shared" si="6"/>
        <v>8712</v>
      </c>
      <c r="K30" s="250">
        <f t="shared" si="6"/>
        <v>40137</v>
      </c>
      <c r="L30" s="250">
        <f>SUM(B30:K30)</f>
        <v>175020</v>
      </c>
    </row>
    <row r="31" ht="12.75">
      <c r="A31" s="131" t="s">
        <v>306</v>
      </c>
    </row>
    <row r="33" spans="1:12" ht="12.75">
      <c r="A33" s="5" t="s">
        <v>100</v>
      </c>
      <c r="B33" s="10" t="s">
        <v>8</v>
      </c>
      <c r="C33" s="10" t="s">
        <v>8</v>
      </c>
      <c r="D33" s="10" t="s">
        <v>8</v>
      </c>
      <c r="E33" s="10" t="s">
        <v>8</v>
      </c>
      <c r="F33" s="10" t="s">
        <v>8</v>
      </c>
      <c r="G33" s="10" t="s">
        <v>8</v>
      </c>
      <c r="H33" s="10" t="s">
        <v>8</v>
      </c>
      <c r="I33" s="89" t="s">
        <v>8</v>
      </c>
      <c r="J33" s="89" t="s">
        <v>8</v>
      </c>
      <c r="K33" s="89" t="s">
        <v>8</v>
      </c>
      <c r="L33" s="10" t="s">
        <v>8</v>
      </c>
    </row>
    <row r="34" spans="1:12" ht="12.75">
      <c r="A34" s="32" t="s">
        <v>106</v>
      </c>
      <c r="B34" s="13">
        <v>0</v>
      </c>
      <c r="C34" s="13">
        <v>0</v>
      </c>
      <c r="D34" s="13">
        <v>0</v>
      </c>
      <c r="E34" s="13">
        <v>0</v>
      </c>
      <c r="F34" s="13">
        <v>0</v>
      </c>
      <c r="G34" s="13" t="s">
        <v>4</v>
      </c>
      <c r="H34" s="13"/>
      <c r="I34" s="13"/>
      <c r="J34" s="13"/>
      <c r="K34" s="13"/>
      <c r="L34" s="13">
        <f>SUM(B34:K34)</f>
        <v>0</v>
      </c>
    </row>
    <row r="35" spans="1:12" ht="25.5">
      <c r="A35" s="38" t="s">
        <v>95</v>
      </c>
      <c r="B35" s="13">
        <v>0</v>
      </c>
      <c r="C35" s="13">
        <v>0</v>
      </c>
      <c r="D35" s="13">
        <v>0</v>
      </c>
      <c r="E35" s="13">
        <v>0</v>
      </c>
      <c r="F35" s="13">
        <v>187740</v>
      </c>
      <c r="G35" s="13"/>
      <c r="H35" s="13">
        <v>478464</v>
      </c>
      <c r="I35" s="13">
        <v>1438040</v>
      </c>
      <c r="J35" s="13">
        <v>174240</v>
      </c>
      <c r="K35" s="13">
        <v>602055</v>
      </c>
      <c r="L35" s="13">
        <f>SUM(B35:K35)</f>
        <v>2880539</v>
      </c>
    </row>
    <row r="36" spans="1:12" ht="12.75">
      <c r="A36" s="16" t="s">
        <v>1</v>
      </c>
      <c r="B36" s="13">
        <f aca="true" t="shared" si="7" ref="B36:K36">SUM(B34:B35)</f>
        <v>0</v>
      </c>
      <c r="C36" s="13">
        <f t="shared" si="7"/>
        <v>0</v>
      </c>
      <c r="D36" s="13">
        <f t="shared" si="7"/>
        <v>0</v>
      </c>
      <c r="E36" s="13">
        <f t="shared" si="7"/>
        <v>0</v>
      </c>
      <c r="F36" s="13">
        <f t="shared" si="7"/>
        <v>187740</v>
      </c>
      <c r="G36" s="13">
        <f t="shared" si="7"/>
        <v>0</v>
      </c>
      <c r="H36" s="13">
        <f t="shared" si="7"/>
        <v>478464</v>
      </c>
      <c r="I36" s="13">
        <f t="shared" si="7"/>
        <v>1438040</v>
      </c>
      <c r="J36" s="13">
        <f t="shared" si="7"/>
        <v>174240</v>
      </c>
      <c r="K36" s="13">
        <f t="shared" si="7"/>
        <v>602055</v>
      </c>
      <c r="L36" s="13">
        <f>SUM(B36:K36)</f>
        <v>2880539</v>
      </c>
    </row>
    <row r="37" ht="12.75">
      <c r="A37" s="131" t="s">
        <v>307</v>
      </c>
    </row>
    <row r="39" spans="1:12" ht="12.75">
      <c r="A39" s="5" t="s">
        <v>117</v>
      </c>
      <c r="B39" s="10" t="s">
        <v>9</v>
      </c>
      <c r="C39" s="10" t="s">
        <v>9</v>
      </c>
      <c r="D39" s="10" t="s">
        <v>9</v>
      </c>
      <c r="E39" s="10" t="s">
        <v>9</v>
      </c>
      <c r="F39" s="10" t="s">
        <v>9</v>
      </c>
      <c r="G39" s="10" t="s">
        <v>9</v>
      </c>
      <c r="H39" s="6" t="s">
        <v>9</v>
      </c>
      <c r="I39" s="90" t="s">
        <v>9</v>
      </c>
      <c r="J39" s="90" t="s">
        <v>9</v>
      </c>
      <c r="K39" s="90" t="s">
        <v>9</v>
      </c>
      <c r="L39" s="10" t="s">
        <v>9</v>
      </c>
    </row>
    <row r="40" spans="1:12" ht="12.75">
      <c r="A40" s="32" t="s">
        <v>106</v>
      </c>
      <c r="B40" s="250">
        <v>0</v>
      </c>
      <c r="C40" s="250">
        <v>0</v>
      </c>
      <c r="D40" s="250">
        <v>0</v>
      </c>
      <c r="E40" s="250">
        <v>0</v>
      </c>
      <c r="F40" s="250">
        <v>0</v>
      </c>
      <c r="G40" s="250" t="s">
        <v>4</v>
      </c>
      <c r="H40" s="250"/>
      <c r="I40" s="250"/>
      <c r="J40" s="250"/>
      <c r="K40" s="252"/>
      <c r="L40" s="250">
        <f>SUM(B40:K40)</f>
        <v>0</v>
      </c>
    </row>
    <row r="41" spans="1:12" ht="25.5">
      <c r="A41" s="38" t="s">
        <v>95</v>
      </c>
      <c r="B41" s="250">
        <v>0</v>
      </c>
      <c r="C41" s="250">
        <v>0</v>
      </c>
      <c r="D41" s="250">
        <v>0</v>
      </c>
      <c r="E41" s="250">
        <v>0</v>
      </c>
      <c r="F41" s="250">
        <v>1600</v>
      </c>
      <c r="G41" s="250"/>
      <c r="H41" s="250">
        <v>8600</v>
      </c>
      <c r="I41" s="250">
        <v>9600</v>
      </c>
      <c r="J41" s="250">
        <v>1500</v>
      </c>
      <c r="K41" s="252">
        <v>6200</v>
      </c>
      <c r="L41" s="250">
        <v>27500</v>
      </c>
    </row>
    <row r="42" spans="1:12" ht="12.75">
      <c r="A42" s="16" t="s">
        <v>1</v>
      </c>
      <c r="B42" s="250">
        <f aca="true" t="shared" si="8" ref="B42:K42">SUM(B40:B41)</f>
        <v>0</v>
      </c>
      <c r="C42" s="250">
        <f t="shared" si="8"/>
        <v>0</v>
      </c>
      <c r="D42" s="250">
        <f t="shared" si="8"/>
        <v>0</v>
      </c>
      <c r="E42" s="250">
        <f t="shared" si="8"/>
        <v>0</v>
      </c>
      <c r="F42" s="250">
        <f t="shared" si="8"/>
        <v>1600</v>
      </c>
      <c r="G42" s="250">
        <f t="shared" si="8"/>
        <v>0</v>
      </c>
      <c r="H42" s="250">
        <f t="shared" si="8"/>
        <v>8600</v>
      </c>
      <c r="I42" s="250">
        <f t="shared" si="8"/>
        <v>9600</v>
      </c>
      <c r="J42" s="250">
        <f t="shared" si="8"/>
        <v>1500</v>
      </c>
      <c r="K42" s="250">
        <f t="shared" si="8"/>
        <v>6200</v>
      </c>
      <c r="L42" s="250">
        <f>SUM(B42:K42)</f>
        <v>27500</v>
      </c>
    </row>
    <row r="43" ht="12.75">
      <c r="A43" s="131" t="s">
        <v>308</v>
      </c>
    </row>
    <row r="45" spans="6:12" ht="12.75">
      <c r="F45" s="10" t="s">
        <v>8</v>
      </c>
      <c r="G45" s="10" t="s">
        <v>8</v>
      </c>
      <c r="H45" s="10" t="s">
        <v>8</v>
      </c>
      <c r="I45" s="89" t="s">
        <v>8</v>
      </c>
      <c r="J45" s="89" t="s">
        <v>8</v>
      </c>
      <c r="K45" s="89" t="s">
        <v>8</v>
      </c>
      <c r="L45" s="53"/>
    </row>
    <row r="46" spans="1:12" ht="12.75">
      <c r="A46" s="77" t="s">
        <v>123</v>
      </c>
      <c r="B46" s="277"/>
      <c r="C46" s="277"/>
      <c r="D46" s="277"/>
      <c r="E46" s="277"/>
      <c r="F46" s="277">
        <v>59352</v>
      </c>
      <c r="G46" s="277">
        <v>39593</v>
      </c>
      <c r="H46" s="277">
        <v>54712</v>
      </c>
      <c r="I46" s="277">
        <v>8712</v>
      </c>
      <c r="J46" s="277"/>
      <c r="K46" s="277"/>
      <c r="L46" s="44"/>
    </row>
    <row r="47" ht="12.75">
      <c r="L47" s="44"/>
    </row>
    <row r="48" spans="6:12" ht="12.75">
      <c r="F48" s="6" t="s">
        <v>9</v>
      </c>
      <c r="G48" s="6" t="s">
        <v>9</v>
      </c>
      <c r="H48" s="6" t="s">
        <v>9</v>
      </c>
      <c r="I48" s="90" t="s">
        <v>9</v>
      </c>
      <c r="J48" s="90" t="s">
        <v>9</v>
      </c>
      <c r="K48" s="90" t="s">
        <v>9</v>
      </c>
      <c r="L48" s="44"/>
    </row>
    <row r="49" spans="1:12" ht="12.75">
      <c r="A49" s="77" t="s">
        <v>124</v>
      </c>
      <c r="B49" s="277"/>
      <c r="C49" s="277"/>
      <c r="D49" s="277"/>
      <c r="E49" s="277"/>
      <c r="F49" s="277">
        <v>13350</v>
      </c>
      <c r="G49" s="277">
        <v>6150</v>
      </c>
      <c r="H49" s="277">
        <v>7700</v>
      </c>
      <c r="I49" s="277">
        <v>1500</v>
      </c>
      <c r="J49" s="277"/>
      <c r="K49" s="277"/>
      <c r="L49" s="44"/>
    </row>
    <row r="50" ht="12.75">
      <c r="L50" s="44"/>
    </row>
    <row r="51" spans="6:12" ht="12.75">
      <c r="F51" s="10" t="s">
        <v>8</v>
      </c>
      <c r="G51" s="10" t="s">
        <v>8</v>
      </c>
      <c r="H51" s="10" t="s">
        <v>8</v>
      </c>
      <c r="I51" s="89" t="s">
        <v>8</v>
      </c>
      <c r="J51" s="89" t="s">
        <v>8</v>
      </c>
      <c r="K51" s="89" t="s">
        <v>8</v>
      </c>
      <c r="L51" s="53"/>
    </row>
    <row r="52" spans="1:12" ht="12.75">
      <c r="A52" s="77" t="s">
        <v>125</v>
      </c>
      <c r="B52" s="277"/>
      <c r="C52" s="277"/>
      <c r="D52" s="277"/>
      <c r="E52" s="277"/>
      <c r="F52" s="277">
        <v>296760</v>
      </c>
      <c r="G52" s="277">
        <v>197965</v>
      </c>
      <c r="H52" s="277">
        <v>864240</v>
      </c>
      <c r="I52" s="277">
        <v>174240</v>
      </c>
      <c r="J52" s="277"/>
      <c r="K52" s="277"/>
      <c r="L52" s="44"/>
    </row>
    <row r="53" ht="12.75">
      <c r="L53" s="44"/>
    </row>
  </sheetData>
  <sheetProtection/>
  <mergeCells count="2">
    <mergeCell ref="A2:L2"/>
    <mergeCell ref="A1:L1"/>
  </mergeCells>
  <printOptions/>
  <pageMargins left="0.17" right="0.17" top="0.4" bottom="0.6" header="0.24" footer="0.24"/>
  <pageSetup fitToHeight="1" fitToWidth="1" horizontalDpi="600" verticalDpi="600" orientation="landscape" scale="72" r:id="rId1"/>
  <headerFooter scaleWithDoc="0" alignWithMargins="0">
    <oddFooter>&amp;L&amp;6&amp;A - Results by Program Year&amp;R&amp;6printed &amp;D at &amp;T</oddFooter>
  </headerFooter>
  <ignoredErrors>
    <ignoredError sqref="B7:C7 F7:I7 E7 J7:K7" formulaRange="1"/>
  </ignoredErrors>
</worksheet>
</file>

<file path=xl/worksheets/sheet35.xml><?xml version="1.0" encoding="utf-8"?>
<worksheet xmlns="http://schemas.openxmlformats.org/spreadsheetml/2006/main" xmlns:r="http://schemas.openxmlformats.org/officeDocument/2006/relationships">
  <sheetPr>
    <tabColor theme="5" tint="0.39998000860214233"/>
    <pageSetUpPr fitToPage="1"/>
  </sheetPr>
  <dimension ref="A1:X16"/>
  <sheetViews>
    <sheetView showGridLines="0" zoomScalePageLayoutView="0" workbookViewId="0" topLeftCell="A1">
      <selection activeCell="A1" sqref="A1:L1"/>
    </sheetView>
  </sheetViews>
  <sheetFormatPr defaultColWidth="10.7109375" defaultRowHeight="12.75"/>
  <cols>
    <col min="1" max="1" width="36.8515625" style="3" customWidth="1"/>
    <col min="2" max="3" width="11.140625" style="6" bestFit="1" customWidth="1"/>
    <col min="4" max="4" width="11.00390625" style="6" bestFit="1" customWidth="1"/>
    <col min="5" max="5" width="11.8515625" style="6" bestFit="1" customWidth="1"/>
    <col min="6" max="7" width="12.140625" style="6" bestFit="1" customWidth="1"/>
    <col min="8" max="8" width="11.8515625" style="6" bestFit="1" customWidth="1"/>
    <col min="9" max="9" width="11.57421875" style="6" bestFit="1" customWidth="1"/>
    <col min="10" max="10" width="13.421875" style="6" bestFit="1" customWidth="1"/>
    <col min="11" max="11" width="12.7109375" style="6" customWidth="1"/>
    <col min="12" max="12" width="11.7109375" style="6" bestFit="1" customWidth="1"/>
    <col min="13" max="16384" width="10.7109375" style="6" customWidth="1"/>
  </cols>
  <sheetData>
    <row r="1" spans="1:12" ht="12.75">
      <c r="A1" s="483" t="s">
        <v>393</v>
      </c>
      <c r="B1" s="483"/>
      <c r="C1" s="483"/>
      <c r="D1" s="483"/>
      <c r="E1" s="483"/>
      <c r="F1" s="483"/>
      <c r="G1" s="483"/>
      <c r="H1" s="483"/>
      <c r="I1" s="483"/>
      <c r="J1" s="483"/>
      <c r="K1" s="483"/>
      <c r="L1" s="483"/>
    </row>
    <row r="2" spans="1:12" ht="12.75">
      <c r="A2" s="483" t="s">
        <v>132</v>
      </c>
      <c r="B2" s="483"/>
      <c r="C2" s="483"/>
      <c r="D2" s="483"/>
      <c r="E2" s="483"/>
      <c r="F2" s="483"/>
      <c r="G2" s="483"/>
      <c r="H2" s="483"/>
      <c r="I2" s="483"/>
      <c r="J2" s="483"/>
      <c r="K2" s="483"/>
      <c r="L2" s="483"/>
    </row>
    <row r="3" spans="1:15" ht="12.75">
      <c r="A3" s="43" t="s">
        <v>305</v>
      </c>
      <c r="M3" s="3"/>
      <c r="N3" s="3"/>
      <c r="O3" s="3"/>
    </row>
    <row r="4" spans="1:15" ht="25.5">
      <c r="A4" s="43" t="s">
        <v>206</v>
      </c>
      <c r="B4" s="28">
        <v>2001</v>
      </c>
      <c r="C4" s="28">
        <v>2002</v>
      </c>
      <c r="D4" s="28">
        <v>2003</v>
      </c>
      <c r="E4" s="28">
        <v>2004</v>
      </c>
      <c r="F4" s="28">
        <v>2005</v>
      </c>
      <c r="G4" s="28">
        <v>2006</v>
      </c>
      <c r="H4" s="28">
        <v>2007</v>
      </c>
      <c r="I4" s="28">
        <v>2008</v>
      </c>
      <c r="J4" s="28">
        <v>2009</v>
      </c>
      <c r="K4" s="28">
        <v>2010</v>
      </c>
      <c r="L4" s="196" t="str">
        <f>"Total "&amp;CHAR(10)&amp;B4&amp;" - "&amp;K4</f>
        <v>Total 
2001 - 2010</v>
      </c>
      <c r="M4" s="3"/>
      <c r="N4" s="3"/>
      <c r="O4" s="3"/>
    </row>
    <row r="5" spans="1:15" ht="25.5" customHeight="1">
      <c r="A5" s="38" t="s">
        <v>97</v>
      </c>
      <c r="B5" s="272">
        <v>0</v>
      </c>
      <c r="C5" s="272">
        <v>0</v>
      </c>
      <c r="D5" s="272"/>
      <c r="E5" s="272">
        <v>6350000</v>
      </c>
      <c r="F5" s="272">
        <v>8000000</v>
      </c>
      <c r="G5" s="272">
        <v>8000000</v>
      </c>
      <c r="H5" s="272">
        <v>5000000</v>
      </c>
      <c r="I5" s="272">
        <v>1938000</v>
      </c>
      <c r="J5" s="272">
        <v>1537473.38</v>
      </c>
      <c r="K5" s="272">
        <v>250000</v>
      </c>
      <c r="L5" s="272">
        <f>SUM(B5:K5)</f>
        <v>31075473.38</v>
      </c>
      <c r="M5" s="3"/>
      <c r="N5" s="3"/>
      <c r="O5" s="3"/>
    </row>
    <row r="6" spans="1:15" ht="12.75">
      <c r="A6" s="39"/>
      <c r="B6" s="102"/>
      <c r="C6" s="102"/>
      <c r="D6" s="102"/>
      <c r="E6" s="102"/>
      <c r="F6" s="102"/>
      <c r="G6" s="102"/>
      <c r="H6" s="102"/>
      <c r="I6" s="102"/>
      <c r="J6" s="102"/>
      <c r="K6" s="102"/>
      <c r="L6" s="102"/>
      <c r="M6" s="3"/>
      <c r="N6" s="3"/>
      <c r="O6" s="3"/>
    </row>
    <row r="7" spans="1:15" ht="12.75">
      <c r="A7" s="30" t="s">
        <v>16</v>
      </c>
      <c r="B7" s="121"/>
      <c r="C7" s="121"/>
      <c r="D7" s="121"/>
      <c r="E7" s="121"/>
      <c r="F7" s="121"/>
      <c r="G7" s="121"/>
      <c r="H7" s="121"/>
      <c r="I7" s="121"/>
      <c r="J7" s="121"/>
      <c r="K7" s="121"/>
      <c r="L7" s="102"/>
      <c r="M7" s="3"/>
      <c r="N7" s="3"/>
      <c r="O7" s="3"/>
    </row>
    <row r="8" spans="1:12" ht="25.5">
      <c r="A8" s="38" t="s">
        <v>97</v>
      </c>
      <c r="B8" s="272">
        <v>0</v>
      </c>
      <c r="C8" s="272">
        <v>0</v>
      </c>
      <c r="D8" s="272">
        <v>1143</v>
      </c>
      <c r="E8" s="272">
        <v>1001</v>
      </c>
      <c r="F8" s="272">
        <v>2358</v>
      </c>
      <c r="G8" s="272">
        <v>162</v>
      </c>
      <c r="H8" s="272">
        <v>207</v>
      </c>
      <c r="I8" s="304">
        <v>62</v>
      </c>
      <c r="J8" s="272">
        <v>368905.18</v>
      </c>
      <c r="K8" s="272">
        <v>250000</v>
      </c>
      <c r="L8" s="272"/>
    </row>
    <row r="9" spans="1:12" ht="12.75">
      <c r="A9" s="16" t="s">
        <v>205</v>
      </c>
      <c r="B9" s="272">
        <f>B8*1000</f>
        <v>0</v>
      </c>
      <c r="C9" s="272">
        <f aca="true" t="shared" si="0" ref="C9:I9">C8*1000</f>
        <v>0</v>
      </c>
      <c r="D9" s="272">
        <f t="shared" si="0"/>
        <v>1143000</v>
      </c>
      <c r="E9" s="272">
        <f t="shared" si="0"/>
        <v>1001000</v>
      </c>
      <c r="F9" s="272">
        <f t="shared" si="0"/>
        <v>2358000</v>
      </c>
      <c r="G9" s="272">
        <f t="shared" si="0"/>
        <v>162000</v>
      </c>
      <c r="H9" s="272">
        <f t="shared" si="0"/>
        <v>207000</v>
      </c>
      <c r="I9" s="272">
        <f t="shared" si="0"/>
        <v>62000</v>
      </c>
      <c r="J9" s="272">
        <f>SUM(J8)</f>
        <v>368905.18</v>
      </c>
      <c r="K9" s="272">
        <f>SUM(K8)</f>
        <v>250000</v>
      </c>
      <c r="L9" s="272">
        <f>SUM(B9:K9)</f>
        <v>5551905.18</v>
      </c>
    </row>
    <row r="10" spans="1:24" ht="12.75">
      <c r="A10" s="2"/>
      <c r="B10" s="10"/>
      <c r="C10" s="10"/>
      <c r="D10" s="10"/>
      <c r="E10" s="10"/>
      <c r="F10" s="10"/>
      <c r="G10" s="10"/>
      <c r="H10" s="10"/>
      <c r="I10" s="10"/>
      <c r="J10" s="10"/>
      <c r="K10" s="10"/>
      <c r="L10" s="10"/>
      <c r="M10" s="10"/>
      <c r="N10" s="10"/>
      <c r="O10" s="10"/>
      <c r="P10" s="10"/>
      <c r="Q10" s="9"/>
      <c r="R10" s="9"/>
      <c r="S10" s="9"/>
      <c r="T10" s="9"/>
      <c r="U10" s="9"/>
      <c r="V10" s="9"/>
      <c r="W10" s="9"/>
      <c r="X10" s="9"/>
    </row>
    <row r="11" spans="1:24" ht="12.75">
      <c r="A11" s="30" t="s">
        <v>17</v>
      </c>
      <c r="B11" s="41"/>
      <c r="C11" s="41"/>
      <c r="D11" s="41"/>
      <c r="E11" s="41"/>
      <c r="F11" s="41"/>
      <c r="G11" s="41"/>
      <c r="H11" s="41"/>
      <c r="I11" s="41"/>
      <c r="J11" s="41"/>
      <c r="K11" s="41"/>
      <c r="L11" s="40"/>
      <c r="M11" s="10"/>
      <c r="N11" s="10"/>
      <c r="O11" s="10"/>
      <c r="P11" s="10"/>
      <c r="Q11" s="9"/>
      <c r="R11" s="9"/>
      <c r="S11" s="9"/>
      <c r="T11" s="9"/>
      <c r="U11" s="9"/>
      <c r="V11" s="9"/>
      <c r="W11" s="9"/>
      <c r="X11" s="9"/>
    </row>
    <row r="12" spans="1:24" ht="25.5">
      <c r="A12" s="38" t="s">
        <v>97</v>
      </c>
      <c r="B12" s="315">
        <v>0</v>
      </c>
      <c r="C12" s="315">
        <v>0</v>
      </c>
      <c r="D12" s="315">
        <v>2700</v>
      </c>
      <c r="E12" s="315">
        <v>378</v>
      </c>
      <c r="F12" s="315">
        <v>81</v>
      </c>
      <c r="G12" s="315">
        <v>712</v>
      </c>
      <c r="H12" s="315">
        <v>3200</v>
      </c>
      <c r="I12" s="315">
        <v>1500</v>
      </c>
      <c r="J12" s="315">
        <v>1130889.82</v>
      </c>
      <c r="K12" s="315">
        <v>0</v>
      </c>
      <c r="L12" s="315"/>
      <c r="M12" s="9"/>
      <c r="N12" s="9"/>
      <c r="O12" s="9"/>
      <c r="P12" s="9"/>
      <c r="Q12" s="9"/>
      <c r="R12" s="9"/>
      <c r="S12" s="9"/>
      <c r="T12" s="9"/>
      <c r="U12" s="9"/>
      <c r="V12" s="9"/>
      <c r="W12" s="9"/>
      <c r="X12" s="9"/>
    </row>
    <row r="14" spans="1:16" ht="12.75">
      <c r="A14" s="46" t="s">
        <v>5</v>
      </c>
      <c r="B14" s="10"/>
      <c r="C14" s="10"/>
      <c r="D14" s="10"/>
      <c r="E14" s="10"/>
      <c r="F14" s="10"/>
      <c r="G14" s="10"/>
      <c r="H14" s="10"/>
      <c r="I14" s="10"/>
      <c r="J14" s="10"/>
      <c r="K14" s="10"/>
      <c r="L14" s="10"/>
      <c r="M14" s="10"/>
      <c r="N14" s="10"/>
      <c r="O14" s="10"/>
      <c r="P14" s="10"/>
    </row>
    <row r="15" spans="1:16" ht="25.5">
      <c r="A15" s="38" t="s">
        <v>97</v>
      </c>
      <c r="B15" s="250">
        <v>0</v>
      </c>
      <c r="C15" s="250"/>
      <c r="D15" s="250">
        <v>10</v>
      </c>
      <c r="E15" s="250">
        <v>0</v>
      </c>
      <c r="F15" s="250">
        <v>5</v>
      </c>
      <c r="G15" s="250">
        <v>4</v>
      </c>
      <c r="H15" s="250">
        <v>1</v>
      </c>
      <c r="I15" s="250">
        <v>1</v>
      </c>
      <c r="J15" s="250">
        <v>1</v>
      </c>
      <c r="K15" s="252">
        <v>1</v>
      </c>
      <c r="L15" s="250">
        <f>SUM(B15:K15)</f>
        <v>23</v>
      </c>
      <c r="M15" s="130"/>
      <c r="N15" s="10"/>
      <c r="O15" s="10"/>
      <c r="P15" s="10"/>
    </row>
    <row r="16" spans="1:16" ht="12.75">
      <c r="A16" s="43"/>
      <c r="B16" s="11"/>
      <c r="C16" s="11"/>
      <c r="D16" s="11"/>
      <c r="E16" s="11"/>
      <c r="F16" s="11"/>
      <c r="G16" s="11"/>
      <c r="H16" s="11"/>
      <c r="I16" s="11"/>
      <c r="J16" s="11"/>
      <c r="K16" s="11"/>
      <c r="L16" s="11"/>
      <c r="M16" s="11"/>
      <c r="N16" s="11"/>
      <c r="O16" s="11"/>
      <c r="P16" s="11"/>
    </row>
  </sheetData>
  <sheetProtection/>
  <mergeCells count="2">
    <mergeCell ref="A2:L2"/>
    <mergeCell ref="A1:L1"/>
  </mergeCells>
  <printOptions/>
  <pageMargins left="0.17" right="0.17" top="0.4" bottom="0.6" header="0.24" footer="0.24"/>
  <pageSetup fitToHeight="1" fitToWidth="1" horizontalDpi="600" verticalDpi="600" orientation="landscape" scale="82" r:id="rId1"/>
  <headerFooter scaleWithDoc="0" alignWithMargins="0">
    <oddFooter>&amp;L&amp;6&amp;A - Results by Program Year&amp;R&amp;6printed &amp;D at &amp;T</oddFooter>
  </headerFooter>
  <rowBreaks count="1" manualBreakCount="1">
    <brk id="10" max="255" man="1"/>
  </row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G64"/>
  <sheetViews>
    <sheetView showGridLines="0" zoomScalePageLayoutView="0" workbookViewId="0" topLeftCell="A1">
      <selection activeCell="A1" sqref="A1:R1"/>
    </sheetView>
  </sheetViews>
  <sheetFormatPr defaultColWidth="9.140625" defaultRowHeight="12.75"/>
  <cols>
    <col min="1" max="1" width="31.00390625" style="0" customWidth="1"/>
    <col min="2" max="2" width="15.00390625" style="0" customWidth="1"/>
    <col min="3" max="3" width="16.421875" style="0" customWidth="1"/>
    <col min="4" max="4" width="15.28125" style="0" customWidth="1"/>
    <col min="5" max="5" width="15.00390625" style="0" customWidth="1"/>
    <col min="6" max="6" width="12.7109375" style="0" customWidth="1"/>
    <col min="7" max="7" width="16.28125" style="0" customWidth="1"/>
  </cols>
  <sheetData>
    <row r="1" spans="1:6" ht="12.75">
      <c r="A1" s="484" t="s">
        <v>440</v>
      </c>
      <c r="B1" s="484"/>
      <c r="C1" s="484"/>
      <c r="D1" s="484"/>
      <c r="E1" s="484"/>
      <c r="F1" s="24"/>
    </row>
    <row r="2" spans="1:6" ht="12.75">
      <c r="A2" s="483" t="s">
        <v>371</v>
      </c>
      <c r="B2" s="483"/>
      <c r="C2" s="483"/>
      <c r="D2" s="483"/>
      <c r="E2" s="483"/>
      <c r="F2" s="24"/>
    </row>
    <row r="3" spans="1:6" ht="38.25">
      <c r="A3" s="392"/>
      <c r="B3" s="118" t="s">
        <v>148</v>
      </c>
      <c r="C3" s="118" t="s">
        <v>230</v>
      </c>
      <c r="D3" s="127" t="s">
        <v>231</v>
      </c>
      <c r="E3" s="127" t="s">
        <v>272</v>
      </c>
      <c r="F3" s="24"/>
    </row>
    <row r="4" spans="1:6" ht="12.75">
      <c r="A4" s="225" t="s">
        <v>83</v>
      </c>
      <c r="B4" s="241">
        <f>'Program Summary'!Q13</f>
        <v>304317935.19</v>
      </c>
      <c r="C4" s="240">
        <f>'Program Summary'!Q22</f>
        <v>187876975.01</v>
      </c>
      <c r="D4" s="241">
        <f>'Program Summary'!Q31</f>
        <v>102018033.4</v>
      </c>
      <c r="E4" s="241">
        <f aca="true" t="shared" si="0" ref="E4:E9">C4+D4</f>
        <v>289895008.40999997</v>
      </c>
      <c r="F4" s="107"/>
    </row>
    <row r="5" spans="1:6" ht="12.75">
      <c r="A5" s="225" t="s">
        <v>357</v>
      </c>
      <c r="B5" s="241">
        <f>'Program Summary'!Q14</f>
        <v>19451062.18</v>
      </c>
      <c r="C5" s="240">
        <f>'Program Summary'!Q23</f>
        <v>2448357.76</v>
      </c>
      <c r="D5" s="241">
        <f>'Program Summary'!Q32</f>
        <v>9361806.8</v>
      </c>
      <c r="E5" s="241">
        <f t="shared" si="0"/>
        <v>11810164.56</v>
      </c>
      <c r="F5" s="107"/>
    </row>
    <row r="6" spans="1:6" ht="12.75">
      <c r="A6" s="225" t="s">
        <v>84</v>
      </c>
      <c r="B6" s="241">
        <f>'Program Summary'!Q15</f>
        <v>18236146.52</v>
      </c>
      <c r="C6" s="240">
        <f>'Program Summary'!Q24</f>
        <v>4699543.02</v>
      </c>
      <c r="D6" s="241">
        <f>'Program Summary'!Q33</f>
        <v>7233804</v>
      </c>
      <c r="E6" s="241">
        <f t="shared" si="0"/>
        <v>11933347.02</v>
      </c>
      <c r="F6" s="108"/>
    </row>
    <row r="7" spans="1:6" ht="12.75">
      <c r="A7" s="181" t="s">
        <v>270</v>
      </c>
      <c r="B7" s="241">
        <f>'Program Summary'!Q16</f>
        <v>24695310.11</v>
      </c>
      <c r="C7" s="240">
        <f>'Program Summary'!Q25</f>
        <v>2877473.61</v>
      </c>
      <c r="D7" s="241">
        <f>'Program Summary'!Q34</f>
        <v>13438006.77</v>
      </c>
      <c r="E7" s="241">
        <f t="shared" si="0"/>
        <v>16315480.379999999</v>
      </c>
      <c r="F7" s="108"/>
    </row>
    <row r="8" spans="1:6" ht="12.75">
      <c r="A8" s="181" t="s">
        <v>149</v>
      </c>
      <c r="B8" s="241">
        <f>'Program Summary'!Q17</f>
        <v>11055293.11</v>
      </c>
      <c r="C8" s="240">
        <f>'Program Summary'!Q26</f>
        <v>5435668.92</v>
      </c>
      <c r="D8" s="241">
        <f>'Program Summary'!Q35</f>
        <v>0</v>
      </c>
      <c r="E8" s="241">
        <f t="shared" si="0"/>
        <v>5435668.92</v>
      </c>
      <c r="F8" s="33" t="s">
        <v>88</v>
      </c>
    </row>
    <row r="9" spans="1:7" ht="12.75">
      <c r="A9" s="181" t="s">
        <v>271</v>
      </c>
      <c r="B9" s="241">
        <f>'Program Summary'!Q18</f>
        <v>1874500</v>
      </c>
      <c r="C9" s="240">
        <f>'Program Summary'!Q27</f>
        <v>0</v>
      </c>
      <c r="D9" s="241">
        <f>'Program Summary'!Q36</f>
        <v>0</v>
      </c>
      <c r="E9" s="241">
        <f t="shared" si="0"/>
        <v>0</v>
      </c>
      <c r="F9" s="33"/>
      <c r="G9" s="12"/>
    </row>
    <row r="10" spans="1:6" ht="12.75">
      <c r="A10" s="14" t="s">
        <v>1</v>
      </c>
      <c r="B10" s="242">
        <f>SUM(B4:B9)</f>
        <v>379630247.11</v>
      </c>
      <c r="C10" s="242">
        <f>SUM(C4:C9)</f>
        <v>203338018.32</v>
      </c>
      <c r="D10" s="242">
        <f>SUM(D4:D9)</f>
        <v>132051650.97</v>
      </c>
      <c r="E10" s="242">
        <f>SUM(E4:E9)</f>
        <v>335389669.28999996</v>
      </c>
      <c r="F10" s="33"/>
    </row>
    <row r="12" spans="1:4" ht="12.75">
      <c r="A12" s="133" t="str">
        <f>A1&amp;" Energy Savings"</f>
        <v>FY2015 Energy Savings</v>
      </c>
      <c r="B12" s="24"/>
      <c r="C12" s="24"/>
      <c r="D12" s="24"/>
    </row>
    <row r="13" spans="1:4" ht="12.75">
      <c r="A13" s="24"/>
      <c r="B13" s="28" t="s">
        <v>20</v>
      </c>
      <c r="C13" s="28" t="s">
        <v>19</v>
      </c>
      <c r="D13" s="28" t="s">
        <v>1</v>
      </c>
    </row>
    <row r="14" spans="1:4" ht="12.75">
      <c r="A14" s="30" t="s">
        <v>85</v>
      </c>
      <c r="B14" s="24"/>
      <c r="C14" s="24"/>
      <c r="D14" s="24"/>
    </row>
    <row r="15" spans="1:4" ht="12.75">
      <c r="A15" s="22" t="s">
        <v>64</v>
      </c>
      <c r="B15" s="246">
        <f>'Annual Savings'!Q35</f>
        <v>473959.4542867021</v>
      </c>
      <c r="C15" s="246">
        <f>'Annual Savings'!Q138</f>
        <v>293713.8226921178</v>
      </c>
      <c r="D15" s="246">
        <f>SUM(B15:C15)</f>
        <v>767673.2769788199</v>
      </c>
    </row>
    <row r="16" spans="1:4" ht="6" customHeight="1">
      <c r="A16" s="24"/>
      <c r="B16" s="255"/>
      <c r="C16" s="255"/>
      <c r="D16" s="255"/>
    </row>
    <row r="17" spans="1:4" ht="12.75">
      <c r="A17" s="30" t="s">
        <v>86</v>
      </c>
      <c r="B17" s="255"/>
      <c r="C17" s="255"/>
      <c r="D17" s="255"/>
    </row>
    <row r="18" spans="1:4" ht="12.75">
      <c r="A18" s="22" t="s">
        <v>64</v>
      </c>
      <c r="B18" s="246">
        <f>'Annual Savings'!Q124</f>
        <v>983169.4762700018</v>
      </c>
      <c r="C18" s="246">
        <f>'Annual Savings'!Q191</f>
        <v>910468.8984382958</v>
      </c>
      <c r="D18" s="246">
        <f>SUM(B18:C18)</f>
        <v>1893638.3747082977</v>
      </c>
    </row>
    <row r="19" spans="1:4" ht="6" customHeight="1">
      <c r="A19" s="24"/>
      <c r="B19" s="255"/>
      <c r="C19" s="255"/>
      <c r="D19" s="255"/>
    </row>
    <row r="20" spans="1:4" ht="12.75">
      <c r="A20" s="30" t="s">
        <v>107</v>
      </c>
      <c r="B20" s="255"/>
      <c r="C20" s="255"/>
      <c r="D20" s="255"/>
    </row>
    <row r="21" spans="1:4" ht="12.75">
      <c r="A21" s="22" t="s">
        <v>64</v>
      </c>
      <c r="B21" s="256">
        <f>'Lifetime Savings'!Q35</f>
        <v>6637672.114777017</v>
      </c>
      <c r="C21" s="256">
        <f>'Lifetime Savings'!Q87</f>
        <v>4673625.574398395</v>
      </c>
      <c r="D21" s="246">
        <f>SUM(B21:C21)</f>
        <v>11311297.689175412</v>
      </c>
    </row>
    <row r="22" spans="1:4" ht="6" customHeight="1">
      <c r="A22" s="24"/>
      <c r="B22" s="257"/>
      <c r="C22" s="257"/>
      <c r="D22" s="255"/>
    </row>
    <row r="23" spans="1:4" ht="12.75">
      <c r="A23" s="30" t="s">
        <v>108</v>
      </c>
      <c r="B23" s="257"/>
      <c r="C23" s="257"/>
      <c r="D23" s="255"/>
    </row>
    <row r="24" spans="1:4" ht="12.75">
      <c r="A24" s="22" t="s">
        <v>64</v>
      </c>
      <c r="B24" s="256">
        <f>'Lifetime Savings'!Q72</f>
        <v>17123563.478600033</v>
      </c>
      <c r="C24" s="256">
        <f>'Lifetime Savings'!Q113</f>
        <v>17190768.12020342</v>
      </c>
      <c r="D24" s="246">
        <f>SUM(B24:C24)</f>
        <v>34314331.59880345</v>
      </c>
    </row>
    <row r="25" spans="1:4" ht="6" customHeight="1">
      <c r="A25" s="30"/>
      <c r="B25" s="255"/>
      <c r="C25" s="255"/>
      <c r="D25" s="255"/>
    </row>
    <row r="26" spans="1:4" ht="12.75">
      <c r="A26" s="30" t="s">
        <v>87</v>
      </c>
      <c r="B26" s="257"/>
      <c r="C26" s="257"/>
      <c r="D26" s="255"/>
    </row>
    <row r="27" spans="1:4" ht="12.75">
      <c r="A27" s="22" t="s">
        <v>64</v>
      </c>
      <c r="B27" s="256">
        <f>'Lifetime Savings'!R35</f>
        <v>54408763.81477702</v>
      </c>
      <c r="C27" s="258" t="s">
        <v>4</v>
      </c>
      <c r="D27" s="251">
        <f>B27</f>
        <v>54408763.81477702</v>
      </c>
    </row>
    <row r="28" spans="1:4" ht="6" customHeight="1">
      <c r="A28" s="24"/>
      <c r="B28" s="257"/>
      <c r="C28" s="257"/>
      <c r="D28" s="259"/>
    </row>
    <row r="29" spans="1:4" ht="12.75">
      <c r="A29" s="30" t="s">
        <v>91</v>
      </c>
      <c r="B29" s="257"/>
      <c r="C29" s="257"/>
      <c r="D29" s="259"/>
    </row>
    <row r="30" spans="1:4" ht="12.75">
      <c r="A30" s="18" t="s">
        <v>192</v>
      </c>
      <c r="B30" s="256">
        <f>'Lifetime Savings'!R72</f>
        <v>167985773.31860003</v>
      </c>
      <c r="C30" s="258" t="s">
        <v>4</v>
      </c>
      <c r="D30" s="251">
        <f>B30</f>
        <v>167985773.31860003</v>
      </c>
    </row>
    <row r="31" spans="1:4" ht="6" customHeight="1">
      <c r="A31" s="24"/>
      <c r="B31" s="255"/>
      <c r="C31" s="255"/>
      <c r="D31" s="255"/>
    </row>
    <row r="32" spans="1:4" ht="12.75">
      <c r="A32" s="30" t="s">
        <v>460</v>
      </c>
      <c r="B32" s="255"/>
      <c r="C32" s="255"/>
      <c r="D32" s="255"/>
    </row>
    <row r="33" spans="1:4" ht="12.75">
      <c r="A33" s="22" t="s">
        <v>64</v>
      </c>
      <c r="B33" s="246">
        <f>'Annual Savings'!Q82</f>
        <v>113986.7856999996</v>
      </c>
      <c r="C33" s="246">
        <f>'Annual Savings'!Q163</f>
        <v>163180.4284115361</v>
      </c>
      <c r="D33" s="246">
        <f>SUM(B33:C33)</f>
        <v>277167.2141115357</v>
      </c>
    </row>
    <row r="35" spans="1:4" ht="12.75">
      <c r="A35" s="432" t="str">
        <f>A1&amp;" Renewable Energy Generation"</f>
        <v>FY2015 Renewable Energy Generation</v>
      </c>
      <c r="B35" s="24"/>
      <c r="C35" s="24"/>
      <c r="D35" s="24"/>
    </row>
    <row r="36" spans="1:4" ht="12.75">
      <c r="A36" s="24"/>
      <c r="B36" s="28" t="s">
        <v>20</v>
      </c>
      <c r="C36" s="28" t="s">
        <v>19</v>
      </c>
      <c r="D36" s="28" t="s">
        <v>1</v>
      </c>
    </row>
    <row r="37" spans="1:4" ht="12.75">
      <c r="A37" s="30" t="s">
        <v>85</v>
      </c>
      <c r="B37" s="24"/>
      <c r="C37" s="24"/>
      <c r="D37" s="24"/>
    </row>
    <row r="38" spans="1:4" ht="12.75">
      <c r="A38" s="22" t="s">
        <v>65</v>
      </c>
      <c r="B38" s="260">
        <f>'Annual Savings'!Q49</f>
        <v>217860</v>
      </c>
      <c r="C38" s="260">
        <f>'Annual Savings'!Q152</f>
        <v>499378</v>
      </c>
      <c r="D38" s="260">
        <f>SUM(B38:C38)</f>
        <v>717238</v>
      </c>
    </row>
    <row r="39" spans="1:4" ht="6" customHeight="1">
      <c r="A39" s="24"/>
      <c r="B39" s="255"/>
      <c r="C39" s="255"/>
      <c r="D39" s="255"/>
    </row>
    <row r="40" spans="1:4" ht="12.75">
      <c r="A40" s="30" t="s">
        <v>107</v>
      </c>
      <c r="B40" s="255"/>
      <c r="C40" s="255"/>
      <c r="D40" s="255"/>
    </row>
    <row r="41" spans="1:6" ht="12.75">
      <c r="A41" s="22" t="s">
        <v>65</v>
      </c>
      <c r="B41" s="261">
        <f>'Lifetime Savings'!Q48</f>
        <v>4357200</v>
      </c>
      <c r="C41" s="261">
        <f>'Lifetime Savings'!Q100</f>
        <v>9987560</v>
      </c>
      <c r="D41" s="260">
        <f>SUM(B41:C41)</f>
        <v>14344760</v>
      </c>
      <c r="E41" s="136"/>
      <c r="F41" s="136"/>
    </row>
    <row r="42" spans="1:4" ht="6" customHeight="1">
      <c r="A42" s="30"/>
      <c r="B42" s="255"/>
      <c r="C42" s="255"/>
      <c r="D42" s="255"/>
    </row>
    <row r="43" spans="1:4" ht="12.75">
      <c r="A43" s="30" t="s">
        <v>87</v>
      </c>
      <c r="B43" s="257"/>
      <c r="C43" s="257"/>
      <c r="D43" s="255"/>
    </row>
    <row r="44" spans="1:4" ht="12.75">
      <c r="A44" s="22" t="s">
        <v>65</v>
      </c>
      <c r="B44" s="261">
        <f>'Lifetime Savings'!R48</f>
        <v>40451393</v>
      </c>
      <c r="C44" s="258" t="s">
        <v>4</v>
      </c>
      <c r="D44" s="253">
        <f>B44</f>
        <v>40451393</v>
      </c>
    </row>
    <row r="45" spans="1:4" ht="6" customHeight="1">
      <c r="A45" s="24"/>
      <c r="B45" s="255"/>
      <c r="C45" s="255"/>
      <c r="D45" s="255"/>
    </row>
    <row r="46" spans="1:4" ht="12.75">
      <c r="A46" s="30" t="s">
        <v>433</v>
      </c>
      <c r="B46" s="255"/>
      <c r="C46" s="255"/>
      <c r="D46" s="255"/>
    </row>
    <row r="47" spans="1:4" ht="12.75">
      <c r="A47" s="22" t="s">
        <v>65</v>
      </c>
      <c r="B47" s="246">
        <f>'Annual Savings'!Q96</f>
        <v>181550.28999999998</v>
      </c>
      <c r="C47" s="260">
        <f>'Annual Savings'!Q176</f>
        <v>404229.354</v>
      </c>
      <c r="D47" s="260">
        <f>SUM(B47:C47)</f>
        <v>585779.644</v>
      </c>
    </row>
    <row r="48" spans="1:4" ht="12.75">
      <c r="A48" s="24"/>
      <c r="B48" s="62"/>
      <c r="C48" s="72"/>
      <c r="D48" s="72"/>
    </row>
    <row r="49" spans="1:4" ht="12.75">
      <c r="A49" s="341" t="str">
        <f>A1&amp;" CHP Generation"</f>
        <v>FY2015 CHP Generation</v>
      </c>
      <c r="B49" s="24"/>
      <c r="C49" s="24"/>
      <c r="D49" s="24"/>
    </row>
    <row r="50" spans="1:4" ht="12.75">
      <c r="A50" s="24"/>
      <c r="B50" s="28" t="s">
        <v>20</v>
      </c>
      <c r="C50" s="28" t="s">
        <v>19</v>
      </c>
      <c r="D50" s="28" t="s">
        <v>1</v>
      </c>
    </row>
    <row r="51" spans="1:4" ht="12.75">
      <c r="A51" s="30" t="s">
        <v>85</v>
      </c>
      <c r="B51" s="24"/>
      <c r="C51" s="24"/>
      <c r="D51" s="24"/>
    </row>
    <row r="52" spans="1:4" ht="12.75">
      <c r="A52" s="22" t="s">
        <v>50</v>
      </c>
      <c r="B52" s="260">
        <f>'Annual Savings'!Q40</f>
        <v>46135</v>
      </c>
      <c r="C52" s="260">
        <f>'Annual Savings'!Q143</f>
        <v>101608</v>
      </c>
      <c r="D52" s="260">
        <f>SUM(B52:C52)</f>
        <v>147743</v>
      </c>
    </row>
    <row r="53" spans="1:4" ht="6" customHeight="1">
      <c r="A53" s="24"/>
      <c r="B53" s="255"/>
      <c r="C53" s="255"/>
      <c r="D53" s="255"/>
    </row>
    <row r="54" spans="1:4" ht="12.75">
      <c r="A54" s="30" t="s">
        <v>107</v>
      </c>
      <c r="B54" s="255"/>
      <c r="C54" s="255"/>
      <c r="D54" s="255"/>
    </row>
    <row r="55" spans="1:6" ht="12.75">
      <c r="A55" s="22" t="s">
        <v>50</v>
      </c>
      <c r="B55" s="261">
        <f>'Lifetime Savings'!Q40</f>
        <v>496417</v>
      </c>
      <c r="C55" s="261">
        <f>'Lifetime Savings'!Q92</f>
        <v>1867908</v>
      </c>
      <c r="D55" s="261">
        <f>SUM(B55:C55)</f>
        <v>2364325</v>
      </c>
      <c r="E55" s="136"/>
      <c r="F55" s="136"/>
    </row>
    <row r="56" spans="1:6" ht="6" customHeight="1">
      <c r="A56" s="30"/>
      <c r="B56" s="257"/>
      <c r="C56" s="257"/>
      <c r="D56" s="257"/>
      <c r="E56" s="136"/>
      <c r="F56" s="136"/>
    </row>
    <row r="57" spans="1:6" ht="12.75">
      <c r="A57" s="30" t="s">
        <v>87</v>
      </c>
      <c r="B57" s="257"/>
      <c r="C57" s="257"/>
      <c r="D57" s="257"/>
      <c r="E57" s="136"/>
      <c r="F57" s="136"/>
    </row>
    <row r="58" spans="1:6" ht="12.75">
      <c r="A58" s="22" t="s">
        <v>50</v>
      </c>
      <c r="B58" s="261">
        <f>'Lifetime Savings'!R40</f>
        <v>3226569</v>
      </c>
      <c r="C58" s="258" t="s">
        <v>4</v>
      </c>
      <c r="D58" s="253">
        <f>B58</f>
        <v>3226569</v>
      </c>
      <c r="E58" s="136"/>
      <c r="F58" s="136"/>
    </row>
    <row r="59" spans="1:6" ht="6" customHeight="1">
      <c r="A59" s="24"/>
      <c r="B59" s="257"/>
      <c r="C59" s="257"/>
      <c r="D59" s="257"/>
      <c r="E59" s="136"/>
      <c r="F59" s="136"/>
    </row>
    <row r="60" spans="1:6" ht="12.75">
      <c r="A60" s="30" t="s">
        <v>433</v>
      </c>
      <c r="B60" s="257"/>
      <c r="C60" s="257"/>
      <c r="D60" s="257"/>
      <c r="E60" s="136"/>
      <c r="F60" s="136"/>
    </row>
    <row r="61" spans="1:6" ht="12.75">
      <c r="A61" s="22" t="s">
        <v>50</v>
      </c>
      <c r="B61" s="256">
        <f>'Annual Savings'!Q87</f>
        <v>5770</v>
      </c>
      <c r="C61" s="261">
        <f>'Annual Savings'!Q168</f>
        <v>12548</v>
      </c>
      <c r="D61" s="261">
        <f>SUM(B61:C61)</f>
        <v>18318</v>
      </c>
      <c r="E61" s="136"/>
      <c r="F61" s="136"/>
    </row>
    <row r="64" ht="12.75">
      <c r="A64" s="86"/>
    </row>
  </sheetData>
  <sheetProtection/>
  <mergeCells count="2">
    <mergeCell ref="A1:E1"/>
    <mergeCell ref="A2:E2"/>
  </mergeCells>
  <printOptions/>
  <pageMargins left="0.55" right="0.57" top="0.42" bottom="0.54" header="0.3" footer="0.24"/>
  <pageSetup fitToHeight="1" fitToWidth="1" horizontalDpi="600" verticalDpi="600" orientation="landscape" scale="77" r:id="rId1"/>
  <headerFooter scaleWithDoc="0" alignWithMargins="0">
    <oddFooter>&amp;L&amp;6&amp;A&amp;R&amp;6printed &amp;D at &amp;T</oddFooter>
  </headerFooter>
</worksheet>
</file>

<file path=xl/worksheets/sheet5.xml><?xml version="1.0" encoding="utf-8"?>
<worksheet xmlns="http://schemas.openxmlformats.org/spreadsheetml/2006/main" xmlns:r="http://schemas.openxmlformats.org/officeDocument/2006/relationships">
  <sheetPr>
    <tabColor theme="6"/>
    <outlinePr summaryRight="0"/>
  </sheetPr>
  <dimension ref="A1:R193"/>
  <sheetViews>
    <sheetView showGridLines="0" zoomScalePageLayoutView="0" workbookViewId="0" topLeftCell="A1">
      <selection activeCell="A1" sqref="A1:R1"/>
    </sheetView>
  </sheetViews>
  <sheetFormatPr defaultColWidth="9.140625" defaultRowHeight="12.75" outlineLevelCol="1"/>
  <cols>
    <col min="1" max="1" width="34.7109375" style="136" customWidth="1"/>
    <col min="2" max="2" width="12.57421875" style="136" bestFit="1" customWidth="1"/>
    <col min="3" max="3" width="12.57421875" style="136" bestFit="1" customWidth="1" collapsed="1"/>
    <col min="4" max="8" width="10.7109375" style="136" hidden="1" customWidth="1" outlineLevel="1"/>
    <col min="9" max="13" width="12.57421875" style="136" hidden="1" customWidth="1" outlineLevel="1"/>
    <col min="14" max="17" width="12.57421875" style="136" customWidth="1"/>
    <col min="18" max="18" width="17.28125" style="136" customWidth="1"/>
    <col min="19" max="16384" width="9.140625" style="136" customWidth="1"/>
  </cols>
  <sheetData>
    <row r="1" spans="1:18" ht="12.75">
      <c r="A1" s="482" t="s">
        <v>393</v>
      </c>
      <c r="B1" s="482"/>
      <c r="C1" s="482"/>
      <c r="D1" s="482"/>
      <c r="E1" s="482"/>
      <c r="F1" s="482"/>
      <c r="G1" s="482"/>
      <c r="H1" s="482"/>
      <c r="I1" s="482"/>
      <c r="J1" s="482"/>
      <c r="K1" s="482"/>
      <c r="L1" s="482"/>
      <c r="M1" s="482"/>
      <c r="N1" s="482"/>
      <c r="O1" s="482"/>
      <c r="P1" s="482"/>
      <c r="Q1" s="482"/>
      <c r="R1" s="482"/>
    </row>
    <row r="2" spans="1:18" ht="12.75">
      <c r="A2" s="482" t="s">
        <v>428</v>
      </c>
      <c r="B2" s="482"/>
      <c r="C2" s="482"/>
      <c r="D2" s="482"/>
      <c r="E2" s="482"/>
      <c r="F2" s="482"/>
      <c r="G2" s="482"/>
      <c r="H2" s="482"/>
      <c r="I2" s="482"/>
      <c r="J2" s="482"/>
      <c r="K2" s="482"/>
      <c r="L2" s="482"/>
      <c r="M2" s="482"/>
      <c r="N2" s="482"/>
      <c r="O2" s="482"/>
      <c r="P2" s="482"/>
      <c r="Q2" s="482"/>
      <c r="R2" s="482"/>
    </row>
    <row r="3" spans="1:3" ht="15.75">
      <c r="A3" s="410" t="s">
        <v>388</v>
      </c>
      <c r="B3" s="327"/>
      <c r="C3" s="327"/>
    </row>
    <row r="4" spans="1:18" ht="27.75">
      <c r="A4" s="410" t="s">
        <v>343</v>
      </c>
      <c r="B4" s="208" t="s">
        <v>289</v>
      </c>
      <c r="C4" s="208" t="s">
        <v>461</v>
      </c>
      <c r="D4" s="147">
        <v>2001</v>
      </c>
      <c r="E4" s="147">
        <v>2002</v>
      </c>
      <c r="F4" s="147">
        <v>2003</v>
      </c>
      <c r="G4" s="147">
        <v>2004</v>
      </c>
      <c r="H4" s="147">
        <v>2005</v>
      </c>
      <c r="I4" s="147">
        <v>2006</v>
      </c>
      <c r="J4" s="147">
        <v>2007</v>
      </c>
      <c r="K4" s="147">
        <v>2008</v>
      </c>
      <c r="L4" s="147">
        <v>2009</v>
      </c>
      <c r="M4" s="147">
        <v>2010</v>
      </c>
      <c r="N4" s="147">
        <v>2011</v>
      </c>
      <c r="O4" s="208" t="s">
        <v>348</v>
      </c>
      <c r="P4" s="208" t="s">
        <v>351</v>
      </c>
      <c r="Q4" s="208" t="s">
        <v>440</v>
      </c>
      <c r="R4" s="208" t="str">
        <f>"Total "&amp;CHAR(10)&amp;D4&amp;" ~ "&amp;Q4</f>
        <v>Total 
2001 ~ FY2015</v>
      </c>
    </row>
    <row r="5" spans="1:18" ht="12.75">
      <c r="A5" s="156" t="s">
        <v>381</v>
      </c>
      <c r="B5" s="148" t="s">
        <v>8</v>
      </c>
      <c r="C5" s="148" t="s">
        <v>8</v>
      </c>
      <c r="D5" s="148" t="s">
        <v>8</v>
      </c>
      <c r="E5" s="148" t="s">
        <v>8</v>
      </c>
      <c r="F5" s="148" t="s">
        <v>8</v>
      </c>
      <c r="G5" s="148" t="s">
        <v>8</v>
      </c>
      <c r="H5" s="148" t="s">
        <v>8</v>
      </c>
      <c r="I5" s="148" t="s">
        <v>8</v>
      </c>
      <c r="J5" s="148" t="s">
        <v>8</v>
      </c>
      <c r="K5" s="148" t="s">
        <v>8</v>
      </c>
      <c r="L5" s="148" t="s">
        <v>8</v>
      </c>
      <c r="M5" s="148" t="s">
        <v>8</v>
      </c>
      <c r="N5" s="148" t="s">
        <v>8</v>
      </c>
      <c r="O5" s="148" t="s">
        <v>8</v>
      </c>
      <c r="P5" s="148" t="s">
        <v>8</v>
      </c>
      <c r="Q5" s="148" t="s">
        <v>8</v>
      </c>
      <c r="R5" s="148" t="s">
        <v>8</v>
      </c>
    </row>
    <row r="6" spans="1:18" ht="12.75">
      <c r="A6" s="230" t="s">
        <v>66</v>
      </c>
      <c r="B6" s="252">
        <f>SUM(D6:H6)</f>
        <v>73068</v>
      </c>
      <c r="C6" s="252">
        <f>SUM(I6:M6)</f>
        <v>42699</v>
      </c>
      <c r="D6" s="252">
        <f>'Res HVAC'!D27</f>
        <v>12224</v>
      </c>
      <c r="E6" s="252">
        <f>'Res HVAC'!E27</f>
        <v>15703</v>
      </c>
      <c r="F6" s="252">
        <f>'Res HVAC'!F27</f>
        <v>14621</v>
      </c>
      <c r="G6" s="252">
        <f>'Res HVAC'!G27</f>
        <v>15499</v>
      </c>
      <c r="H6" s="252">
        <f>'Res HVAC'!H27</f>
        <v>15021</v>
      </c>
      <c r="I6" s="252">
        <f>'Res HVAC'!I27</f>
        <v>11545</v>
      </c>
      <c r="J6" s="252">
        <f>'Res HVAC'!J27</f>
        <v>13323</v>
      </c>
      <c r="K6" s="252">
        <f>'Res HVAC'!K27</f>
        <v>4973</v>
      </c>
      <c r="L6" s="252">
        <f>'Res HVAC'!L27</f>
        <v>4771</v>
      </c>
      <c r="M6" s="252">
        <f>'Res HVAC'!M27</f>
        <v>8087</v>
      </c>
      <c r="N6" s="252">
        <f>'Res HVAC'!N27</f>
        <v>12364</v>
      </c>
      <c r="O6" s="252">
        <f>'Res HVAC'!O27</f>
        <v>13149</v>
      </c>
      <c r="P6" s="252">
        <f>'Res HVAC'!P27</f>
        <v>5353</v>
      </c>
      <c r="Q6" s="252">
        <f>'Res HVAC'!Q27</f>
        <v>4348.888247400014</v>
      </c>
      <c r="R6" s="252">
        <f>SUM(D6:Q6)</f>
        <v>150981.88824740003</v>
      </c>
    </row>
    <row r="7" spans="1:18" ht="12.75">
      <c r="A7" s="230" t="s">
        <v>67</v>
      </c>
      <c r="B7" s="252">
        <f>SUM(D7:H7)</f>
        <v>18828</v>
      </c>
      <c r="C7" s="252">
        <f>SUM(I7:M7)</f>
        <v>21384</v>
      </c>
      <c r="D7" s="252">
        <f>RNC!D25</f>
        <v>119</v>
      </c>
      <c r="E7" s="252">
        <f>RNC!E25</f>
        <v>3262</v>
      </c>
      <c r="F7" s="252">
        <f>RNC!F25</f>
        <v>4773</v>
      </c>
      <c r="G7" s="252">
        <f>RNC!G25</f>
        <v>4551</v>
      </c>
      <c r="H7" s="252">
        <f>RNC!H25</f>
        <v>6123</v>
      </c>
      <c r="I7" s="252">
        <f>RNC!I25</f>
        <v>5181</v>
      </c>
      <c r="J7" s="252">
        <f>RNC!J25</f>
        <v>5829</v>
      </c>
      <c r="K7" s="252">
        <f>RNC!K25</f>
        <v>3343</v>
      </c>
      <c r="L7" s="252">
        <f>RNC!L25</f>
        <v>2652</v>
      </c>
      <c r="M7" s="252">
        <f>RNC!M25</f>
        <v>4379</v>
      </c>
      <c r="N7" s="252">
        <f>RNC!N25</f>
        <v>4562</v>
      </c>
      <c r="O7" s="252">
        <f>RNC!O25</f>
        <v>5281</v>
      </c>
      <c r="P7" s="252">
        <f>RNC!P25</f>
        <v>4770</v>
      </c>
      <c r="Q7" s="252">
        <f>RNC!Q25</f>
        <v>3747</v>
      </c>
      <c r="R7" s="252">
        <f>SUM(D7:Q7)</f>
        <v>58572</v>
      </c>
    </row>
    <row r="8" spans="1:18" ht="12.75">
      <c r="A8" s="230" t="s">
        <v>68</v>
      </c>
      <c r="B8" s="324"/>
      <c r="C8" s="324"/>
      <c r="D8" s="324"/>
      <c r="E8" s="324"/>
      <c r="F8" s="324"/>
      <c r="G8" s="324"/>
      <c r="H8" s="324"/>
      <c r="I8" s="324"/>
      <c r="J8" s="324"/>
      <c r="K8" s="324"/>
      <c r="L8" s="324"/>
      <c r="M8" s="324"/>
      <c r="N8" s="324"/>
      <c r="O8" s="324"/>
      <c r="P8" s="324"/>
      <c r="Q8" s="324"/>
      <c r="R8" s="358"/>
    </row>
    <row r="9" spans="1:18" ht="12.75">
      <c r="A9" s="328" t="s">
        <v>326</v>
      </c>
      <c r="B9" s="252">
        <f aca="true" t="shared" si="0" ref="B9:B19">SUM(D9:H9)</f>
        <v>3730</v>
      </c>
      <c r="C9" s="252">
        <f aca="true" t="shared" si="1" ref="C9:C19">SUM(I9:M9)</f>
        <v>3145</v>
      </c>
      <c r="D9" s="252"/>
      <c r="E9" s="252"/>
      <c r="F9" s="252">
        <f>'Energy Star'!F51</f>
        <v>1432</v>
      </c>
      <c r="G9" s="252">
        <f>'Energy Star'!G51</f>
        <v>1377</v>
      </c>
      <c r="H9" s="252">
        <f>'Energy Star'!H51</f>
        <v>921</v>
      </c>
      <c r="I9" s="252">
        <f>'Energy Star'!I51</f>
        <v>542</v>
      </c>
      <c r="J9" s="252">
        <f>'Energy Star'!J51</f>
        <v>767</v>
      </c>
      <c r="K9" s="252">
        <f>'Energy Star'!K51</f>
        <v>772</v>
      </c>
      <c r="L9" s="252">
        <f>'Energy Star'!L51</f>
        <v>425</v>
      </c>
      <c r="M9" s="252">
        <f>'Energy Star'!M51</f>
        <v>639</v>
      </c>
      <c r="N9" s="252">
        <f>'Energy Star'!N51</f>
        <v>13</v>
      </c>
      <c r="O9" s="316"/>
      <c r="P9" s="316"/>
      <c r="Q9" s="316"/>
      <c r="R9" s="252">
        <f aca="true" t="shared" si="2" ref="R9:R19">SUM(D9:Q9)</f>
        <v>6888</v>
      </c>
    </row>
    <row r="10" spans="1:18" ht="12.75">
      <c r="A10" s="328" t="s">
        <v>171</v>
      </c>
      <c r="B10" s="252">
        <f t="shared" si="0"/>
        <v>220165</v>
      </c>
      <c r="C10" s="252">
        <f t="shared" si="1"/>
        <v>824709.2</v>
      </c>
      <c r="D10" s="252"/>
      <c r="E10" s="252"/>
      <c r="F10" s="252">
        <f>'Energy Star'!F50</f>
        <v>61630</v>
      </c>
      <c r="G10" s="252">
        <f>'Energy Star'!G50</f>
        <v>95947</v>
      </c>
      <c r="H10" s="252">
        <f>'Energy Star'!H50</f>
        <v>62588</v>
      </c>
      <c r="I10" s="252">
        <f>'Energy Star'!I50</f>
        <v>0</v>
      </c>
      <c r="J10" s="252">
        <f>'Energy Star'!J50</f>
        <v>106450</v>
      </c>
      <c r="K10" s="252">
        <f>'Energy Star'!K50</f>
        <v>213772</v>
      </c>
      <c r="L10" s="252">
        <f>'Energy Star'!L50</f>
        <v>338254</v>
      </c>
      <c r="M10" s="252">
        <f>'Energy Star'!M50</f>
        <v>166233.2</v>
      </c>
      <c r="N10" s="252">
        <f>'Energy Star'!N50</f>
        <v>218398</v>
      </c>
      <c r="O10" s="252">
        <f>'Energy Star'!O50</f>
        <v>324344.9</v>
      </c>
      <c r="P10" s="252">
        <f>'Energy Star'!P50</f>
        <v>268456</v>
      </c>
      <c r="Q10" s="252">
        <f>'Energy Star'!Q50</f>
        <v>174259.9938393001</v>
      </c>
      <c r="R10" s="252">
        <f t="shared" si="2"/>
        <v>2030333.0938393</v>
      </c>
    </row>
    <row r="11" spans="1:18" ht="12.75">
      <c r="A11" s="329" t="s">
        <v>327</v>
      </c>
      <c r="B11" s="252">
        <f t="shared" si="0"/>
        <v>0</v>
      </c>
      <c r="C11" s="252">
        <f t="shared" si="1"/>
        <v>9834</v>
      </c>
      <c r="D11" s="252"/>
      <c r="E11" s="252"/>
      <c r="F11" s="252"/>
      <c r="G11" s="252"/>
      <c r="H11" s="252"/>
      <c r="I11" s="252"/>
      <c r="J11" s="252"/>
      <c r="K11" s="252">
        <f>'Energy Star'!K52</f>
        <v>2837</v>
      </c>
      <c r="L11" s="252">
        <f>'Energy Star'!L52</f>
        <v>3248</v>
      </c>
      <c r="M11" s="252">
        <f>'Energy Star'!M52</f>
        <v>3749</v>
      </c>
      <c r="N11" s="252">
        <f>'Energy Star'!N52</f>
        <v>3758.8</v>
      </c>
      <c r="O11" s="252">
        <f>'Energy Star'!O52</f>
        <v>3476.4</v>
      </c>
      <c r="P11" s="252">
        <f>'Energy Star'!P52</f>
        <v>3149</v>
      </c>
      <c r="Q11" s="252">
        <f>'Energy Star'!Q52</f>
        <v>2983.68</v>
      </c>
      <c r="R11" s="252">
        <f t="shared" si="2"/>
        <v>23201.88</v>
      </c>
    </row>
    <row r="12" spans="1:18" ht="12.75">
      <c r="A12" s="329" t="s">
        <v>467</v>
      </c>
      <c r="B12" s="252">
        <f>SUM(D12:H12)</f>
        <v>0</v>
      </c>
      <c r="C12" s="252">
        <f>SUM(I12:M12)</f>
        <v>0</v>
      </c>
      <c r="D12" s="252"/>
      <c r="E12" s="252"/>
      <c r="F12" s="252"/>
      <c r="G12" s="252"/>
      <c r="H12" s="252"/>
      <c r="I12" s="252"/>
      <c r="J12" s="252"/>
      <c r="K12" s="252">
        <f>'Energy Star'!K53</f>
        <v>0</v>
      </c>
      <c r="L12" s="252">
        <f>'Energy Star'!L53</f>
        <v>0</v>
      </c>
      <c r="M12" s="252">
        <f>'Energy Star'!M53</f>
        <v>0</v>
      </c>
      <c r="N12" s="252">
        <f>'Energy Star'!N53</f>
        <v>0</v>
      </c>
      <c r="O12" s="252">
        <f>'Energy Star'!O53</f>
        <v>0</v>
      </c>
      <c r="P12" s="252">
        <f>'Energy Star'!P53</f>
        <v>0</v>
      </c>
      <c r="Q12" s="252">
        <f>'Energy Star'!Q53</f>
        <v>74.8</v>
      </c>
      <c r="R12" s="252">
        <f>SUM(D12:Q12)</f>
        <v>74.8</v>
      </c>
    </row>
    <row r="13" spans="1:18" ht="12.75">
      <c r="A13" s="329" t="s">
        <v>328</v>
      </c>
      <c r="B13" s="252">
        <f t="shared" si="0"/>
        <v>0</v>
      </c>
      <c r="C13" s="252">
        <f t="shared" si="1"/>
        <v>1365</v>
      </c>
      <c r="D13" s="252"/>
      <c r="E13" s="252"/>
      <c r="F13" s="252"/>
      <c r="G13" s="252"/>
      <c r="H13" s="252"/>
      <c r="I13" s="252"/>
      <c r="J13" s="252"/>
      <c r="K13" s="252">
        <f>'Energy Star'!K54</f>
        <v>382</v>
      </c>
      <c r="L13" s="252">
        <f>'Energy Star'!L54</f>
        <v>569</v>
      </c>
      <c r="M13" s="252">
        <f>'Energy Star'!M54</f>
        <v>414</v>
      </c>
      <c r="N13" s="252">
        <f>'Energy Star'!N54</f>
        <v>28</v>
      </c>
      <c r="O13" s="316"/>
      <c r="P13" s="316"/>
      <c r="Q13" s="316"/>
      <c r="R13" s="252">
        <f t="shared" si="2"/>
        <v>1393</v>
      </c>
    </row>
    <row r="14" spans="1:18" ht="12.75">
      <c r="A14" s="329" t="s">
        <v>329</v>
      </c>
      <c r="B14" s="252">
        <f t="shared" si="0"/>
        <v>0</v>
      </c>
      <c r="C14" s="252">
        <f t="shared" si="1"/>
        <v>20940.6</v>
      </c>
      <c r="D14" s="252"/>
      <c r="E14" s="252"/>
      <c r="F14" s="252"/>
      <c r="G14" s="252"/>
      <c r="H14" s="252"/>
      <c r="I14" s="252"/>
      <c r="J14" s="252"/>
      <c r="K14" s="252"/>
      <c r="L14" s="252">
        <f>'Energy Star'!L56</f>
        <v>5540</v>
      </c>
      <c r="M14" s="252">
        <f>'Energy Star'!M56</f>
        <v>15400.6</v>
      </c>
      <c r="N14" s="252">
        <f>'Energy Star'!N56</f>
        <v>15560.9</v>
      </c>
      <c r="O14" s="252">
        <f>'Energy Star'!O56</f>
        <v>17469.5</v>
      </c>
      <c r="P14" s="252">
        <f>'Energy Star'!P56</f>
        <v>10991</v>
      </c>
      <c r="Q14" s="252">
        <f>'Energy Star'!Q56</f>
        <v>10599.811200002023</v>
      </c>
      <c r="R14" s="252">
        <f t="shared" si="2"/>
        <v>75561.81120000202</v>
      </c>
    </row>
    <row r="15" spans="1:18" ht="12.75">
      <c r="A15" s="329" t="s">
        <v>330</v>
      </c>
      <c r="B15" s="252">
        <f t="shared" si="0"/>
        <v>0</v>
      </c>
      <c r="C15" s="252">
        <f t="shared" si="1"/>
        <v>4707</v>
      </c>
      <c r="D15" s="252"/>
      <c r="E15" s="252"/>
      <c r="F15" s="252"/>
      <c r="G15" s="252"/>
      <c r="H15" s="252"/>
      <c r="I15" s="252"/>
      <c r="J15" s="252"/>
      <c r="K15" s="252"/>
      <c r="L15" s="252"/>
      <c r="M15" s="252">
        <f>'Energy Star'!M57</f>
        <v>4707</v>
      </c>
      <c r="N15" s="252">
        <f>'Energy Star'!N57</f>
        <v>8829.4</v>
      </c>
      <c r="O15" s="252">
        <f>'Energy Star'!O57</f>
        <v>7996.7</v>
      </c>
      <c r="P15" s="252">
        <f>'Energy Star'!P57</f>
        <v>3008</v>
      </c>
      <c r="Q15" s="252">
        <f>'Energy Star'!Q57</f>
        <v>3051.522</v>
      </c>
      <c r="R15" s="252">
        <f t="shared" si="2"/>
        <v>27592.622</v>
      </c>
    </row>
    <row r="16" spans="1:18" ht="12.75">
      <c r="A16" s="329" t="s">
        <v>331</v>
      </c>
      <c r="B16" s="252">
        <f t="shared" si="0"/>
        <v>0</v>
      </c>
      <c r="C16" s="252">
        <f t="shared" si="1"/>
        <v>0</v>
      </c>
      <c r="D16" s="252"/>
      <c r="E16" s="252"/>
      <c r="F16" s="252"/>
      <c r="G16" s="252"/>
      <c r="H16" s="252"/>
      <c r="I16" s="252"/>
      <c r="J16" s="252"/>
      <c r="K16" s="252"/>
      <c r="L16" s="252"/>
      <c r="M16" s="252"/>
      <c r="N16" s="252">
        <f>'Energy Star'!N55</f>
        <v>515.9</v>
      </c>
      <c r="O16" s="252">
        <f>'Energy Star'!O55</f>
        <v>37.5</v>
      </c>
      <c r="P16" s="252">
        <f>'Energy Star'!P55</f>
        <v>722</v>
      </c>
      <c r="Q16" s="252">
        <f>'Energy Star'!Q55</f>
        <v>805.519</v>
      </c>
      <c r="R16" s="252">
        <f t="shared" si="2"/>
        <v>2080.919</v>
      </c>
    </row>
    <row r="17" spans="1:18" ht="12.75">
      <c r="A17" s="329" t="s">
        <v>332</v>
      </c>
      <c r="B17" s="252">
        <f t="shared" si="0"/>
        <v>0</v>
      </c>
      <c r="C17" s="252">
        <f t="shared" si="1"/>
        <v>0</v>
      </c>
      <c r="D17" s="252"/>
      <c r="E17" s="252"/>
      <c r="F17" s="252"/>
      <c r="G17" s="252"/>
      <c r="H17" s="252"/>
      <c r="I17" s="252"/>
      <c r="J17" s="252"/>
      <c r="K17" s="252"/>
      <c r="L17" s="252"/>
      <c r="M17" s="252"/>
      <c r="N17" s="252">
        <f>'Energy Star'!N58</f>
        <v>118.1</v>
      </c>
      <c r="O17" s="316"/>
      <c r="P17" s="316"/>
      <c r="Q17" s="316"/>
      <c r="R17" s="252">
        <f t="shared" si="2"/>
        <v>118.1</v>
      </c>
    </row>
    <row r="18" spans="1:18" ht="12.75">
      <c r="A18" s="230" t="s">
        <v>158</v>
      </c>
      <c r="B18" s="252">
        <f t="shared" si="0"/>
        <v>0</v>
      </c>
      <c r="C18" s="252">
        <f t="shared" si="1"/>
        <v>2226</v>
      </c>
      <c r="D18" s="252"/>
      <c r="E18" s="252"/>
      <c r="F18" s="252"/>
      <c r="G18" s="252"/>
      <c r="H18" s="252"/>
      <c r="I18" s="252">
        <f>'Home Perf'!C27</f>
        <v>2</v>
      </c>
      <c r="J18" s="252">
        <f>'Home Perf'!D27</f>
        <v>22</v>
      </c>
      <c r="K18" s="252">
        <f>'Home Perf'!E27</f>
        <v>108</v>
      </c>
      <c r="L18" s="252">
        <f>'Home Perf'!F27</f>
        <v>1155</v>
      </c>
      <c r="M18" s="252">
        <f>'Home Perf'!G27</f>
        <v>939</v>
      </c>
      <c r="N18" s="252">
        <f>'Home Perf'!H27</f>
        <v>2131</v>
      </c>
      <c r="O18" s="252">
        <f>'Home Perf'!I27</f>
        <v>3479</v>
      </c>
      <c r="P18" s="252">
        <f>'Home Perf'!J27</f>
        <v>4661</v>
      </c>
      <c r="Q18" s="252">
        <f>'Home Perf'!K27</f>
        <v>4644</v>
      </c>
      <c r="R18" s="252">
        <f t="shared" si="2"/>
        <v>17141</v>
      </c>
    </row>
    <row r="19" spans="1:18" ht="12.75">
      <c r="A19" s="29" t="s">
        <v>73</v>
      </c>
      <c r="B19" s="254">
        <f t="shared" si="0"/>
        <v>315791</v>
      </c>
      <c r="C19" s="254">
        <f t="shared" si="1"/>
        <v>931009.8</v>
      </c>
      <c r="D19" s="254">
        <f>SUM(D6:D18)</f>
        <v>12343</v>
      </c>
      <c r="E19" s="254">
        <f aca="true" t="shared" si="3" ref="E19:L19">SUM(E6:E18)</f>
        <v>18965</v>
      </c>
      <c r="F19" s="254">
        <f t="shared" si="3"/>
        <v>82456</v>
      </c>
      <c r="G19" s="254">
        <f t="shared" si="3"/>
        <v>117374</v>
      </c>
      <c r="H19" s="254">
        <f t="shared" si="3"/>
        <v>84653</v>
      </c>
      <c r="I19" s="254">
        <f t="shared" si="3"/>
        <v>17270</v>
      </c>
      <c r="J19" s="254">
        <f t="shared" si="3"/>
        <v>126391</v>
      </c>
      <c r="K19" s="254">
        <f t="shared" si="3"/>
        <v>226187</v>
      </c>
      <c r="L19" s="254">
        <f t="shared" si="3"/>
        <v>356614</v>
      </c>
      <c r="M19" s="254">
        <f>SUM(M6:M18)</f>
        <v>204547.80000000002</v>
      </c>
      <c r="N19" s="254">
        <f>SUM(N6:N18)</f>
        <v>266279.1</v>
      </c>
      <c r="O19" s="254">
        <f>SUM(O6:O18)</f>
        <v>375234.00000000006</v>
      </c>
      <c r="P19" s="254">
        <f>SUM(P6:P18)</f>
        <v>301110</v>
      </c>
      <c r="Q19" s="254">
        <f>SUM(Q6:Q18)</f>
        <v>204515.21428670213</v>
      </c>
      <c r="R19" s="254">
        <f t="shared" si="2"/>
        <v>2393939.114286702</v>
      </c>
    </row>
    <row r="20" spans="1:18" ht="12.75">
      <c r="A20" s="418"/>
      <c r="B20" s="69"/>
      <c r="C20" s="69"/>
      <c r="D20" s="69"/>
      <c r="E20" s="69"/>
      <c r="F20" s="69"/>
      <c r="G20" s="69"/>
      <c r="H20" s="69"/>
      <c r="I20" s="69"/>
      <c r="J20" s="69"/>
      <c r="K20" s="69"/>
      <c r="L20" s="69"/>
      <c r="M20" s="69"/>
      <c r="N20" s="69"/>
      <c r="O20" s="69"/>
      <c r="P20" s="69"/>
      <c r="Q20" s="69"/>
      <c r="R20" s="419"/>
    </row>
    <row r="21" spans="1:18" ht="12.75">
      <c r="A21" s="417" t="s">
        <v>2</v>
      </c>
      <c r="B21" s="254">
        <f>SUM(D21:H21)</f>
        <v>30987</v>
      </c>
      <c r="C21" s="254">
        <f>SUM(I21:M21)</f>
        <v>48396</v>
      </c>
      <c r="D21" s="254">
        <f>'Low-income'!D33</f>
        <v>7386</v>
      </c>
      <c r="E21" s="254">
        <f>'Low-income'!E33</f>
        <v>5196</v>
      </c>
      <c r="F21" s="254">
        <f>'Low-income'!F33</f>
        <v>5774</v>
      </c>
      <c r="G21" s="254">
        <f>'Low-income'!G33</f>
        <v>6995</v>
      </c>
      <c r="H21" s="254">
        <f>'Low-income'!H33</f>
        <v>5636</v>
      </c>
      <c r="I21" s="254">
        <f>'Low-income'!I33</f>
        <v>10708</v>
      </c>
      <c r="J21" s="254">
        <f>'Low-income'!J33</f>
        <v>10614</v>
      </c>
      <c r="K21" s="254">
        <f>'Low-income'!K33</f>
        <v>8778</v>
      </c>
      <c r="L21" s="254">
        <f>'Low-income'!L33</f>
        <v>9302</v>
      </c>
      <c r="M21" s="254">
        <f>'Low-income'!M33</f>
        <v>8994</v>
      </c>
      <c r="N21" s="254">
        <f>'Low-income'!N33</f>
        <v>10069</v>
      </c>
      <c r="O21" s="254">
        <f>'Low-income'!O33</f>
        <v>12048</v>
      </c>
      <c r="P21" s="254">
        <f>'Low-income'!P33</f>
        <v>5082</v>
      </c>
      <c r="Q21" s="254">
        <f>'Low-income'!Q33</f>
        <v>4591.24</v>
      </c>
      <c r="R21" s="254">
        <f>SUM(D21:Q21)</f>
        <v>111173.24</v>
      </c>
    </row>
    <row r="22" spans="1:18" ht="12.75">
      <c r="A22" s="420"/>
      <c r="B22" s="268"/>
      <c r="C22" s="268"/>
      <c r="D22" s="268"/>
      <c r="E22" s="268"/>
      <c r="F22" s="268"/>
      <c r="G22" s="268"/>
      <c r="H22" s="268"/>
      <c r="I22" s="268"/>
      <c r="J22" s="268"/>
      <c r="K22" s="268"/>
      <c r="L22" s="268"/>
      <c r="M22" s="268"/>
      <c r="N22" s="268"/>
      <c r="O22" s="268"/>
      <c r="P22" s="268"/>
      <c r="Q22" s="268"/>
      <c r="R22" s="359"/>
    </row>
    <row r="23" spans="1:18" ht="12.75">
      <c r="A23" s="330" t="s">
        <v>49</v>
      </c>
      <c r="B23" s="252">
        <f aca="true" t="shared" si="4" ref="B23:B35">SUM(D23:H23)</f>
        <v>45389</v>
      </c>
      <c r="C23" s="252">
        <f aca="true" t="shared" si="5" ref="C23:C35">SUM(I23:M23)</f>
        <v>67760</v>
      </c>
      <c r="D23" s="252"/>
      <c r="E23" s="252"/>
      <c r="F23" s="252"/>
      <c r="G23" s="252">
        <f>'C&amp;I'!G49</f>
        <v>31538</v>
      </c>
      <c r="H23" s="252">
        <f>'C&amp;I'!H49</f>
        <v>13851</v>
      </c>
      <c r="I23" s="252">
        <f>'C&amp;I'!I49</f>
        <v>17351</v>
      </c>
      <c r="J23" s="252">
        <f>'C&amp;I'!J49</f>
        <v>6572</v>
      </c>
      <c r="K23" s="252">
        <f>'C&amp;I'!K49</f>
        <v>21782</v>
      </c>
      <c r="L23" s="252">
        <f>'C&amp;I'!L49</f>
        <v>14993</v>
      </c>
      <c r="M23" s="252">
        <f>'C&amp;I'!M49</f>
        <v>7062</v>
      </c>
      <c r="N23" s="252">
        <f>'C&amp;I'!N49</f>
        <v>16912</v>
      </c>
      <c r="O23" s="252">
        <f>'C&amp;I'!O49</f>
        <v>7693</v>
      </c>
      <c r="P23" s="252">
        <f>'C&amp;I'!P49</f>
        <v>1509</v>
      </c>
      <c r="Q23" s="252">
        <f>'C&amp;I'!Q49</f>
        <v>9458</v>
      </c>
      <c r="R23" s="253">
        <f aca="true" t="shared" si="6" ref="R23:R35">SUM(D23:Q23)</f>
        <v>148721</v>
      </c>
    </row>
    <row r="24" spans="1:18" ht="12.75">
      <c r="A24" s="331" t="s">
        <v>52</v>
      </c>
      <c r="B24" s="252">
        <f t="shared" si="4"/>
        <v>284449</v>
      </c>
      <c r="C24" s="252">
        <f t="shared" si="5"/>
        <v>429863</v>
      </c>
      <c r="D24" s="252"/>
      <c r="E24" s="252"/>
      <c r="F24" s="252"/>
      <c r="G24" s="252">
        <f>'C&amp;I'!G50</f>
        <v>163631</v>
      </c>
      <c r="H24" s="252">
        <f>'C&amp;I'!H50</f>
        <v>120818</v>
      </c>
      <c r="I24" s="252">
        <f>'C&amp;I'!I50</f>
        <v>78194</v>
      </c>
      <c r="J24" s="252">
        <f>'C&amp;I'!J50</f>
        <v>81933</v>
      </c>
      <c r="K24" s="252">
        <f>'C&amp;I'!K50</f>
        <v>74430</v>
      </c>
      <c r="L24" s="252">
        <f>'C&amp;I'!L50</f>
        <v>75806</v>
      </c>
      <c r="M24" s="252">
        <f>'C&amp;I'!M50</f>
        <v>119500</v>
      </c>
      <c r="N24" s="252">
        <f>'C&amp;I'!N50</f>
        <v>103360</v>
      </c>
      <c r="O24" s="252">
        <f>'C&amp;I'!O50</f>
        <v>153265</v>
      </c>
      <c r="P24" s="252">
        <f>'C&amp;I'!P50</f>
        <v>110650</v>
      </c>
      <c r="Q24" s="252">
        <f>'C&amp;I'!Q50</f>
        <v>168884</v>
      </c>
      <c r="R24" s="253">
        <f t="shared" si="6"/>
        <v>1250471</v>
      </c>
    </row>
    <row r="25" spans="1:18" ht="12.75">
      <c r="A25" s="331" t="s">
        <v>316</v>
      </c>
      <c r="B25" s="252">
        <f t="shared" si="4"/>
        <v>22558</v>
      </c>
      <c r="C25" s="252">
        <f t="shared" si="5"/>
        <v>13218</v>
      </c>
      <c r="D25" s="252"/>
      <c r="E25" s="252"/>
      <c r="F25" s="252"/>
      <c r="G25" s="252">
        <f>'C&amp;I'!G51</f>
        <v>8975</v>
      </c>
      <c r="H25" s="252">
        <f>'C&amp;I'!H51</f>
        <v>13583</v>
      </c>
      <c r="I25" s="252">
        <f>'C&amp;I'!I51</f>
        <v>2832</v>
      </c>
      <c r="J25" s="252">
        <f>'C&amp;I'!J51</f>
        <v>2084</v>
      </c>
      <c r="K25" s="252">
        <f>'C&amp;I'!K51</f>
        <v>3310</v>
      </c>
      <c r="L25" s="252">
        <f>'C&amp;I'!L51</f>
        <v>4992</v>
      </c>
      <c r="M25" s="316"/>
      <c r="N25" s="316"/>
      <c r="O25" s="316"/>
      <c r="P25" s="316"/>
      <c r="Q25" s="316"/>
      <c r="R25" s="253">
        <f t="shared" si="6"/>
        <v>35776</v>
      </c>
    </row>
    <row r="26" spans="1:18" ht="12.75">
      <c r="A26" s="180" t="s">
        <v>236</v>
      </c>
      <c r="B26" s="252">
        <f t="shared" si="4"/>
        <v>0</v>
      </c>
      <c r="C26" s="252">
        <f t="shared" si="5"/>
        <v>796</v>
      </c>
      <c r="D26" s="252"/>
      <c r="E26" s="252"/>
      <c r="F26" s="252"/>
      <c r="G26" s="252"/>
      <c r="H26" s="252"/>
      <c r="I26" s="252"/>
      <c r="J26" s="252"/>
      <c r="K26" s="252"/>
      <c r="L26" s="252"/>
      <c r="M26" s="252">
        <f>'P4P '!J27</f>
        <v>796</v>
      </c>
      <c r="N26" s="252">
        <f>'P4P '!K27</f>
        <v>15422</v>
      </c>
      <c r="O26" s="252">
        <f>'P4P '!L25</f>
        <v>29077</v>
      </c>
      <c r="P26" s="252">
        <f>'P4P '!M25</f>
        <v>32400</v>
      </c>
      <c r="Q26" s="252">
        <f>'P4P '!N25</f>
        <v>21860</v>
      </c>
      <c r="R26" s="253">
        <f t="shared" si="6"/>
        <v>99555</v>
      </c>
    </row>
    <row r="27" spans="1:18" ht="12.75">
      <c r="A27" s="180" t="s">
        <v>340</v>
      </c>
      <c r="B27" s="252">
        <f t="shared" si="4"/>
        <v>0</v>
      </c>
      <c r="C27" s="252">
        <f t="shared" si="5"/>
        <v>0</v>
      </c>
      <c r="D27" s="252"/>
      <c r="E27" s="252"/>
      <c r="F27" s="252"/>
      <c r="G27" s="252"/>
      <c r="H27" s="252"/>
      <c r="I27" s="252"/>
      <c r="J27" s="252"/>
      <c r="K27" s="252"/>
      <c r="L27" s="252"/>
      <c r="M27" s="252"/>
      <c r="N27" s="252">
        <f>'P4P '!K26</f>
        <v>0</v>
      </c>
      <c r="O27" s="252">
        <f>'P4P '!L26</f>
        <v>0</v>
      </c>
      <c r="P27" s="252">
        <f>'P4P '!M26</f>
        <v>0</v>
      </c>
      <c r="Q27" s="252">
        <f>'P4P '!N26</f>
        <v>0</v>
      </c>
      <c r="R27" s="253">
        <f t="shared" si="6"/>
        <v>0</v>
      </c>
    </row>
    <row r="28" spans="1:18" ht="12.75">
      <c r="A28" s="180" t="s">
        <v>237</v>
      </c>
      <c r="B28" s="252">
        <f t="shared" si="4"/>
        <v>0</v>
      </c>
      <c r="C28" s="252">
        <f t="shared" si="5"/>
        <v>0</v>
      </c>
      <c r="D28" s="252"/>
      <c r="E28" s="252"/>
      <c r="F28" s="252"/>
      <c r="G28" s="252"/>
      <c r="H28" s="252"/>
      <c r="I28" s="252"/>
      <c r="J28" s="252"/>
      <c r="K28" s="252"/>
      <c r="L28" s="252"/>
      <c r="M28" s="252">
        <f>'P4P NC'!B26</f>
        <v>0</v>
      </c>
      <c r="N28" s="252">
        <f>'P4P NC'!C26</f>
        <v>0</v>
      </c>
      <c r="O28" s="252">
        <f>'P4P NC'!D26</f>
        <v>0</v>
      </c>
      <c r="P28" s="252">
        <f>'P4P NC'!E26</f>
        <v>1313</v>
      </c>
      <c r="Q28" s="252">
        <f>'P4P NC'!F26</f>
        <v>4873</v>
      </c>
      <c r="R28" s="253">
        <f t="shared" si="6"/>
        <v>6186</v>
      </c>
    </row>
    <row r="29" spans="1:18" ht="12.75">
      <c r="A29" s="180" t="s">
        <v>183</v>
      </c>
      <c r="B29" s="252">
        <f t="shared" si="4"/>
        <v>0</v>
      </c>
      <c r="C29" s="252">
        <f t="shared" si="5"/>
        <v>5007</v>
      </c>
      <c r="D29" s="252"/>
      <c r="E29" s="252"/>
      <c r="F29" s="252"/>
      <c r="G29" s="252"/>
      <c r="H29" s="252"/>
      <c r="I29" s="252"/>
      <c r="J29" s="252"/>
      <c r="K29" s="252"/>
      <c r="L29" s="252"/>
      <c r="M29" s="252">
        <f>'Direct Install'!D22</f>
        <v>5007</v>
      </c>
      <c r="N29" s="252">
        <f>'Direct Install'!E22</f>
        <v>41640</v>
      </c>
      <c r="O29" s="252">
        <f>'Direct Install'!F22</f>
        <v>61416</v>
      </c>
      <c r="P29" s="252">
        <f>'Direct Install'!G22</f>
        <v>38040</v>
      </c>
      <c r="Q29" s="252">
        <f>'Direct Install'!H22</f>
        <v>46955</v>
      </c>
      <c r="R29" s="253">
        <f t="shared" si="6"/>
        <v>193058</v>
      </c>
    </row>
    <row r="30" spans="1:18" ht="12.75">
      <c r="A30" s="180" t="s">
        <v>357</v>
      </c>
      <c r="B30" s="252">
        <f t="shared" si="4"/>
        <v>0</v>
      </c>
      <c r="C30" s="252">
        <f t="shared" si="5"/>
        <v>2141</v>
      </c>
      <c r="D30" s="252"/>
      <c r="E30" s="252"/>
      <c r="F30" s="252"/>
      <c r="G30" s="252"/>
      <c r="H30" s="252"/>
      <c r="I30" s="252"/>
      <c r="J30" s="252"/>
      <c r="K30" s="252">
        <f>'CHP-FuelCell_Lrg-Small'!K28</f>
        <v>141</v>
      </c>
      <c r="L30" s="252">
        <f>'CHP-FuelCell_Lrg-Small'!L28</f>
        <v>0</v>
      </c>
      <c r="M30" s="252">
        <f>'CHP-FuelCell_Lrg-Small'!M28</f>
        <v>2000</v>
      </c>
      <c r="N30" s="252">
        <f>'CHP-FuelCell_Lrg-Small'!N28</f>
        <v>0</v>
      </c>
      <c r="O30" s="252">
        <f>'CHP-FuelCell_Lrg-Small'!O28</f>
        <v>0</v>
      </c>
      <c r="P30" s="252">
        <f>'CHP-FuelCell_Lrg-Small'!P28</f>
        <v>0</v>
      </c>
      <c r="Q30" s="252">
        <f>'CHP-FuelCell_Lrg-Small'!Q28</f>
        <v>0</v>
      </c>
      <c r="R30" s="253">
        <f t="shared" si="6"/>
        <v>2141</v>
      </c>
    </row>
    <row r="31" spans="1:18" ht="12.75">
      <c r="A31" s="180" t="s">
        <v>341</v>
      </c>
      <c r="B31" s="252">
        <f t="shared" si="4"/>
        <v>0</v>
      </c>
      <c r="C31" s="252">
        <f t="shared" si="5"/>
        <v>0</v>
      </c>
      <c r="D31" s="252"/>
      <c r="E31" s="252"/>
      <c r="F31" s="252"/>
      <c r="G31" s="252"/>
      <c r="H31" s="252"/>
      <c r="I31" s="252"/>
      <c r="J31" s="252"/>
      <c r="K31" s="252"/>
      <c r="L31" s="252"/>
      <c r="M31" s="252"/>
      <c r="N31" s="252">
        <f>LEUP!B22</f>
        <v>0</v>
      </c>
      <c r="O31" s="252">
        <f>LEUP!C22</f>
        <v>69</v>
      </c>
      <c r="P31" s="252">
        <f>LEUP!D22</f>
        <v>28710</v>
      </c>
      <c r="Q31" s="252">
        <f>LEUP!E22</f>
        <v>12823</v>
      </c>
      <c r="R31" s="253">
        <f t="shared" si="6"/>
        <v>41602</v>
      </c>
    </row>
    <row r="32" spans="1:18" ht="12.75">
      <c r="A32" s="29" t="s">
        <v>313</v>
      </c>
      <c r="B32" s="254">
        <f t="shared" si="4"/>
        <v>725321</v>
      </c>
      <c r="C32" s="254">
        <f t="shared" si="5"/>
        <v>518785</v>
      </c>
      <c r="D32" s="254">
        <f>'C&amp;I'!D52</f>
        <v>30943</v>
      </c>
      <c r="E32" s="254">
        <f>'C&amp;I'!E52</f>
        <v>144635</v>
      </c>
      <c r="F32" s="254">
        <f>'C&amp;I'!F52</f>
        <v>197347</v>
      </c>
      <c r="G32" s="254">
        <f>'C&amp;I'!G52</f>
        <v>204144</v>
      </c>
      <c r="H32" s="254">
        <f aca="true" t="shared" si="7" ref="H32:O32">SUM(H23:H31)</f>
        <v>148252</v>
      </c>
      <c r="I32" s="254">
        <f t="shared" si="7"/>
        <v>98377</v>
      </c>
      <c r="J32" s="254">
        <f t="shared" si="7"/>
        <v>90589</v>
      </c>
      <c r="K32" s="254">
        <f t="shared" si="7"/>
        <v>99663</v>
      </c>
      <c r="L32" s="254">
        <f t="shared" si="7"/>
        <v>95791</v>
      </c>
      <c r="M32" s="254">
        <f t="shared" si="7"/>
        <v>134365</v>
      </c>
      <c r="N32" s="254">
        <f t="shared" si="7"/>
        <v>177334</v>
      </c>
      <c r="O32" s="254">
        <f t="shared" si="7"/>
        <v>251520</v>
      </c>
      <c r="P32" s="254">
        <f>SUM(P23:P31)</f>
        <v>212622</v>
      </c>
      <c r="Q32" s="254">
        <f>SUM(Q23:Q31)</f>
        <v>264853</v>
      </c>
      <c r="R32" s="254">
        <f t="shared" si="6"/>
        <v>2150435</v>
      </c>
    </row>
    <row r="33" spans="1:18" ht="12.75">
      <c r="A33" s="230" t="s">
        <v>101</v>
      </c>
      <c r="B33" s="252">
        <f t="shared" si="4"/>
        <v>4118</v>
      </c>
      <c r="C33" s="252">
        <f t="shared" si="5"/>
        <v>3852</v>
      </c>
      <c r="D33" s="252"/>
      <c r="E33" s="252"/>
      <c r="F33" s="252"/>
      <c r="G33" s="252"/>
      <c r="H33" s="252">
        <f>'Cool Cities'!D19</f>
        <v>4118</v>
      </c>
      <c r="I33" s="252">
        <f>'Cool Cities'!E19</f>
        <v>1897</v>
      </c>
      <c r="J33" s="252">
        <f>'Cool Cities'!F19</f>
        <v>1127</v>
      </c>
      <c r="K33" s="252">
        <f>'Cool Cities'!G19</f>
        <v>373</v>
      </c>
      <c r="L33" s="252">
        <f>'Cool Cities'!H19</f>
        <v>455</v>
      </c>
      <c r="M33" s="316"/>
      <c r="N33" s="316"/>
      <c r="O33" s="316"/>
      <c r="P33" s="316"/>
      <c r="Q33" s="316"/>
      <c r="R33" s="253">
        <f t="shared" si="6"/>
        <v>7970</v>
      </c>
    </row>
    <row r="34" spans="1:18" ht="12.75">
      <c r="A34" s="29" t="s">
        <v>126</v>
      </c>
      <c r="B34" s="254">
        <f t="shared" si="4"/>
        <v>729439</v>
      </c>
      <c r="C34" s="254">
        <f t="shared" si="5"/>
        <v>522637</v>
      </c>
      <c r="D34" s="254">
        <f aca="true" t="shared" si="8" ref="D34:I34">SUM(D32:D33)</f>
        <v>30943</v>
      </c>
      <c r="E34" s="254">
        <f t="shared" si="8"/>
        <v>144635</v>
      </c>
      <c r="F34" s="254">
        <f t="shared" si="8"/>
        <v>197347</v>
      </c>
      <c r="G34" s="254">
        <f t="shared" si="8"/>
        <v>204144</v>
      </c>
      <c r="H34" s="254">
        <f t="shared" si="8"/>
        <v>152370</v>
      </c>
      <c r="I34" s="254">
        <f t="shared" si="8"/>
        <v>100274</v>
      </c>
      <c r="J34" s="254">
        <f aca="true" t="shared" si="9" ref="J34:P34">SUM(J32:J33)</f>
        <v>91716</v>
      </c>
      <c r="K34" s="254">
        <f t="shared" si="9"/>
        <v>100036</v>
      </c>
      <c r="L34" s="254">
        <f t="shared" si="9"/>
        <v>96246</v>
      </c>
      <c r="M34" s="254">
        <f t="shared" si="9"/>
        <v>134365</v>
      </c>
      <c r="N34" s="254">
        <f t="shared" si="9"/>
        <v>177334</v>
      </c>
      <c r="O34" s="254">
        <f t="shared" si="9"/>
        <v>251520</v>
      </c>
      <c r="P34" s="254">
        <f t="shared" si="9"/>
        <v>212622</v>
      </c>
      <c r="Q34" s="254">
        <f>SUM(Q32:Q33)</f>
        <v>264853</v>
      </c>
      <c r="R34" s="254">
        <f t="shared" si="6"/>
        <v>2158405</v>
      </c>
    </row>
    <row r="35" spans="1:18" ht="12.75">
      <c r="A35" s="29" t="s">
        <v>390</v>
      </c>
      <c r="B35" s="254">
        <f t="shared" si="4"/>
        <v>1076217</v>
      </c>
      <c r="C35" s="254">
        <f t="shared" si="5"/>
        <v>1502042.8</v>
      </c>
      <c r="D35" s="254">
        <f aca="true" t="shared" si="10" ref="D35:O35">SUM(D34+D21+D19)</f>
        <v>50672</v>
      </c>
      <c r="E35" s="254">
        <f t="shared" si="10"/>
        <v>168796</v>
      </c>
      <c r="F35" s="254">
        <f t="shared" si="10"/>
        <v>285577</v>
      </c>
      <c r="G35" s="254">
        <f t="shared" si="10"/>
        <v>328513</v>
      </c>
      <c r="H35" s="254">
        <f t="shared" si="10"/>
        <v>242659</v>
      </c>
      <c r="I35" s="254">
        <f t="shared" si="10"/>
        <v>128252</v>
      </c>
      <c r="J35" s="254">
        <f t="shared" si="10"/>
        <v>228721</v>
      </c>
      <c r="K35" s="254">
        <f t="shared" si="10"/>
        <v>335001</v>
      </c>
      <c r="L35" s="254">
        <f t="shared" si="10"/>
        <v>462162</v>
      </c>
      <c r="M35" s="254">
        <f t="shared" si="10"/>
        <v>347906.80000000005</v>
      </c>
      <c r="N35" s="254">
        <f t="shared" si="10"/>
        <v>453682.1</v>
      </c>
      <c r="O35" s="254">
        <f t="shared" si="10"/>
        <v>638802</v>
      </c>
      <c r="P35" s="254">
        <f>SUM(P34+P21+P19)</f>
        <v>518814</v>
      </c>
      <c r="Q35" s="254">
        <f>SUM(Q34+Q21+Q19)</f>
        <v>473959.4542867021</v>
      </c>
      <c r="R35" s="254">
        <f t="shared" si="6"/>
        <v>4663517.354286702</v>
      </c>
    </row>
    <row r="36" spans="1:18" ht="12.75">
      <c r="A36" s="34"/>
      <c r="B36" s="325"/>
      <c r="C36" s="325"/>
      <c r="D36" s="325"/>
      <c r="E36" s="325"/>
      <c r="F36" s="325"/>
      <c r="G36" s="325"/>
      <c r="H36" s="325"/>
      <c r="I36" s="325"/>
      <c r="J36" s="325"/>
      <c r="K36" s="325"/>
      <c r="L36" s="325"/>
      <c r="M36" s="325"/>
      <c r="N36" s="325"/>
      <c r="O36" s="325"/>
      <c r="P36" s="325"/>
      <c r="Q36" s="325"/>
      <c r="R36" s="325"/>
    </row>
    <row r="37" spans="1:18" ht="12.75">
      <c r="A37" s="67" t="s">
        <v>166</v>
      </c>
      <c r="B37" s="325"/>
      <c r="C37" s="325"/>
      <c r="D37" s="325"/>
      <c r="E37" s="325"/>
      <c r="F37" s="325"/>
      <c r="G37" s="325"/>
      <c r="H37" s="325"/>
      <c r="I37" s="325"/>
      <c r="J37" s="325"/>
      <c r="K37" s="325"/>
      <c r="L37" s="325"/>
      <c r="M37" s="325"/>
      <c r="N37" s="325"/>
      <c r="O37" s="325"/>
      <c r="P37" s="325"/>
      <c r="Q37" s="325"/>
      <c r="R37" s="325"/>
    </row>
    <row r="38" spans="1:18" ht="12.75">
      <c r="A38" s="180" t="s">
        <v>340</v>
      </c>
      <c r="B38" s="253">
        <f>SUM(D38:H38)</f>
        <v>0</v>
      </c>
      <c r="C38" s="253">
        <f>SUM(I38:M38)</f>
        <v>0</v>
      </c>
      <c r="D38" s="253"/>
      <c r="E38" s="253"/>
      <c r="F38" s="253"/>
      <c r="G38" s="253"/>
      <c r="H38" s="253"/>
      <c r="I38" s="253"/>
      <c r="J38" s="253"/>
      <c r="K38" s="253"/>
      <c r="L38" s="253"/>
      <c r="M38" s="253"/>
      <c r="N38" s="479"/>
      <c r="O38" s="253">
        <f>'P4P '!L41</f>
        <v>17520</v>
      </c>
      <c r="P38" s="253">
        <f>'P4P '!M41</f>
        <v>8255</v>
      </c>
      <c r="Q38" s="253">
        <f>'P4P '!N41</f>
        <v>0</v>
      </c>
      <c r="R38" s="254">
        <f>SUM(D38:Q38)</f>
        <v>25775</v>
      </c>
    </row>
    <row r="39" spans="1:18" ht="12.75">
      <c r="A39" s="180" t="s">
        <v>357</v>
      </c>
      <c r="B39" s="253">
        <f>SUM(D39:H39)</f>
        <v>0</v>
      </c>
      <c r="C39" s="253">
        <f>SUM(I39:M39)</f>
        <v>0</v>
      </c>
      <c r="D39" s="253"/>
      <c r="E39" s="253"/>
      <c r="F39" s="253"/>
      <c r="G39" s="253"/>
      <c r="H39" s="253"/>
      <c r="I39" s="253"/>
      <c r="J39" s="253"/>
      <c r="K39" s="253"/>
      <c r="L39" s="253"/>
      <c r="M39" s="253"/>
      <c r="N39" s="479"/>
      <c r="O39" s="479"/>
      <c r="P39" s="253">
        <f>'CHP-FuelCell_Lrg-Small'!P44</f>
        <v>1154</v>
      </c>
      <c r="Q39" s="253">
        <f>'CHP-FuelCell_Lrg-Small'!Q44</f>
        <v>46135</v>
      </c>
      <c r="R39" s="254">
        <f>SUM(D39:Q39)</f>
        <v>47289</v>
      </c>
    </row>
    <row r="40" spans="1:18" ht="12.75">
      <c r="A40" s="48" t="s">
        <v>1</v>
      </c>
      <c r="B40" s="254">
        <f>SUM(D40:H40)</f>
        <v>767</v>
      </c>
      <c r="C40" s="254">
        <f>SUM(I40:M40)</f>
        <v>206874</v>
      </c>
      <c r="D40" s="254"/>
      <c r="E40" s="254"/>
      <c r="F40" s="254"/>
      <c r="G40" s="254"/>
      <c r="H40" s="254">
        <f>'CHP-FuelCell_Lrg-Small'!H44</f>
        <v>767</v>
      </c>
      <c r="I40" s="254">
        <f>'CHP-FuelCell_Lrg-Small'!I44</f>
        <v>12575</v>
      </c>
      <c r="J40" s="254">
        <f>'CHP-FuelCell_Lrg-Small'!J44</f>
        <v>102125</v>
      </c>
      <c r="K40" s="254">
        <f>'CHP-FuelCell_Lrg-Small'!K44</f>
        <v>9114</v>
      </c>
      <c r="L40" s="254">
        <f>'CHP-FuelCell_Lrg-Small'!L44</f>
        <v>35317</v>
      </c>
      <c r="M40" s="254">
        <f>'CHP-FuelCell_Lrg-Small'!M44</f>
        <v>47743</v>
      </c>
      <c r="N40" s="254">
        <f>'CHP-FuelCell_Lrg-Small'!N44</f>
        <v>0</v>
      </c>
      <c r="O40" s="254">
        <f>SUM(O38:O39)</f>
        <v>17520</v>
      </c>
      <c r="P40" s="254">
        <f>SUM(P38:P39)</f>
        <v>9409</v>
      </c>
      <c r="Q40" s="254">
        <f>SUM(Q38:Q39)</f>
        <v>46135</v>
      </c>
      <c r="R40" s="254">
        <f>SUM(D40:Q40)</f>
        <v>280705</v>
      </c>
    </row>
    <row r="41" spans="1:18" ht="12.75">
      <c r="A41" s="75"/>
      <c r="B41" s="139"/>
      <c r="C41" s="139"/>
      <c r="D41" s="139"/>
      <c r="E41" s="139"/>
      <c r="F41" s="139"/>
      <c r="G41" s="139"/>
      <c r="H41" s="139"/>
      <c r="I41" s="139"/>
      <c r="J41" s="139"/>
      <c r="K41" s="139"/>
      <c r="L41" s="139"/>
      <c r="M41" s="139"/>
      <c r="N41" s="139"/>
      <c r="O41" s="139"/>
      <c r="P41" s="139"/>
      <c r="Q41" s="139"/>
      <c r="R41" s="139"/>
    </row>
    <row r="42" spans="1:18" ht="12.75">
      <c r="A42" s="67" t="s">
        <v>61</v>
      </c>
      <c r="B42" s="87"/>
      <c r="C42" s="87"/>
      <c r="D42" s="87"/>
      <c r="E42" s="87"/>
      <c r="F42" s="87"/>
      <c r="G42" s="87"/>
      <c r="H42" s="87"/>
      <c r="I42" s="87"/>
      <c r="J42" s="148"/>
      <c r="K42" s="148"/>
      <c r="L42" s="148"/>
      <c r="M42" s="148"/>
      <c r="N42" s="148"/>
      <c r="O42" s="148"/>
      <c r="P42" s="148"/>
      <c r="Q42" s="148"/>
      <c r="R42" s="87"/>
    </row>
    <row r="43" spans="1:18" ht="12.75">
      <c r="A43" s="83" t="s">
        <v>76</v>
      </c>
      <c r="B43" s="252">
        <f aca="true" t="shared" si="11" ref="B43:B49">SUM(D43:H43)</f>
        <v>33281</v>
      </c>
      <c r="C43" s="252">
        <f aca="true" t="shared" si="12" ref="C43:C49">SUM(I43:M43)</f>
        <v>98178</v>
      </c>
      <c r="D43" s="252">
        <f>CORE!C23</f>
        <v>11</v>
      </c>
      <c r="E43" s="252">
        <f>CORE!D23</f>
        <v>2896</v>
      </c>
      <c r="F43" s="252">
        <f>CORE!E23</f>
        <v>7239</v>
      </c>
      <c r="G43" s="252">
        <f>CORE!F23</f>
        <v>6515</v>
      </c>
      <c r="H43" s="252">
        <f>CORE!G23</f>
        <v>16620</v>
      </c>
      <c r="I43" s="252">
        <f>CORE!H23</f>
        <v>22470</v>
      </c>
      <c r="J43" s="252">
        <f>CORE!I23</f>
        <v>24369</v>
      </c>
      <c r="K43" s="252">
        <f>CORE!J23</f>
        <v>17726</v>
      </c>
      <c r="L43" s="252">
        <f>CORE!K23</f>
        <v>15432</v>
      </c>
      <c r="M43" s="252">
        <f>CORE!L23</f>
        <v>18181</v>
      </c>
      <c r="N43" s="252">
        <f>CORE!M23</f>
        <v>6961</v>
      </c>
      <c r="O43" s="252">
        <f>CORE!N23</f>
        <v>3632</v>
      </c>
      <c r="P43" s="252">
        <v>0</v>
      </c>
      <c r="Q43" s="252">
        <v>0</v>
      </c>
      <c r="R43" s="252">
        <f aca="true" t="shared" si="13" ref="R43:R49">SUM(D43:Q43)</f>
        <v>142052</v>
      </c>
    </row>
    <row r="44" spans="1:18" ht="12.75">
      <c r="A44" s="83" t="s">
        <v>151</v>
      </c>
      <c r="B44" s="252">
        <f t="shared" si="11"/>
        <v>0</v>
      </c>
      <c r="C44" s="252">
        <f t="shared" si="12"/>
        <v>361744.72</v>
      </c>
      <c r="D44" s="252"/>
      <c r="E44" s="252"/>
      <c r="F44" s="252"/>
      <c r="G44" s="252"/>
      <c r="H44" s="252"/>
      <c r="I44" s="252">
        <f>'Clean Power Choice'!C12</f>
        <v>22189</v>
      </c>
      <c r="J44" s="252">
        <f>'Clean Power Choice'!D12</f>
        <v>74091</v>
      </c>
      <c r="K44" s="252">
        <f>'Clean Power Choice'!E12</f>
        <v>89220.72</v>
      </c>
      <c r="L44" s="252">
        <f>'Clean Power Choice'!F12</f>
        <v>101256</v>
      </c>
      <c r="M44" s="252">
        <f>'Clean Power Choice'!G12</f>
        <v>74988</v>
      </c>
      <c r="N44" s="252">
        <f>'Clean Power Choice'!H12</f>
        <v>0</v>
      </c>
      <c r="O44" s="252">
        <f>'Clean Power Choice'!I12</f>
        <v>0</v>
      </c>
      <c r="P44" s="252">
        <f>'Clean Power Choice'!J12</f>
        <v>0</v>
      </c>
      <c r="Q44" s="252">
        <v>0</v>
      </c>
      <c r="R44" s="252">
        <f t="shared" si="13"/>
        <v>361744.72</v>
      </c>
    </row>
    <row r="45" spans="1:18" ht="12.75">
      <c r="A45" s="55" t="s">
        <v>199</v>
      </c>
      <c r="B45" s="252">
        <f t="shared" si="11"/>
        <v>0</v>
      </c>
      <c r="C45" s="252">
        <f t="shared" si="12"/>
        <v>21931</v>
      </c>
      <c r="D45" s="252"/>
      <c r="E45" s="252"/>
      <c r="F45" s="252"/>
      <c r="G45" s="252"/>
      <c r="H45" s="252"/>
      <c r="I45" s="252"/>
      <c r="J45" s="252"/>
      <c r="K45" s="252"/>
      <c r="L45" s="252">
        <f>REIP!B22</f>
        <v>2578</v>
      </c>
      <c r="M45" s="252">
        <f>REIP!C22</f>
        <v>19353</v>
      </c>
      <c r="N45" s="252">
        <f>REIP!D22</f>
        <v>21411</v>
      </c>
      <c r="O45" s="252">
        <f>REIP!E22</f>
        <v>2702</v>
      </c>
      <c r="P45" s="252">
        <f>REIP!F22</f>
        <v>1635</v>
      </c>
      <c r="Q45" s="252">
        <f>REIP!G22</f>
        <v>0</v>
      </c>
      <c r="R45" s="252">
        <f t="shared" si="13"/>
        <v>47679</v>
      </c>
    </row>
    <row r="46" spans="1:18" ht="12.75">
      <c r="A46" s="55" t="s">
        <v>251</v>
      </c>
      <c r="B46" s="252">
        <f t="shared" si="11"/>
        <v>0</v>
      </c>
      <c r="C46" s="252">
        <f t="shared" si="12"/>
        <v>0</v>
      </c>
      <c r="D46" s="252"/>
      <c r="E46" s="252"/>
      <c r="F46" s="252"/>
      <c r="G46" s="252"/>
      <c r="H46" s="252"/>
      <c r="I46" s="252"/>
      <c r="J46" s="252"/>
      <c r="K46" s="252"/>
      <c r="L46" s="252">
        <f>'RE Grid Connected'!B19</f>
        <v>0</v>
      </c>
      <c r="M46" s="252">
        <f>'RE Grid Connected'!C19</f>
        <v>0</v>
      </c>
      <c r="N46" s="252">
        <f>'RE Grid Connected'!D19</f>
        <v>0</v>
      </c>
      <c r="O46" s="252">
        <f>'RE Grid Connected'!E19</f>
        <v>0</v>
      </c>
      <c r="P46" s="252">
        <f>'RE Grid Connected'!F19</f>
        <v>13924</v>
      </c>
      <c r="Q46" s="252">
        <f>'RE Grid Connected'!G19</f>
        <v>0</v>
      </c>
      <c r="R46" s="252">
        <f t="shared" si="13"/>
        <v>13924</v>
      </c>
    </row>
    <row r="47" spans="1:18" ht="12.75">
      <c r="A47" s="83" t="s">
        <v>116</v>
      </c>
      <c r="B47" s="252">
        <f t="shared" si="11"/>
        <v>12516</v>
      </c>
      <c r="C47" s="252">
        <f t="shared" si="12"/>
        <v>162504</v>
      </c>
      <c r="D47" s="252"/>
      <c r="E47" s="252"/>
      <c r="F47" s="252"/>
      <c r="G47" s="252"/>
      <c r="H47" s="252">
        <f>'RE Grants and Financing'!F30</f>
        <v>12516</v>
      </c>
      <c r="I47" s="252">
        <f>'RE Grants and Financing'!G30</f>
        <v>0</v>
      </c>
      <c r="J47" s="252">
        <f>'RE Grants and Financing'!H30</f>
        <v>41753</v>
      </c>
      <c r="K47" s="252">
        <f>'RE Grants and Financing'!I30</f>
        <v>71902</v>
      </c>
      <c r="L47" s="252">
        <f>'RE Grants and Financing'!J30</f>
        <v>8712</v>
      </c>
      <c r="M47" s="252">
        <f>'RE Grants and Financing'!K30</f>
        <v>40137</v>
      </c>
      <c r="N47" s="316"/>
      <c r="O47" s="316"/>
      <c r="P47" s="316"/>
      <c r="Q47" s="316"/>
      <c r="R47" s="252">
        <f t="shared" si="13"/>
        <v>175020</v>
      </c>
    </row>
    <row r="48" spans="1:18" ht="12.75">
      <c r="A48" s="83" t="s">
        <v>164</v>
      </c>
      <c r="B48" s="252">
        <f t="shared" si="11"/>
        <v>0</v>
      </c>
      <c r="C48" s="252">
        <f t="shared" si="12"/>
        <v>226179</v>
      </c>
      <c r="D48" s="252"/>
      <c r="E48" s="252"/>
      <c r="F48" s="252"/>
      <c r="G48" s="252"/>
      <c r="H48" s="252"/>
      <c r="I48" s="252"/>
      <c r="J48" s="252">
        <f>REC!B19</f>
        <v>16</v>
      </c>
      <c r="K48" s="252">
        <f>REC!C19</f>
        <v>10120</v>
      </c>
      <c r="L48" s="252">
        <f>REC!D19</f>
        <v>41123</v>
      </c>
      <c r="M48" s="252">
        <f>REC!E19</f>
        <v>174920</v>
      </c>
      <c r="N48" s="252">
        <f>REC!F19</f>
        <v>353694</v>
      </c>
      <c r="O48" s="252">
        <f>REC!G19</f>
        <v>634302</v>
      </c>
      <c r="P48" s="252">
        <f>REC!H19</f>
        <v>246101</v>
      </c>
      <c r="Q48" s="252">
        <f>REC!I19</f>
        <v>217860</v>
      </c>
      <c r="R48" s="252">
        <f t="shared" si="13"/>
        <v>1678136</v>
      </c>
    </row>
    <row r="49" spans="1:18" ht="12.75">
      <c r="A49" s="73" t="s">
        <v>1</v>
      </c>
      <c r="B49" s="254">
        <f t="shared" si="11"/>
        <v>45797</v>
      </c>
      <c r="C49" s="254">
        <f t="shared" si="12"/>
        <v>870536.72</v>
      </c>
      <c r="D49" s="254">
        <f aca="true" t="shared" si="14" ref="D49:I49">SUM(D43:D47)</f>
        <v>11</v>
      </c>
      <c r="E49" s="254">
        <f t="shared" si="14"/>
        <v>2896</v>
      </c>
      <c r="F49" s="254">
        <f t="shared" si="14"/>
        <v>7239</v>
      </c>
      <c r="G49" s="254">
        <f t="shared" si="14"/>
        <v>6515</v>
      </c>
      <c r="H49" s="254">
        <f t="shared" si="14"/>
        <v>29136</v>
      </c>
      <c r="I49" s="254">
        <f t="shared" si="14"/>
        <v>44659</v>
      </c>
      <c r="J49" s="254">
        <f aca="true" t="shared" si="15" ref="J49:O49">SUM(J43:J48)</f>
        <v>140229</v>
      </c>
      <c r="K49" s="254">
        <f t="shared" si="15"/>
        <v>188968.72</v>
      </c>
      <c r="L49" s="254">
        <f t="shared" si="15"/>
        <v>169101</v>
      </c>
      <c r="M49" s="254">
        <f t="shared" si="15"/>
        <v>327579</v>
      </c>
      <c r="N49" s="254">
        <f t="shared" si="15"/>
        <v>382066</v>
      </c>
      <c r="O49" s="254">
        <f t="shared" si="15"/>
        <v>640636</v>
      </c>
      <c r="P49" s="254">
        <f>SUM(P43:P48)</f>
        <v>261660</v>
      </c>
      <c r="Q49" s="254">
        <f>SUM(Q43:Q48)</f>
        <v>217860</v>
      </c>
      <c r="R49" s="254">
        <f t="shared" si="13"/>
        <v>2418555.7199999997</v>
      </c>
    </row>
    <row r="50" spans="1:18" ht="12.75">
      <c r="A50" s="332" t="s">
        <v>291</v>
      </c>
      <c r="B50" s="325"/>
      <c r="C50" s="325"/>
      <c r="D50" s="325"/>
      <c r="E50" s="325"/>
      <c r="F50" s="325"/>
      <c r="G50" s="325"/>
      <c r="H50" s="325"/>
      <c r="I50" s="325"/>
      <c r="J50" s="325"/>
      <c r="K50" s="325"/>
      <c r="L50" s="325"/>
      <c r="M50" s="325"/>
      <c r="N50" s="325"/>
      <c r="O50" s="325"/>
      <c r="P50" s="325"/>
      <c r="Q50" s="325"/>
      <c r="R50" s="325"/>
    </row>
    <row r="52" ht="15">
      <c r="A52" s="410" t="s">
        <v>388</v>
      </c>
    </row>
    <row r="53" spans="1:18" ht="26.25">
      <c r="A53" s="410" t="s">
        <v>343</v>
      </c>
      <c r="B53" s="213" t="str">
        <f>B4</f>
        <v>Summary 
2001 to 2005*</v>
      </c>
      <c r="C53" s="213" t="str">
        <f>C4</f>
        <v>Summary 
2006 to 2010*</v>
      </c>
      <c r="D53" s="105">
        <v>2001</v>
      </c>
      <c r="E53" s="105">
        <v>2002</v>
      </c>
      <c r="F53" s="105">
        <v>2003</v>
      </c>
      <c r="G53" s="105">
        <v>2004</v>
      </c>
      <c r="H53" s="105">
        <v>2005</v>
      </c>
      <c r="I53" s="105">
        <v>2006</v>
      </c>
      <c r="J53" s="105">
        <v>2007</v>
      </c>
      <c r="K53" s="105">
        <v>2008</v>
      </c>
      <c r="L53" s="105">
        <v>2009</v>
      </c>
      <c r="M53" s="105">
        <v>2010</v>
      </c>
      <c r="N53" s="105">
        <v>2011</v>
      </c>
      <c r="O53" s="213" t="str">
        <f>O4</f>
        <v>(18 month)1
2012-2013</v>
      </c>
      <c r="P53" s="213" t="str">
        <f>P4</f>
        <v>FY2014</v>
      </c>
      <c r="Q53" s="213" t="str">
        <f>Q4</f>
        <v>FY2015</v>
      </c>
      <c r="R53" s="213" t="str">
        <f>R4</f>
        <v>Total 
2001 ~ FY2015</v>
      </c>
    </row>
    <row r="54" spans="1:18" ht="12.75">
      <c r="A54" s="67" t="s">
        <v>389</v>
      </c>
      <c r="B54" s="148" t="s">
        <v>397</v>
      </c>
      <c r="C54" s="148" t="s">
        <v>397</v>
      </c>
      <c r="D54" s="148" t="s">
        <v>397</v>
      </c>
      <c r="E54" s="148" t="s">
        <v>397</v>
      </c>
      <c r="F54" s="148" t="s">
        <v>397</v>
      </c>
      <c r="G54" s="148" t="s">
        <v>397</v>
      </c>
      <c r="H54" s="148" t="s">
        <v>397</v>
      </c>
      <c r="I54" s="148" t="s">
        <v>397</v>
      </c>
      <c r="J54" s="87" t="s">
        <v>397</v>
      </c>
      <c r="K54" s="87" t="s">
        <v>397</v>
      </c>
      <c r="L54" s="87" t="s">
        <v>397</v>
      </c>
      <c r="M54" s="87" t="s">
        <v>397</v>
      </c>
      <c r="N54" s="87" t="s">
        <v>397</v>
      </c>
      <c r="O54" s="87" t="s">
        <v>397</v>
      </c>
      <c r="P54" s="87" t="s">
        <v>397</v>
      </c>
      <c r="Q54" s="87" t="s">
        <v>397</v>
      </c>
      <c r="R54" s="148" t="s">
        <v>397</v>
      </c>
    </row>
    <row r="55" spans="1:18" ht="12.75">
      <c r="A55" s="230" t="s">
        <v>66</v>
      </c>
      <c r="B55" s="252">
        <f aca="true" t="shared" si="16" ref="B55:B68">SUM(D55:H55)</f>
        <v>62634</v>
      </c>
      <c r="C55" s="252">
        <f aca="true" t="shared" si="17" ref="C55:C68">SUM(I55:M55)</f>
        <v>29656</v>
      </c>
      <c r="D55" s="252">
        <f>'Res HVAC'!D31</f>
        <v>10761</v>
      </c>
      <c r="E55" s="252">
        <f>'Res HVAC'!E31</f>
        <v>13825</v>
      </c>
      <c r="F55" s="252">
        <f>'Res HVAC'!F31</f>
        <v>12254</v>
      </c>
      <c r="G55" s="252">
        <f>'Res HVAC'!G31</f>
        <v>13065</v>
      </c>
      <c r="H55" s="252">
        <f>'Res HVAC'!H31</f>
        <v>12729</v>
      </c>
      <c r="I55" s="252">
        <f>'Res HVAC'!I31</f>
        <v>9651</v>
      </c>
      <c r="J55" s="252">
        <f>'Res HVAC'!J31</f>
        <v>10666</v>
      </c>
      <c r="K55" s="252">
        <f>'Res HVAC'!K31</f>
        <v>2710</v>
      </c>
      <c r="L55" s="252">
        <f>'Res HVAC'!L31</f>
        <v>1804</v>
      </c>
      <c r="M55" s="252">
        <f>'Res HVAC'!M31</f>
        <v>4825</v>
      </c>
      <c r="N55" s="252">
        <f>'Res HVAC'!N31</f>
        <v>6845</v>
      </c>
      <c r="O55" s="252">
        <f>'Res HVAC'!O31</f>
        <v>6715</v>
      </c>
      <c r="P55" s="252">
        <f>'Res HVAC'!P31</f>
        <v>1307</v>
      </c>
      <c r="Q55" s="252">
        <f>'Res HVAC'!Q31</f>
        <v>988.9172000000148</v>
      </c>
      <c r="R55" s="252">
        <f>SUM(D55:Q55)</f>
        <v>108145.91720000001</v>
      </c>
    </row>
    <row r="56" spans="1:18" ht="12.75">
      <c r="A56" s="230" t="s">
        <v>67</v>
      </c>
      <c r="B56" s="252">
        <f t="shared" si="16"/>
        <v>48393</v>
      </c>
      <c r="C56" s="252">
        <f t="shared" si="17"/>
        <v>46538</v>
      </c>
      <c r="D56" s="252">
        <f>RNC!D29</f>
        <v>11</v>
      </c>
      <c r="E56" s="252">
        <f>RNC!E29</f>
        <v>3415</v>
      </c>
      <c r="F56" s="252">
        <f>RNC!F29</f>
        <v>11201</v>
      </c>
      <c r="G56" s="252">
        <f>RNC!G29</f>
        <v>14869</v>
      </c>
      <c r="H56" s="252">
        <f>RNC!H29</f>
        <v>18897</v>
      </c>
      <c r="I56" s="252">
        <f>RNC!I29</f>
        <v>13285</v>
      </c>
      <c r="J56" s="252">
        <f>RNC!J29</f>
        <v>12497</v>
      </c>
      <c r="K56" s="252">
        <f>RNC!K29</f>
        <v>8179</v>
      </c>
      <c r="L56" s="252">
        <f>RNC!L29</f>
        <v>5736</v>
      </c>
      <c r="M56" s="252">
        <f>RNC!M29</f>
        <v>6841</v>
      </c>
      <c r="N56" s="252">
        <f>RNC!N29</f>
        <v>4616</v>
      </c>
      <c r="O56" s="252">
        <f>RNC!O29</f>
        <v>7298</v>
      </c>
      <c r="P56" s="252">
        <f>RNC!P29</f>
        <v>3836</v>
      </c>
      <c r="Q56" s="252">
        <f>RNC!Q29</f>
        <v>37378</v>
      </c>
      <c r="R56" s="252">
        <f>SUM(D56:Q56)</f>
        <v>148059</v>
      </c>
    </row>
    <row r="57" spans="1:18" ht="12.75">
      <c r="A57" s="230" t="s">
        <v>68</v>
      </c>
      <c r="B57" s="285">
        <f t="shared" si="16"/>
        <v>0</v>
      </c>
      <c r="C57" s="285">
        <f t="shared" si="17"/>
        <v>0</v>
      </c>
      <c r="D57" s="324"/>
      <c r="E57" s="324"/>
      <c r="F57" s="324"/>
      <c r="G57" s="324"/>
      <c r="H57" s="324"/>
      <c r="I57" s="324"/>
      <c r="J57" s="324"/>
      <c r="K57" s="324"/>
      <c r="L57" s="324"/>
      <c r="M57" s="324"/>
      <c r="N57" s="324"/>
      <c r="O57" s="324"/>
      <c r="P57" s="324"/>
      <c r="Q57" s="324"/>
      <c r="R57" s="324"/>
    </row>
    <row r="58" spans="1:18" ht="12.75">
      <c r="A58" s="328" t="s">
        <v>326</v>
      </c>
      <c r="B58" s="252">
        <f t="shared" si="16"/>
        <v>4602</v>
      </c>
      <c r="C58" s="252">
        <f t="shared" si="17"/>
        <v>3290</v>
      </c>
      <c r="D58" s="252">
        <f>'Energy Star'!D75</f>
        <v>0</v>
      </c>
      <c r="E58" s="252">
        <f>'Energy Star'!E75</f>
        <v>0</v>
      </c>
      <c r="F58" s="252">
        <f>'Energy Star'!F75</f>
        <v>1499</v>
      </c>
      <c r="G58" s="252">
        <f>'Energy Star'!G75</f>
        <v>1441</v>
      </c>
      <c r="H58" s="252">
        <f>'Energy Star'!H75</f>
        <v>1662</v>
      </c>
      <c r="I58" s="252">
        <f>'Energy Star'!I75</f>
        <v>567</v>
      </c>
      <c r="J58" s="252">
        <f>'Energy Star'!J75</f>
        <v>803</v>
      </c>
      <c r="K58" s="252">
        <f>'Energy Star'!K75</f>
        <v>808</v>
      </c>
      <c r="L58" s="252">
        <f>'Energy Star'!L75</f>
        <v>444</v>
      </c>
      <c r="M58" s="252">
        <f>'Energy Star'!M75</f>
        <v>668</v>
      </c>
      <c r="N58" s="252">
        <f>'Energy Star'!N75</f>
        <v>13.6</v>
      </c>
      <c r="O58" s="316"/>
      <c r="P58" s="316"/>
      <c r="Q58" s="316"/>
      <c r="R58" s="252">
        <f aca="true" t="shared" si="18" ref="R58:R68">SUM(D58:Q58)</f>
        <v>7905.6</v>
      </c>
    </row>
    <row r="59" spans="1:18" ht="12.75">
      <c r="A59" s="328" t="s">
        <v>171</v>
      </c>
      <c r="B59" s="252">
        <f t="shared" si="16"/>
        <v>11898</v>
      </c>
      <c r="C59" s="252">
        <f t="shared" si="17"/>
        <v>51986.4</v>
      </c>
      <c r="D59" s="252">
        <f>'Energy Star'!D74</f>
        <v>0</v>
      </c>
      <c r="E59" s="252">
        <f>'Energy Star'!E74</f>
        <v>0</v>
      </c>
      <c r="F59" s="252">
        <f>'Energy Star'!F74</f>
        <v>3587</v>
      </c>
      <c r="G59" s="252">
        <f>'Energy Star'!G74</f>
        <v>5089</v>
      </c>
      <c r="H59" s="252">
        <f>'Energy Star'!H74</f>
        <v>3222</v>
      </c>
      <c r="I59" s="252">
        <f>'Energy Star'!I74</f>
        <v>0</v>
      </c>
      <c r="J59" s="252">
        <f>'Energy Star'!J74</f>
        <v>5792</v>
      </c>
      <c r="K59" s="252">
        <f>'Energy Star'!K74</f>
        <v>10752</v>
      </c>
      <c r="L59" s="252">
        <f>'Energy Star'!L74</f>
        <v>16252</v>
      </c>
      <c r="M59" s="252">
        <f>'Energy Star'!M74</f>
        <v>19190.4</v>
      </c>
      <c r="N59" s="252">
        <f>'Energy Star'!N74</f>
        <v>25435.7</v>
      </c>
      <c r="O59" s="252">
        <f>'Energy Star'!O74</f>
        <v>45156.8</v>
      </c>
      <c r="P59" s="252">
        <f>'Energy Star'!P74</f>
        <v>26146</v>
      </c>
      <c r="Q59" s="252">
        <f>'Energy Star'!Q74</f>
        <v>16577.20939999999</v>
      </c>
      <c r="R59" s="252">
        <f t="shared" si="18"/>
        <v>177200.10940000002</v>
      </c>
    </row>
    <row r="60" spans="1:18" ht="12.75">
      <c r="A60" s="329" t="s">
        <v>327</v>
      </c>
      <c r="B60" s="252">
        <f t="shared" si="16"/>
        <v>0</v>
      </c>
      <c r="C60" s="252">
        <f t="shared" si="17"/>
        <v>1305</v>
      </c>
      <c r="D60" s="252"/>
      <c r="E60" s="252"/>
      <c r="F60" s="252"/>
      <c r="G60" s="252"/>
      <c r="H60" s="252"/>
      <c r="I60" s="252"/>
      <c r="J60" s="252"/>
      <c r="K60" s="252">
        <f>'Energy Star'!K76</f>
        <v>377</v>
      </c>
      <c r="L60" s="252">
        <f>'Energy Star'!L76</f>
        <v>431</v>
      </c>
      <c r="M60" s="252">
        <f>'Energy Star'!M76</f>
        <v>497</v>
      </c>
      <c r="N60" s="252">
        <f>'Energy Star'!N76</f>
        <v>498.4</v>
      </c>
      <c r="O60" s="252">
        <f>'Energy Star'!O76</f>
        <v>1415.8</v>
      </c>
      <c r="P60" s="252">
        <f>'Energy Star'!P76</f>
        <v>418</v>
      </c>
      <c r="Q60" s="252">
        <f>'Energy Star'!Q76</f>
        <v>396.26999999995394</v>
      </c>
      <c r="R60" s="252">
        <f t="shared" si="18"/>
        <v>4033.469999999954</v>
      </c>
    </row>
    <row r="61" spans="1:18" ht="12.75">
      <c r="A61" s="329" t="s">
        <v>467</v>
      </c>
      <c r="B61" s="252">
        <f>SUM(D61:H61)</f>
        <v>0</v>
      </c>
      <c r="C61" s="252">
        <f>SUM(I61:M61)</f>
        <v>0</v>
      </c>
      <c r="D61" s="252"/>
      <c r="E61" s="252"/>
      <c r="F61" s="252"/>
      <c r="G61" s="252"/>
      <c r="H61" s="252"/>
      <c r="I61" s="252"/>
      <c r="J61" s="252"/>
      <c r="K61" s="252">
        <f>'Energy Star'!K77</f>
        <v>0</v>
      </c>
      <c r="L61" s="252">
        <f>'Energy Star'!L77</f>
        <v>0</v>
      </c>
      <c r="M61" s="252">
        <f>'Energy Star'!M77</f>
        <v>0</v>
      </c>
      <c r="N61" s="252">
        <f>'Energy Star'!N77</f>
        <v>0</v>
      </c>
      <c r="O61" s="252">
        <f>'Energy Star'!O77</f>
        <v>0</v>
      </c>
      <c r="P61" s="252">
        <f>'Energy Star'!P77</f>
        <v>0</v>
      </c>
      <c r="Q61" s="252">
        <f>'Energy Star'!Q77</f>
        <v>156.39999999999944</v>
      </c>
      <c r="R61" s="252">
        <f>SUM(D61:Q61)</f>
        <v>156.39999999999944</v>
      </c>
    </row>
    <row r="62" spans="1:18" ht="12.75">
      <c r="A62" s="329" t="s">
        <v>328</v>
      </c>
      <c r="B62" s="252">
        <f t="shared" si="16"/>
        <v>0</v>
      </c>
      <c r="C62" s="252">
        <f t="shared" si="17"/>
        <v>189</v>
      </c>
      <c r="D62" s="252"/>
      <c r="E62" s="252"/>
      <c r="F62" s="252"/>
      <c r="G62" s="252"/>
      <c r="H62" s="252"/>
      <c r="I62" s="252"/>
      <c r="J62" s="252"/>
      <c r="K62" s="252">
        <f>'Energy Star'!K78</f>
        <v>53</v>
      </c>
      <c r="L62" s="252">
        <f>'Energy Star'!L78</f>
        <v>79</v>
      </c>
      <c r="M62" s="252">
        <f>'Energy Star'!M78</f>
        <v>57</v>
      </c>
      <c r="N62" s="252">
        <f>'Energy Star'!N78</f>
        <v>3.9</v>
      </c>
      <c r="O62" s="316"/>
      <c r="P62" s="316"/>
      <c r="Q62" s="316"/>
      <c r="R62" s="252">
        <f t="shared" si="18"/>
        <v>192.9</v>
      </c>
    </row>
    <row r="63" spans="1:18" ht="12.75">
      <c r="A63" s="329" t="s">
        <v>329</v>
      </c>
      <c r="B63" s="252">
        <f t="shared" si="16"/>
        <v>0</v>
      </c>
      <c r="C63" s="252">
        <f t="shared" si="17"/>
        <v>5133.3</v>
      </c>
      <c r="D63" s="252"/>
      <c r="E63" s="252"/>
      <c r="F63" s="252"/>
      <c r="G63" s="252"/>
      <c r="H63" s="252"/>
      <c r="I63" s="252"/>
      <c r="J63" s="252"/>
      <c r="K63" s="252"/>
      <c r="L63" s="252">
        <f>'Energy Star'!L80</f>
        <v>1385</v>
      </c>
      <c r="M63" s="252">
        <f>'Energy Star'!M80</f>
        <v>3748.3</v>
      </c>
      <c r="N63" s="252">
        <f>'Energy Star'!N80</f>
        <v>3765.8</v>
      </c>
      <c r="O63" s="252">
        <f>'Energy Star'!O80</f>
        <v>2846.1</v>
      </c>
      <c r="P63" s="252">
        <f>'Energy Star'!P80</f>
        <v>2660</v>
      </c>
      <c r="Q63" s="252">
        <f>'Energy Star'!Q80</f>
        <v>2614.8299999996457</v>
      </c>
      <c r="R63" s="252">
        <f t="shared" si="18"/>
        <v>17020.029999999646</v>
      </c>
    </row>
    <row r="64" spans="1:18" ht="12.75">
      <c r="A64" s="329" t="s">
        <v>330</v>
      </c>
      <c r="B64" s="252">
        <f t="shared" si="16"/>
        <v>0</v>
      </c>
      <c r="C64" s="252">
        <f t="shared" si="17"/>
        <v>526.9</v>
      </c>
      <c r="D64" s="252"/>
      <c r="E64" s="252"/>
      <c r="F64" s="252"/>
      <c r="G64" s="252"/>
      <c r="H64" s="252"/>
      <c r="I64" s="252"/>
      <c r="J64" s="252"/>
      <c r="K64" s="252"/>
      <c r="L64" s="252"/>
      <c r="M64" s="252">
        <f>'Energy Star'!M81</f>
        <v>526.9</v>
      </c>
      <c r="N64" s="252">
        <f>'Energy Star'!N81</f>
        <v>1005.1</v>
      </c>
      <c r="O64" s="252">
        <f>'Energy Star'!O81</f>
        <v>651.3</v>
      </c>
      <c r="P64" s="252">
        <f>'Energy Star'!P81</f>
        <v>342</v>
      </c>
      <c r="Q64" s="252">
        <f>'Energy Star'!Q81</f>
        <v>347.3541</v>
      </c>
      <c r="R64" s="252">
        <f t="shared" si="18"/>
        <v>2872.6541</v>
      </c>
    </row>
    <row r="65" spans="1:18" ht="12.75">
      <c r="A65" s="329" t="s">
        <v>331</v>
      </c>
      <c r="B65" s="252">
        <f t="shared" si="16"/>
        <v>0</v>
      </c>
      <c r="C65" s="252">
        <f t="shared" si="17"/>
        <v>0</v>
      </c>
      <c r="D65" s="252"/>
      <c r="E65" s="252"/>
      <c r="F65" s="252"/>
      <c r="G65" s="252"/>
      <c r="H65" s="252"/>
      <c r="I65" s="252"/>
      <c r="J65" s="252"/>
      <c r="K65" s="252"/>
      <c r="L65" s="252"/>
      <c r="M65" s="252"/>
      <c r="N65" s="252">
        <f>'Energy Star'!N79</f>
        <v>60.2</v>
      </c>
      <c r="O65" s="252">
        <f>'Energy Star'!O79</f>
        <v>12.9</v>
      </c>
      <c r="P65" s="252">
        <f>'Energy Star'!P79</f>
        <v>83</v>
      </c>
      <c r="Q65" s="252">
        <f>'Energy Star'!Q79</f>
        <v>92.23500000000223</v>
      </c>
      <c r="R65" s="252">
        <f t="shared" si="18"/>
        <v>248.33500000000225</v>
      </c>
    </row>
    <row r="66" spans="1:18" ht="12.75">
      <c r="A66" s="329" t="s">
        <v>332</v>
      </c>
      <c r="B66" s="252">
        <f t="shared" si="16"/>
        <v>0</v>
      </c>
      <c r="C66" s="252">
        <f t="shared" si="17"/>
        <v>0</v>
      </c>
      <c r="D66" s="252"/>
      <c r="E66" s="252"/>
      <c r="F66" s="252"/>
      <c r="G66" s="252"/>
      <c r="H66" s="252"/>
      <c r="I66" s="252"/>
      <c r="J66" s="252"/>
      <c r="K66" s="252"/>
      <c r="L66" s="252"/>
      <c r="M66" s="252"/>
      <c r="N66" s="252">
        <f>'Energy Star'!N82</f>
        <v>32.1</v>
      </c>
      <c r="O66" s="316"/>
      <c r="P66" s="316"/>
      <c r="Q66" s="316"/>
      <c r="R66" s="252">
        <f t="shared" si="18"/>
        <v>32.1</v>
      </c>
    </row>
    <row r="67" spans="1:18" ht="12.75">
      <c r="A67" s="230" t="s">
        <v>158</v>
      </c>
      <c r="B67" s="252">
        <f t="shared" si="16"/>
        <v>0</v>
      </c>
      <c r="C67" s="252">
        <f t="shared" si="17"/>
        <v>1232</v>
      </c>
      <c r="D67" s="252">
        <f>'Energy Star'!D86</f>
        <v>0</v>
      </c>
      <c r="E67" s="252">
        <f>'Energy Star'!E86</f>
        <v>0</v>
      </c>
      <c r="F67" s="252">
        <f>'Energy Star'!F86</f>
        <v>0</v>
      </c>
      <c r="G67" s="252">
        <f>'Energy Star'!G86</f>
        <v>0</v>
      </c>
      <c r="H67" s="252">
        <f>'Energy Star'!H86</f>
        <v>0</v>
      </c>
      <c r="I67" s="252">
        <f>'Energy Star'!I86</f>
        <v>0</v>
      </c>
      <c r="J67" s="252">
        <f>'Home Perf'!D31</f>
        <v>0</v>
      </c>
      <c r="K67" s="252">
        <f>'Home Perf'!E31</f>
        <v>51</v>
      </c>
      <c r="L67" s="252">
        <f>'Home Perf'!F31</f>
        <v>366</v>
      </c>
      <c r="M67" s="252">
        <f>'Home Perf'!G31</f>
        <v>815</v>
      </c>
      <c r="N67" s="252">
        <f>'Home Perf'!H31</f>
        <v>894</v>
      </c>
      <c r="O67" s="252">
        <f>'Home Perf'!I31</f>
        <v>1081</v>
      </c>
      <c r="P67" s="252">
        <f>'Home Perf'!J31</f>
        <v>1551</v>
      </c>
      <c r="Q67" s="252">
        <f>'Home Perf'!K31</f>
        <v>1824.39</v>
      </c>
      <c r="R67" s="252">
        <f t="shared" si="18"/>
        <v>6582.39</v>
      </c>
    </row>
    <row r="68" spans="1:18" ht="12.75">
      <c r="A68" s="29" t="s">
        <v>73</v>
      </c>
      <c r="B68" s="254">
        <f t="shared" si="16"/>
        <v>127527</v>
      </c>
      <c r="C68" s="254">
        <f t="shared" si="17"/>
        <v>139856.6</v>
      </c>
      <c r="D68" s="254">
        <f>SUM(D55:D67)</f>
        <v>10772</v>
      </c>
      <c r="E68" s="254">
        <f aca="true" t="shared" si="19" ref="E68:L68">SUM(E55:E67)</f>
        <v>17240</v>
      </c>
      <c r="F68" s="254">
        <f t="shared" si="19"/>
        <v>28541</v>
      </c>
      <c r="G68" s="254">
        <f t="shared" si="19"/>
        <v>34464</v>
      </c>
      <c r="H68" s="254">
        <f t="shared" si="19"/>
        <v>36510</v>
      </c>
      <c r="I68" s="254">
        <f t="shared" si="19"/>
        <v>23503</v>
      </c>
      <c r="J68" s="254">
        <f t="shared" si="19"/>
        <v>29758</v>
      </c>
      <c r="K68" s="254">
        <f t="shared" si="19"/>
        <v>22930</v>
      </c>
      <c r="L68" s="254">
        <f t="shared" si="19"/>
        <v>26497</v>
      </c>
      <c r="M68" s="254">
        <f>SUM(M55:M67)</f>
        <v>37168.600000000006</v>
      </c>
      <c r="N68" s="254">
        <f>SUM(N55:N67)</f>
        <v>43169.8</v>
      </c>
      <c r="O68" s="254">
        <f>SUM(O55:O67)</f>
        <v>65176.90000000001</v>
      </c>
      <c r="P68" s="254">
        <f>SUM(P55:P67)</f>
        <v>36343</v>
      </c>
      <c r="Q68" s="254">
        <f>SUM(Q55:Q67)</f>
        <v>60375.6056999996</v>
      </c>
      <c r="R68" s="254">
        <f t="shared" si="18"/>
        <v>472448.9056999996</v>
      </c>
    </row>
    <row r="69" spans="1:18" ht="12.75">
      <c r="A69" s="34"/>
      <c r="B69" s="325"/>
      <c r="C69" s="325"/>
      <c r="D69" s="325"/>
      <c r="E69" s="325"/>
      <c r="F69" s="325"/>
      <c r="G69" s="325"/>
      <c r="H69" s="325"/>
      <c r="I69" s="325"/>
      <c r="J69" s="325"/>
      <c r="K69" s="325"/>
      <c r="L69" s="325"/>
      <c r="M69" s="325"/>
      <c r="N69" s="325"/>
      <c r="O69" s="325"/>
      <c r="P69" s="325"/>
      <c r="Q69" s="325"/>
      <c r="R69" s="325"/>
    </row>
    <row r="70" spans="1:18" ht="12.75">
      <c r="A70" s="417" t="s">
        <v>2</v>
      </c>
      <c r="B70" s="254">
        <f>SUM(D70:H70)</f>
        <v>3916</v>
      </c>
      <c r="C70" s="254">
        <f>SUM(I70:M70)</f>
        <v>6521</v>
      </c>
      <c r="D70" s="254">
        <f>'Low-income'!D37</f>
        <v>1032</v>
      </c>
      <c r="E70" s="254">
        <f>'Low-income'!E37</f>
        <v>627</v>
      </c>
      <c r="F70" s="254">
        <f>'Low-income'!F37</f>
        <v>868</v>
      </c>
      <c r="G70" s="254">
        <f>'Low-income'!G37</f>
        <v>820</v>
      </c>
      <c r="H70" s="254">
        <f>'Low-income'!H37</f>
        <v>569</v>
      </c>
      <c r="I70" s="254">
        <f>'Low-income'!I37</f>
        <v>1645</v>
      </c>
      <c r="J70" s="254">
        <f>'Low-income'!J37</f>
        <v>1600</v>
      </c>
      <c r="K70" s="254">
        <f>'Low-income'!K37</f>
        <v>1268</v>
      </c>
      <c r="L70" s="254">
        <f>'Low-income'!L37</f>
        <v>1071</v>
      </c>
      <c r="M70" s="254">
        <f>'Low-income'!M37</f>
        <v>937</v>
      </c>
      <c r="N70" s="254">
        <f>'Low-income'!N37</f>
        <v>1072</v>
      </c>
      <c r="O70" s="254">
        <f>'Low-income'!O37</f>
        <v>1368</v>
      </c>
      <c r="P70" s="254">
        <f>'Low-income'!P37</f>
        <v>601</v>
      </c>
      <c r="Q70" s="254">
        <f>'Low-income'!Q37</f>
        <v>545.18</v>
      </c>
      <c r="R70" s="252">
        <f>SUM(D70:Q70)</f>
        <v>14023.18</v>
      </c>
    </row>
    <row r="71" spans="1:18" ht="12.75">
      <c r="A71" s="231"/>
      <c r="B71" s="268"/>
      <c r="C71" s="268"/>
      <c r="D71" s="268"/>
      <c r="E71" s="268"/>
      <c r="F71" s="268"/>
      <c r="G71" s="268"/>
      <c r="H71" s="268"/>
      <c r="I71" s="268"/>
      <c r="J71" s="268"/>
      <c r="K71" s="268"/>
      <c r="L71" s="268"/>
      <c r="M71" s="268"/>
      <c r="N71" s="268"/>
      <c r="O71" s="268"/>
      <c r="P71" s="268"/>
      <c r="Q71" s="268"/>
      <c r="R71" s="268"/>
    </row>
    <row r="72" spans="1:18" ht="12.75">
      <c r="A72" s="330" t="s">
        <v>49</v>
      </c>
      <c r="B72" s="252">
        <f aca="true" t="shared" si="20" ref="B72:B82">SUM(D72:H72)</f>
        <v>9928</v>
      </c>
      <c r="C72" s="252">
        <f aca="true" t="shared" si="21" ref="C72:C82">SUM(I72:M72)</f>
        <v>11906</v>
      </c>
      <c r="D72" s="252"/>
      <c r="E72" s="252"/>
      <c r="F72" s="252"/>
      <c r="G72" s="252">
        <f>'C&amp;I'!G62</f>
        <v>6380</v>
      </c>
      <c r="H72" s="252">
        <f>'C&amp;I'!H62</f>
        <v>3548</v>
      </c>
      <c r="I72" s="252">
        <f>'C&amp;I'!I62</f>
        <v>3861</v>
      </c>
      <c r="J72" s="252">
        <f>'C&amp;I'!J62</f>
        <v>1796</v>
      </c>
      <c r="K72" s="252">
        <f>'C&amp;I'!K62</f>
        <v>1399</v>
      </c>
      <c r="L72" s="252">
        <f>'C&amp;I'!L62</f>
        <v>2935</v>
      </c>
      <c r="M72" s="252">
        <f>'C&amp;I'!M62</f>
        <v>1915</v>
      </c>
      <c r="N72" s="252">
        <f>'C&amp;I'!N62</f>
        <v>4650</v>
      </c>
      <c r="O72" s="252">
        <f>'C&amp;I'!O62</f>
        <v>1736</v>
      </c>
      <c r="P72" s="252">
        <f>'C&amp;I'!P62</f>
        <v>678</v>
      </c>
      <c r="Q72" s="252">
        <f>'C&amp;I'!Q62</f>
        <v>1101</v>
      </c>
      <c r="R72" s="252">
        <f>SUM(D72:Q72)</f>
        <v>29999</v>
      </c>
    </row>
    <row r="73" spans="1:18" ht="12.75">
      <c r="A73" s="331" t="s">
        <v>52</v>
      </c>
      <c r="B73" s="252">
        <f t="shared" si="20"/>
        <v>62229</v>
      </c>
      <c r="C73" s="252">
        <f t="shared" si="21"/>
        <v>87176</v>
      </c>
      <c r="D73" s="252"/>
      <c r="E73" s="252"/>
      <c r="F73" s="252"/>
      <c r="G73" s="252">
        <f>'C&amp;I'!G63</f>
        <v>33751</v>
      </c>
      <c r="H73" s="252">
        <f>'C&amp;I'!H63</f>
        <v>28478</v>
      </c>
      <c r="I73" s="252">
        <f>'C&amp;I'!I63</f>
        <v>21539</v>
      </c>
      <c r="J73" s="252">
        <f>'C&amp;I'!J63</f>
        <v>15252</v>
      </c>
      <c r="K73" s="252">
        <f>'C&amp;I'!K63</f>
        <v>14186</v>
      </c>
      <c r="L73" s="252">
        <f>'C&amp;I'!L63</f>
        <v>15312</v>
      </c>
      <c r="M73" s="252">
        <f>'C&amp;I'!M63</f>
        <v>20887</v>
      </c>
      <c r="N73" s="252">
        <f>'C&amp;I'!N63</f>
        <v>69567</v>
      </c>
      <c r="O73" s="252">
        <f>'C&amp;I'!O63</f>
        <v>28158</v>
      </c>
      <c r="P73" s="252">
        <f>'C&amp;I'!P63</f>
        <v>20492</v>
      </c>
      <c r="Q73" s="252">
        <f>'C&amp;I'!Q63</f>
        <v>30191</v>
      </c>
      <c r="R73" s="252">
        <f>SUM(D73:Q73)</f>
        <v>297813</v>
      </c>
    </row>
    <row r="74" spans="1:18" ht="12.75">
      <c r="A74" s="331" t="s">
        <v>316</v>
      </c>
      <c r="B74" s="252">
        <f t="shared" si="20"/>
        <v>7555</v>
      </c>
      <c r="C74" s="252">
        <f t="shared" si="21"/>
        <v>2742</v>
      </c>
      <c r="D74" s="252"/>
      <c r="E74" s="252"/>
      <c r="F74" s="252"/>
      <c r="G74" s="252">
        <f>'C&amp;I'!G64</f>
        <v>3199</v>
      </c>
      <c r="H74" s="252">
        <f>'C&amp;I'!H64</f>
        <v>4356</v>
      </c>
      <c r="I74" s="252">
        <f>'C&amp;I'!I64</f>
        <v>901</v>
      </c>
      <c r="J74" s="252">
        <f>'C&amp;I'!J64</f>
        <v>454</v>
      </c>
      <c r="K74" s="252">
        <f>'C&amp;I'!K64</f>
        <v>853</v>
      </c>
      <c r="L74" s="252">
        <f>'C&amp;I'!L64</f>
        <v>534</v>
      </c>
      <c r="M74" s="316"/>
      <c r="N74" s="316"/>
      <c r="O74" s="316"/>
      <c r="P74" s="316"/>
      <c r="Q74" s="316"/>
      <c r="R74" s="252">
        <f>SUM(D74:Q74)</f>
        <v>10297</v>
      </c>
    </row>
    <row r="75" spans="1:18" ht="12.75">
      <c r="A75" s="180" t="s">
        <v>236</v>
      </c>
      <c r="B75" s="252">
        <f t="shared" si="20"/>
        <v>0</v>
      </c>
      <c r="C75" s="252">
        <f t="shared" si="21"/>
        <v>62</v>
      </c>
      <c r="D75" s="252"/>
      <c r="E75" s="252"/>
      <c r="F75" s="252"/>
      <c r="G75" s="252"/>
      <c r="H75" s="252"/>
      <c r="I75" s="252"/>
      <c r="J75" s="252"/>
      <c r="K75" s="252"/>
      <c r="L75" s="252"/>
      <c r="M75" s="252">
        <f>'P4P '!J37</f>
        <v>62</v>
      </c>
      <c r="N75" s="252">
        <f>'P4P '!K37</f>
        <v>2514</v>
      </c>
      <c r="O75" s="252">
        <f>'P4P '!L35</f>
        <v>7626</v>
      </c>
      <c r="P75" s="252">
        <f>'P4P '!M35</f>
        <v>5847</v>
      </c>
      <c r="Q75" s="252">
        <f>'P4P '!N35</f>
        <v>5613</v>
      </c>
      <c r="R75" s="252">
        <f>SUM(D75:Q75)</f>
        <v>21662</v>
      </c>
    </row>
    <row r="76" spans="1:18" ht="12.75">
      <c r="A76" s="180" t="s">
        <v>340</v>
      </c>
      <c r="B76" s="252">
        <f t="shared" si="20"/>
        <v>0</v>
      </c>
      <c r="C76" s="252">
        <f t="shared" si="21"/>
        <v>0</v>
      </c>
      <c r="D76" s="252"/>
      <c r="E76" s="252"/>
      <c r="F76" s="252"/>
      <c r="G76" s="252"/>
      <c r="H76" s="252"/>
      <c r="I76" s="252"/>
      <c r="J76" s="252"/>
      <c r="K76" s="252"/>
      <c r="L76" s="252"/>
      <c r="M76" s="252"/>
      <c r="N76" s="252">
        <f>'P4P '!K36</f>
        <v>0</v>
      </c>
      <c r="O76" s="252">
        <f>'P4P '!L36</f>
        <v>0</v>
      </c>
      <c r="P76" s="252">
        <f>'P4P '!M36</f>
        <v>0</v>
      </c>
      <c r="Q76" s="252">
        <f>'P4P '!N36</f>
        <v>0</v>
      </c>
      <c r="R76" s="252">
        <f>SUM(D76:Q76)</f>
        <v>0</v>
      </c>
    </row>
    <row r="77" spans="1:18" ht="12.75">
      <c r="A77" s="180" t="s">
        <v>237</v>
      </c>
      <c r="B77" s="252">
        <f t="shared" si="20"/>
        <v>0</v>
      </c>
      <c r="C77" s="252">
        <f t="shared" si="21"/>
        <v>0</v>
      </c>
      <c r="D77" s="252"/>
      <c r="E77" s="252"/>
      <c r="F77" s="252"/>
      <c r="G77" s="252"/>
      <c r="H77" s="252"/>
      <c r="I77" s="252"/>
      <c r="J77" s="252"/>
      <c r="K77" s="252"/>
      <c r="L77" s="252"/>
      <c r="M77" s="252">
        <f>'P4P NC'!B30</f>
        <v>0</v>
      </c>
      <c r="N77" s="252">
        <f>'P4P NC'!C30</f>
        <v>0</v>
      </c>
      <c r="O77" s="252">
        <f>'P4P NC'!D30</f>
        <v>0</v>
      </c>
      <c r="P77" s="252">
        <f>'P4P NC'!E30</f>
        <v>990</v>
      </c>
      <c r="Q77" s="252">
        <f>'P4P NC'!F30</f>
        <v>3103</v>
      </c>
      <c r="R77" s="252">
        <f aca="true" t="shared" si="22" ref="R77:R82">SUM(D77:Q77)</f>
        <v>4093</v>
      </c>
    </row>
    <row r="78" spans="1:18" ht="12.75">
      <c r="A78" s="180" t="s">
        <v>183</v>
      </c>
      <c r="B78" s="252">
        <f t="shared" si="20"/>
        <v>0</v>
      </c>
      <c r="C78" s="252">
        <f t="shared" si="21"/>
        <v>1276</v>
      </c>
      <c r="D78" s="252"/>
      <c r="E78" s="252"/>
      <c r="F78" s="252"/>
      <c r="G78" s="252"/>
      <c r="H78" s="252"/>
      <c r="I78" s="252"/>
      <c r="J78" s="252"/>
      <c r="K78" s="252"/>
      <c r="L78" s="252"/>
      <c r="M78" s="252">
        <f>'Direct Install'!D26</f>
        <v>1276</v>
      </c>
      <c r="N78" s="252">
        <f>'Direct Install'!E26</f>
        <v>8693</v>
      </c>
      <c r="O78" s="252">
        <f>'Direct Install'!F26</f>
        <v>14288</v>
      </c>
      <c r="P78" s="252">
        <f>'Direct Install'!G26</f>
        <v>9390</v>
      </c>
      <c r="Q78" s="252">
        <f>'Direct Install'!H26</f>
        <v>12186</v>
      </c>
      <c r="R78" s="252">
        <f t="shared" si="22"/>
        <v>45833</v>
      </c>
    </row>
    <row r="79" spans="1:18" ht="12.75">
      <c r="A79" s="180" t="s">
        <v>341</v>
      </c>
      <c r="B79" s="252">
        <f t="shared" si="20"/>
        <v>0</v>
      </c>
      <c r="C79" s="252">
        <f t="shared" si="21"/>
        <v>0</v>
      </c>
      <c r="D79" s="252"/>
      <c r="E79" s="252"/>
      <c r="F79" s="252"/>
      <c r="G79" s="252"/>
      <c r="H79" s="252"/>
      <c r="I79" s="252"/>
      <c r="J79" s="252"/>
      <c r="K79" s="252"/>
      <c r="L79" s="252"/>
      <c r="M79" s="252"/>
      <c r="N79" s="252">
        <f>LEUP!B26</f>
        <v>0</v>
      </c>
      <c r="O79" s="252">
        <f>LEUP!C26</f>
        <v>440</v>
      </c>
      <c r="P79" s="252">
        <f>LEUP!D26</f>
        <v>5904</v>
      </c>
      <c r="Q79" s="252">
        <f>LEUP!E26</f>
        <v>872</v>
      </c>
      <c r="R79" s="252">
        <f t="shared" si="22"/>
        <v>7216</v>
      </c>
    </row>
    <row r="80" spans="1:18" ht="12.75">
      <c r="A80" s="180" t="s">
        <v>357</v>
      </c>
      <c r="B80" s="252">
        <f t="shared" si="20"/>
        <v>0</v>
      </c>
      <c r="C80" s="252">
        <f t="shared" si="21"/>
        <v>305</v>
      </c>
      <c r="D80" s="252"/>
      <c r="E80" s="252"/>
      <c r="F80" s="252"/>
      <c r="G80" s="252"/>
      <c r="H80" s="252"/>
      <c r="I80" s="252"/>
      <c r="J80" s="252"/>
      <c r="K80" s="252">
        <f>'CHP-FuelCell_Lrg-Small'!K38</f>
        <v>30</v>
      </c>
      <c r="L80" s="252">
        <f>'CHP-FuelCell_Lrg-Small'!L38</f>
        <v>0</v>
      </c>
      <c r="M80" s="252">
        <f>'CHP-FuelCell_Lrg-Small'!M38</f>
        <v>275</v>
      </c>
      <c r="N80" s="252">
        <f>'CHP-FuelCell_Lrg-Small'!N38</f>
        <v>0</v>
      </c>
      <c r="O80" s="252">
        <f>'CHP-FuelCell_Lrg-Small'!O38</f>
        <v>0</v>
      </c>
      <c r="P80" s="252">
        <f>'CHP-FuelCell_Lrg-Small'!P38</f>
        <v>0</v>
      </c>
      <c r="Q80" s="252">
        <f>'CHP-FuelCell_Lrg-Small'!Q38</f>
        <v>0</v>
      </c>
      <c r="R80" s="252">
        <f t="shared" si="22"/>
        <v>305</v>
      </c>
    </row>
    <row r="81" spans="1:18" ht="12.75">
      <c r="A81" s="29" t="s">
        <v>203</v>
      </c>
      <c r="B81" s="254">
        <f t="shared" si="20"/>
        <v>151121</v>
      </c>
      <c r="C81" s="254">
        <f t="shared" si="21"/>
        <v>103467</v>
      </c>
      <c r="D81" s="254">
        <f>'C&amp;I'!D65</f>
        <v>6364</v>
      </c>
      <c r="E81" s="254">
        <f>'C&amp;I'!E65</f>
        <v>26750</v>
      </c>
      <c r="F81" s="254">
        <f>'C&amp;I'!F65</f>
        <v>38155</v>
      </c>
      <c r="G81" s="254">
        <f>'C&amp;I'!G65</f>
        <v>43470</v>
      </c>
      <c r="H81" s="254">
        <f aca="true" t="shared" si="23" ref="H81:M81">SUM(H72:H80)</f>
        <v>36382</v>
      </c>
      <c r="I81" s="254">
        <f t="shared" si="23"/>
        <v>26301</v>
      </c>
      <c r="J81" s="254">
        <f t="shared" si="23"/>
        <v>17502</v>
      </c>
      <c r="K81" s="254">
        <f t="shared" si="23"/>
        <v>16468</v>
      </c>
      <c r="L81" s="254">
        <f t="shared" si="23"/>
        <v>18781</v>
      </c>
      <c r="M81" s="254">
        <f t="shared" si="23"/>
        <v>24415</v>
      </c>
      <c r="N81" s="254">
        <f>SUM(N72:N80)</f>
        <v>85424</v>
      </c>
      <c r="O81" s="254">
        <f>SUM(O72:O80)</f>
        <v>52248</v>
      </c>
      <c r="P81" s="254">
        <f>SUM(P72:P80)</f>
        <v>43301</v>
      </c>
      <c r="Q81" s="254">
        <f>SUM(Q72:Q80)</f>
        <v>53066</v>
      </c>
      <c r="R81" s="254">
        <f t="shared" si="22"/>
        <v>488627</v>
      </c>
    </row>
    <row r="82" spans="1:18" ht="12.75">
      <c r="A82" s="29" t="s">
        <v>392</v>
      </c>
      <c r="B82" s="254">
        <f t="shared" si="20"/>
        <v>282564</v>
      </c>
      <c r="C82" s="254">
        <f t="shared" si="21"/>
        <v>249844.6</v>
      </c>
      <c r="D82" s="254">
        <f aca="true" t="shared" si="24" ref="D82:P82">D81+D70+D68</f>
        <v>18168</v>
      </c>
      <c r="E82" s="254">
        <f t="shared" si="24"/>
        <v>44617</v>
      </c>
      <c r="F82" s="254">
        <f t="shared" si="24"/>
        <v>67564</v>
      </c>
      <c r="G82" s="254">
        <f t="shared" si="24"/>
        <v>78754</v>
      </c>
      <c r="H82" s="254">
        <f t="shared" si="24"/>
        <v>73461</v>
      </c>
      <c r="I82" s="254">
        <f t="shared" si="24"/>
        <v>51449</v>
      </c>
      <c r="J82" s="254">
        <f t="shared" si="24"/>
        <v>48860</v>
      </c>
      <c r="K82" s="254">
        <f t="shared" si="24"/>
        <v>40666</v>
      </c>
      <c r="L82" s="254">
        <f t="shared" si="24"/>
        <v>46349</v>
      </c>
      <c r="M82" s="254">
        <f t="shared" si="24"/>
        <v>62520.600000000006</v>
      </c>
      <c r="N82" s="254">
        <f t="shared" si="24"/>
        <v>129665.8</v>
      </c>
      <c r="O82" s="254">
        <f t="shared" si="24"/>
        <v>118792.90000000001</v>
      </c>
      <c r="P82" s="254">
        <f t="shared" si="24"/>
        <v>80245</v>
      </c>
      <c r="Q82" s="254">
        <f>Q81+Q70+Q68</f>
        <v>113986.7856999996</v>
      </c>
      <c r="R82" s="254">
        <f t="shared" si="22"/>
        <v>975099.0856999997</v>
      </c>
    </row>
    <row r="83" spans="1:18" ht="12.75">
      <c r="A83" s="67"/>
      <c r="B83" s="325"/>
      <c r="C83" s="325"/>
      <c r="D83" s="325"/>
      <c r="E83" s="325"/>
      <c r="F83" s="325"/>
      <c r="G83" s="325"/>
      <c r="H83" s="325"/>
      <c r="I83" s="325"/>
      <c r="J83" s="325"/>
      <c r="K83" s="325"/>
      <c r="L83" s="325"/>
      <c r="M83" s="325"/>
      <c r="N83" s="325"/>
      <c r="O83" s="325"/>
      <c r="P83" s="325"/>
      <c r="Q83" s="325"/>
      <c r="R83" s="311"/>
    </row>
    <row r="84" spans="1:18" ht="12.75">
      <c r="A84" s="67" t="s">
        <v>430</v>
      </c>
      <c r="B84" s="325"/>
      <c r="C84" s="325"/>
      <c r="D84" s="325"/>
      <c r="E84" s="325"/>
      <c r="F84" s="325"/>
      <c r="G84" s="325"/>
      <c r="H84" s="325"/>
      <c r="I84" s="325"/>
      <c r="J84" s="325"/>
      <c r="K84" s="325"/>
      <c r="L84" s="325"/>
      <c r="M84" s="325"/>
      <c r="N84" s="325"/>
      <c r="O84" s="325"/>
      <c r="P84" s="325"/>
      <c r="Q84" s="325"/>
      <c r="R84" s="311"/>
    </row>
    <row r="85" spans="1:18" ht="12.75">
      <c r="A85" s="180" t="s">
        <v>340</v>
      </c>
      <c r="B85" s="253">
        <f>SUM(D85:H85)</f>
        <v>0</v>
      </c>
      <c r="C85" s="253">
        <f>SUM(I85:M85)</f>
        <v>0</v>
      </c>
      <c r="D85" s="253"/>
      <c r="E85" s="253"/>
      <c r="F85" s="253"/>
      <c r="G85" s="253"/>
      <c r="H85" s="253"/>
      <c r="I85" s="253"/>
      <c r="J85" s="253"/>
      <c r="K85" s="253"/>
      <c r="L85" s="253"/>
      <c r="M85" s="253"/>
      <c r="N85" s="479"/>
      <c r="O85" s="253">
        <f>'P4P '!L45</f>
        <v>2000</v>
      </c>
      <c r="P85" s="253">
        <f>'P4P '!M45</f>
        <v>1795</v>
      </c>
      <c r="Q85" s="253">
        <f>'P4P '!N45</f>
        <v>0</v>
      </c>
      <c r="R85" s="253"/>
    </row>
    <row r="86" spans="1:18" ht="12.75">
      <c r="A86" s="180" t="s">
        <v>357</v>
      </c>
      <c r="B86" s="253">
        <f>SUM(D86:H86)</f>
        <v>0</v>
      </c>
      <c r="C86" s="253">
        <f>SUM(I86:M86)</f>
        <v>0</v>
      </c>
      <c r="D86" s="253"/>
      <c r="E86" s="253"/>
      <c r="F86" s="253"/>
      <c r="G86" s="253"/>
      <c r="H86" s="253"/>
      <c r="I86" s="253"/>
      <c r="J86" s="253"/>
      <c r="K86" s="253"/>
      <c r="L86" s="253"/>
      <c r="M86" s="253"/>
      <c r="N86" s="479"/>
      <c r="O86" s="253">
        <f>'CHP-FuelCell_Lrg-Small'!O54</f>
        <v>0</v>
      </c>
      <c r="P86" s="253">
        <f>'CHP-FuelCell_Lrg-Small'!P54</f>
        <v>410</v>
      </c>
      <c r="Q86" s="253">
        <f>'CHP-FuelCell_Lrg-Small'!Q54</f>
        <v>5770</v>
      </c>
      <c r="R86" s="253"/>
    </row>
    <row r="87" spans="1:18" ht="12.75">
      <c r="A87" s="48" t="s">
        <v>1</v>
      </c>
      <c r="B87" s="254">
        <f>SUM(D87:H87)</f>
        <v>140</v>
      </c>
      <c r="C87" s="254">
        <f>SUM(I87:M87)</f>
        <v>19611</v>
      </c>
      <c r="D87" s="254">
        <f>'CHP-FuelCell_Lrg-Small'!D54</f>
        <v>0</v>
      </c>
      <c r="E87" s="254">
        <f>'CHP-FuelCell_Lrg-Small'!E54</f>
        <v>0</v>
      </c>
      <c r="F87" s="254">
        <f>'CHP-FuelCell_Lrg-Small'!F54</f>
        <v>0</v>
      </c>
      <c r="G87" s="254">
        <f>'CHP-FuelCell_Lrg-Small'!G54</f>
        <v>0</v>
      </c>
      <c r="H87" s="254">
        <f>'CHP-FuelCell_Lrg-Small'!H54</f>
        <v>140</v>
      </c>
      <c r="I87" s="254">
        <f>'CHP-FuelCell_Lrg-Small'!I54</f>
        <v>3175</v>
      </c>
      <c r="J87" s="254">
        <f>'CHP-FuelCell_Lrg-Small'!J54</f>
        <v>4925</v>
      </c>
      <c r="K87" s="254">
        <f>'CHP-FuelCell_Lrg-Small'!K54</f>
        <v>1276</v>
      </c>
      <c r="L87" s="254">
        <f>'CHP-FuelCell_Lrg-Small'!L54</f>
        <v>4700</v>
      </c>
      <c r="M87" s="254">
        <f>'CHP-FuelCell_Lrg-Small'!M54</f>
        <v>5535</v>
      </c>
      <c r="N87" s="254">
        <f>'CHP-FuelCell_Lrg-Small'!N54</f>
        <v>0</v>
      </c>
      <c r="O87" s="254">
        <f>SUM(O85:O86)</f>
        <v>2000</v>
      </c>
      <c r="P87" s="254">
        <f>SUM(P85:P86)</f>
        <v>2205</v>
      </c>
      <c r="Q87" s="254">
        <f>SUM(Q85:Q86)</f>
        <v>5770</v>
      </c>
      <c r="R87" s="254">
        <f>SUM(D87:Q87)</f>
        <v>29726</v>
      </c>
    </row>
    <row r="89" spans="1:18" ht="12.75">
      <c r="A89" s="75" t="s">
        <v>431</v>
      </c>
      <c r="B89" s="87"/>
      <c r="C89" s="87"/>
      <c r="D89" s="87" t="s">
        <v>397</v>
      </c>
      <c r="E89" s="87" t="s">
        <v>397</v>
      </c>
      <c r="F89" s="87" t="s">
        <v>397</v>
      </c>
      <c r="G89" s="87" t="s">
        <v>397</v>
      </c>
      <c r="H89" s="87" t="s">
        <v>397</v>
      </c>
      <c r="I89" s="87"/>
      <c r="J89" s="87"/>
      <c r="K89" s="87"/>
      <c r="L89" s="87"/>
      <c r="M89" s="87"/>
      <c r="N89" s="87"/>
      <c r="O89" s="87"/>
      <c r="P89" s="87"/>
      <c r="Q89" s="87"/>
      <c r="R89" s="87"/>
    </row>
    <row r="90" spans="1:18" ht="12.75">
      <c r="A90" s="83" t="s">
        <v>76</v>
      </c>
      <c r="B90" s="252">
        <f aca="true" t="shared" si="25" ref="B90:B96">SUM(D90:H90)</f>
        <v>12923</v>
      </c>
      <c r="C90" s="252">
        <f aca="true" t="shared" si="26" ref="C90:C96">SUM(I90:M90)</f>
        <v>81815</v>
      </c>
      <c r="D90" s="252">
        <f>CORE!C27</f>
        <v>8</v>
      </c>
      <c r="E90" s="252">
        <f>CORE!D27</f>
        <v>1142</v>
      </c>
      <c r="F90" s="252">
        <f>CORE!E27</f>
        <v>1743</v>
      </c>
      <c r="G90" s="252">
        <f>CORE!F27</f>
        <v>2644</v>
      </c>
      <c r="H90" s="252">
        <f>CORE!G27</f>
        <v>7386</v>
      </c>
      <c r="I90" s="252">
        <f>CORE!H27</f>
        <v>18725</v>
      </c>
      <c r="J90" s="252">
        <f>CORE!I27</f>
        <v>20307</v>
      </c>
      <c r="K90" s="252">
        <f>CORE!J27</f>
        <v>14772</v>
      </c>
      <c r="L90" s="252">
        <f>CORE!K27</f>
        <v>12860</v>
      </c>
      <c r="M90" s="252">
        <f>CORE!L27</f>
        <v>15151</v>
      </c>
      <c r="N90" s="252">
        <f>CORE!M27</f>
        <v>5800</v>
      </c>
      <c r="O90" s="252">
        <f>CORE!N27</f>
        <v>2314</v>
      </c>
      <c r="P90" s="252">
        <v>0</v>
      </c>
      <c r="Q90" s="252">
        <v>0</v>
      </c>
      <c r="R90" s="252">
        <f aca="true" t="shared" si="27" ref="R90:R96">SUM(D90:Q90)</f>
        <v>102852</v>
      </c>
    </row>
    <row r="91" spans="1:18" ht="12.75">
      <c r="A91" s="83" t="s">
        <v>151</v>
      </c>
      <c r="B91" s="252">
        <f t="shared" si="25"/>
        <v>0</v>
      </c>
      <c r="C91" s="252">
        <f t="shared" si="26"/>
        <v>0</v>
      </c>
      <c r="D91" s="252"/>
      <c r="E91" s="252"/>
      <c r="F91" s="252"/>
      <c r="G91" s="252"/>
      <c r="H91" s="252"/>
      <c r="I91" s="252"/>
      <c r="J91" s="252"/>
      <c r="K91" s="252"/>
      <c r="L91" s="252"/>
      <c r="M91" s="252"/>
      <c r="N91" s="316"/>
      <c r="O91" s="316"/>
      <c r="P91" s="316"/>
      <c r="Q91" s="316"/>
      <c r="R91" s="252">
        <f t="shared" si="27"/>
        <v>0</v>
      </c>
    </row>
    <row r="92" spans="1:18" ht="12.75">
      <c r="A92" s="83" t="s">
        <v>199</v>
      </c>
      <c r="B92" s="252">
        <f t="shared" si="25"/>
        <v>0</v>
      </c>
      <c r="C92" s="252">
        <f t="shared" si="26"/>
        <v>18276</v>
      </c>
      <c r="D92" s="252"/>
      <c r="E92" s="252"/>
      <c r="F92" s="252"/>
      <c r="G92" s="252"/>
      <c r="H92" s="252"/>
      <c r="I92" s="252"/>
      <c r="J92" s="252"/>
      <c r="K92" s="252"/>
      <c r="L92" s="252">
        <f>REIP!B26</f>
        <v>2149</v>
      </c>
      <c r="M92" s="252">
        <f>REIP!C26</f>
        <v>16127</v>
      </c>
      <c r="N92" s="252">
        <f>REIP!D26</f>
        <v>17842</v>
      </c>
      <c r="O92" s="252">
        <f>REIP!E26</f>
        <v>2251</v>
      </c>
      <c r="P92" s="252">
        <f>REIP!F26</f>
        <v>312</v>
      </c>
      <c r="Q92" s="252">
        <f>REIP!G26</f>
        <v>0</v>
      </c>
      <c r="R92" s="252">
        <f t="shared" si="27"/>
        <v>38681</v>
      </c>
    </row>
    <row r="93" spans="1:18" ht="12.75">
      <c r="A93" s="55" t="s">
        <v>251</v>
      </c>
      <c r="B93" s="252">
        <f t="shared" si="25"/>
        <v>0</v>
      </c>
      <c r="C93" s="252">
        <f t="shared" si="26"/>
        <v>0</v>
      </c>
      <c r="D93" s="252"/>
      <c r="E93" s="252"/>
      <c r="F93" s="252"/>
      <c r="G93" s="252"/>
      <c r="H93" s="252"/>
      <c r="I93" s="252"/>
      <c r="J93" s="252"/>
      <c r="K93" s="252"/>
      <c r="L93" s="252">
        <f>'RE Grid Connected'!B23</f>
        <v>0</v>
      </c>
      <c r="M93" s="252">
        <f>'RE Grid Connected'!C23</f>
        <v>0</v>
      </c>
      <c r="N93" s="252">
        <f>'RE Grid Connected'!D23</f>
        <v>0</v>
      </c>
      <c r="O93" s="252">
        <f>'RE Grid Connected'!E23</f>
        <v>0</v>
      </c>
      <c r="P93" s="252">
        <f>'RE Grid Connected'!F23</f>
        <v>2000</v>
      </c>
      <c r="Q93" s="252">
        <f>'RE Grid Connected'!G23</f>
        <v>0</v>
      </c>
      <c r="R93" s="252">
        <f t="shared" si="27"/>
        <v>2000</v>
      </c>
    </row>
    <row r="94" spans="1:18" ht="12.75">
      <c r="A94" s="83" t="s">
        <v>116</v>
      </c>
      <c r="B94" s="252">
        <f t="shared" si="25"/>
        <v>1600</v>
      </c>
      <c r="C94" s="252">
        <f t="shared" si="26"/>
        <v>25900</v>
      </c>
      <c r="D94" s="252">
        <v>0</v>
      </c>
      <c r="E94" s="252">
        <v>0</v>
      </c>
      <c r="F94" s="252">
        <v>0</v>
      </c>
      <c r="G94" s="252">
        <v>0</v>
      </c>
      <c r="H94" s="252">
        <f>'RE Grants and Financing'!F42</f>
        <v>1600</v>
      </c>
      <c r="I94" s="252">
        <f>'RE Grants and Financing'!G42</f>
        <v>0</v>
      </c>
      <c r="J94" s="252">
        <f>'RE Grants and Financing'!H42</f>
        <v>8600</v>
      </c>
      <c r="K94" s="252">
        <f>'RE Grants and Financing'!I42</f>
        <v>9600</v>
      </c>
      <c r="L94" s="252">
        <f>'RE Grants and Financing'!J42</f>
        <v>1500</v>
      </c>
      <c r="M94" s="252">
        <f>'RE Grants and Financing'!K42</f>
        <v>6200</v>
      </c>
      <c r="N94" s="316"/>
      <c r="O94" s="316"/>
      <c r="P94" s="316"/>
      <c r="Q94" s="316"/>
      <c r="R94" s="252">
        <f t="shared" si="27"/>
        <v>27500</v>
      </c>
    </row>
    <row r="95" spans="1:18" ht="12.75">
      <c r="A95" s="83" t="s">
        <v>164</v>
      </c>
      <c r="B95" s="252">
        <f t="shared" si="25"/>
        <v>0</v>
      </c>
      <c r="C95" s="252">
        <f t="shared" si="26"/>
        <v>188481</v>
      </c>
      <c r="D95" s="252"/>
      <c r="E95" s="252"/>
      <c r="F95" s="252"/>
      <c r="G95" s="252"/>
      <c r="H95" s="252"/>
      <c r="I95" s="252"/>
      <c r="J95" s="252">
        <f>REC!B23</f>
        <v>13</v>
      </c>
      <c r="K95" s="252">
        <f>REC!C23</f>
        <v>8433</v>
      </c>
      <c r="L95" s="252">
        <f>REC!D23</f>
        <v>34269</v>
      </c>
      <c r="M95" s="252">
        <f>REC!E23</f>
        <v>145766</v>
      </c>
      <c r="N95" s="252">
        <f>REC!F23</f>
        <v>294745</v>
      </c>
      <c r="O95" s="252">
        <f>REC!G23</f>
        <v>528585</v>
      </c>
      <c r="P95" s="252">
        <f>REC!H23</f>
        <v>205085</v>
      </c>
      <c r="Q95" s="252">
        <f>REC!I23</f>
        <v>181550.28999999998</v>
      </c>
      <c r="R95" s="252">
        <f t="shared" si="27"/>
        <v>1398446.29</v>
      </c>
    </row>
    <row r="96" spans="1:18" ht="12.75">
      <c r="A96" s="73" t="s">
        <v>1</v>
      </c>
      <c r="B96" s="254">
        <f t="shared" si="25"/>
        <v>14523</v>
      </c>
      <c r="C96" s="254">
        <f t="shared" si="26"/>
        <v>314472</v>
      </c>
      <c r="D96" s="254">
        <f>SUM(D90:D95)</f>
        <v>8</v>
      </c>
      <c r="E96" s="254">
        <f aca="true" t="shared" si="28" ref="E96:J96">SUM(E90:E95)</f>
        <v>1142</v>
      </c>
      <c r="F96" s="254">
        <f t="shared" si="28"/>
        <v>1743</v>
      </c>
      <c r="G96" s="254">
        <f t="shared" si="28"/>
        <v>2644</v>
      </c>
      <c r="H96" s="254">
        <f t="shared" si="28"/>
        <v>8986</v>
      </c>
      <c r="I96" s="254">
        <f t="shared" si="28"/>
        <v>18725</v>
      </c>
      <c r="J96" s="254">
        <f t="shared" si="28"/>
        <v>28920</v>
      </c>
      <c r="K96" s="254">
        <f aca="true" t="shared" si="29" ref="K96:P96">SUM(K90:K95)</f>
        <v>32805</v>
      </c>
      <c r="L96" s="254">
        <f t="shared" si="29"/>
        <v>50778</v>
      </c>
      <c r="M96" s="254">
        <f t="shared" si="29"/>
        <v>183244</v>
      </c>
      <c r="N96" s="254">
        <f t="shared" si="29"/>
        <v>318387</v>
      </c>
      <c r="O96" s="254">
        <f t="shared" si="29"/>
        <v>533150</v>
      </c>
      <c r="P96" s="254">
        <f t="shared" si="29"/>
        <v>207397</v>
      </c>
      <c r="Q96" s="254">
        <f>SUM(Q90:Q95)</f>
        <v>181550.28999999998</v>
      </c>
      <c r="R96" s="254">
        <f t="shared" si="27"/>
        <v>1569479.29</v>
      </c>
    </row>
    <row r="97" spans="1:18" ht="12.75">
      <c r="A97" s="67" t="s">
        <v>88</v>
      </c>
      <c r="B97" s="69"/>
      <c r="C97" s="69"/>
      <c r="D97" s="69"/>
      <c r="E97" s="69"/>
      <c r="F97" s="69"/>
      <c r="G97" s="69"/>
      <c r="H97" s="69"/>
      <c r="I97" s="69"/>
      <c r="J97" s="69"/>
      <c r="K97" s="69"/>
      <c r="L97" s="69"/>
      <c r="M97" s="69"/>
      <c r="N97" s="69"/>
      <c r="O97" s="69"/>
      <c r="P97" s="69"/>
      <c r="Q97" s="69"/>
      <c r="R97" s="69"/>
    </row>
    <row r="98" spans="1:18" ht="12.75">
      <c r="A98" s="48" t="s">
        <v>110</v>
      </c>
      <c r="B98" s="254">
        <f>SUM(D98:H98)</f>
        <v>768888</v>
      </c>
      <c r="C98" s="254">
        <f>SUM(I98:M98)</f>
        <v>0</v>
      </c>
      <c r="D98" s="149">
        <f>'Appliance Cycling'!B15</f>
        <v>204971</v>
      </c>
      <c r="E98" s="149">
        <f>'Appliance Cycling'!C15</f>
        <v>196222</v>
      </c>
      <c r="F98" s="149">
        <f>'Appliance Cycling'!D15</f>
        <v>194531</v>
      </c>
      <c r="G98" s="149">
        <f>'Appliance Cycling'!E15</f>
        <v>173164</v>
      </c>
      <c r="H98" s="69"/>
      <c r="I98" s="69"/>
      <c r="J98" s="69"/>
      <c r="K98" s="69"/>
      <c r="L98" s="69"/>
      <c r="M98" s="69"/>
      <c r="N98" s="69"/>
      <c r="O98" s="69"/>
      <c r="P98" s="69"/>
      <c r="Q98" s="69"/>
      <c r="R98" s="69"/>
    </row>
    <row r="99" spans="1:18" ht="12.75">
      <c r="A99" s="332" t="s">
        <v>291</v>
      </c>
      <c r="B99" s="325"/>
      <c r="C99" s="325"/>
      <c r="D99" s="69"/>
      <c r="E99" s="69"/>
      <c r="F99" s="69"/>
      <c r="G99" s="69"/>
      <c r="H99" s="69"/>
      <c r="I99" s="69"/>
      <c r="J99" s="69"/>
      <c r="K99" s="69"/>
      <c r="L99" s="69"/>
      <c r="M99" s="69"/>
      <c r="N99" s="69"/>
      <c r="O99" s="69"/>
      <c r="P99" s="69"/>
      <c r="Q99" s="69"/>
      <c r="R99" s="69"/>
    </row>
    <row r="100" spans="2:18" ht="12.75">
      <c r="B100" s="69"/>
      <c r="C100" s="69"/>
      <c r="D100" s="69"/>
      <c r="E100" s="69"/>
      <c r="F100" s="69"/>
      <c r="G100" s="69"/>
      <c r="H100" s="69"/>
      <c r="I100" s="69"/>
      <c r="J100" s="69"/>
      <c r="K100" s="69"/>
      <c r="L100" s="69"/>
      <c r="M100" s="69"/>
      <c r="N100" s="69"/>
      <c r="O100" s="69"/>
      <c r="P100" s="69"/>
      <c r="Q100" s="69"/>
      <c r="R100" s="69"/>
    </row>
    <row r="101" spans="1:18" ht="15">
      <c r="A101" s="410" t="s">
        <v>388</v>
      </c>
      <c r="B101" s="69"/>
      <c r="C101" s="69"/>
      <c r="D101" s="69"/>
      <c r="E101" s="69"/>
      <c r="F101" s="69"/>
      <c r="G101" s="69"/>
      <c r="H101" s="69"/>
      <c r="I101" s="69"/>
      <c r="J101" s="69"/>
      <c r="K101" s="69"/>
      <c r="L101" s="69"/>
      <c r="M101" s="69"/>
      <c r="N101" s="69"/>
      <c r="O101" s="69"/>
      <c r="P101" s="69"/>
      <c r="Q101" s="69"/>
      <c r="R101" s="69"/>
    </row>
    <row r="102" spans="1:18" ht="26.25">
      <c r="A102" s="410" t="s">
        <v>343</v>
      </c>
      <c r="B102" s="208" t="str">
        <f aca="true" t="shared" si="30" ref="B102:R102">B4</f>
        <v>Summary 
2001 to 2005*</v>
      </c>
      <c r="C102" s="208" t="str">
        <f>C4</f>
        <v>Summary 
2006 to 2010*</v>
      </c>
      <c r="D102" s="147">
        <f t="shared" si="30"/>
        <v>2001</v>
      </c>
      <c r="E102" s="147">
        <f t="shared" si="30"/>
        <v>2002</v>
      </c>
      <c r="F102" s="147">
        <f t="shared" si="30"/>
        <v>2003</v>
      </c>
      <c r="G102" s="147">
        <f t="shared" si="30"/>
        <v>2004</v>
      </c>
      <c r="H102" s="147">
        <f t="shared" si="30"/>
        <v>2005</v>
      </c>
      <c r="I102" s="147">
        <f t="shared" si="30"/>
        <v>2006</v>
      </c>
      <c r="J102" s="147">
        <f t="shared" si="30"/>
        <v>2007</v>
      </c>
      <c r="K102" s="147">
        <f t="shared" si="30"/>
        <v>2008</v>
      </c>
      <c r="L102" s="147">
        <f t="shared" si="30"/>
        <v>2009</v>
      </c>
      <c r="M102" s="147">
        <f t="shared" si="30"/>
        <v>2010</v>
      </c>
      <c r="N102" s="147">
        <f t="shared" si="30"/>
        <v>2011</v>
      </c>
      <c r="O102" s="208" t="str">
        <f t="shared" si="30"/>
        <v>(18 month)1
2012-2013</v>
      </c>
      <c r="P102" s="208" t="str">
        <f t="shared" si="30"/>
        <v>FY2014</v>
      </c>
      <c r="Q102" s="208" t="str">
        <f>Q4</f>
        <v>FY2015</v>
      </c>
      <c r="R102" s="208" t="str">
        <f t="shared" si="30"/>
        <v>Total 
2001 ~ FY2015</v>
      </c>
    </row>
    <row r="103" spans="1:18" ht="12.75">
      <c r="A103" s="156" t="s">
        <v>62</v>
      </c>
      <c r="B103" s="148" t="s">
        <v>11</v>
      </c>
      <c r="C103" s="148" t="s">
        <v>11</v>
      </c>
      <c r="D103" s="148" t="s">
        <v>11</v>
      </c>
      <c r="E103" s="148" t="s">
        <v>11</v>
      </c>
      <c r="F103" s="148" t="s">
        <v>11</v>
      </c>
      <c r="G103" s="148" t="s">
        <v>11</v>
      </c>
      <c r="H103" s="148" t="s">
        <v>11</v>
      </c>
      <c r="I103" s="148" t="s">
        <v>11</v>
      </c>
      <c r="J103" s="148" t="s">
        <v>11</v>
      </c>
      <c r="K103" s="148" t="s">
        <v>11</v>
      </c>
      <c r="L103" s="148" t="s">
        <v>11</v>
      </c>
      <c r="M103" s="148" t="s">
        <v>11</v>
      </c>
      <c r="N103" s="148" t="s">
        <v>11</v>
      </c>
      <c r="O103" s="148" t="s">
        <v>11</v>
      </c>
      <c r="P103" s="148" t="s">
        <v>11</v>
      </c>
      <c r="Q103" s="148" t="s">
        <v>11</v>
      </c>
      <c r="R103" s="148" t="s">
        <v>11</v>
      </c>
    </row>
    <row r="104" spans="1:18" ht="12.75">
      <c r="A104" s="230" t="s">
        <v>66</v>
      </c>
      <c r="B104" s="252">
        <f aca="true" t="shared" si="31" ref="B104:B109">SUM(D104:H104)</f>
        <v>654419</v>
      </c>
      <c r="C104" s="252">
        <f aca="true" t="shared" si="32" ref="C104:C109">SUM(I104:M104)</f>
        <v>1065931</v>
      </c>
      <c r="D104" s="252">
        <f>'Res HVAC'!D34</f>
        <v>117212</v>
      </c>
      <c r="E104" s="252">
        <f>'Res HVAC'!E34</f>
        <v>144346</v>
      </c>
      <c r="F104" s="252">
        <f>'Res HVAC'!F34</f>
        <v>118900</v>
      </c>
      <c r="G104" s="252">
        <f>'Res HVAC'!G34</f>
        <v>135002</v>
      </c>
      <c r="H104" s="252">
        <f>'Res HVAC'!H34</f>
        <v>138959</v>
      </c>
      <c r="I104" s="252">
        <f>'Res HVAC'!I34</f>
        <v>231174</v>
      </c>
      <c r="J104" s="252">
        <f>'Res HVAC'!J34</f>
        <v>205199</v>
      </c>
      <c r="K104" s="252">
        <f>'Res HVAC'!K34</f>
        <v>167668</v>
      </c>
      <c r="L104" s="252">
        <f>'Res HVAC'!L34</f>
        <v>202257</v>
      </c>
      <c r="M104" s="252">
        <f>'Res HVAC'!M34</f>
        <v>259633</v>
      </c>
      <c r="N104" s="252">
        <f>'Res HVAC'!N34</f>
        <v>343759</v>
      </c>
      <c r="O104" s="252">
        <f>'Res HVAC'!O34</f>
        <v>343517</v>
      </c>
      <c r="P104" s="252">
        <f>'Res HVAC'!P34</f>
        <v>118229</v>
      </c>
      <c r="Q104" s="252">
        <f>'Res HVAC'!Q34</f>
        <v>202387.49627000192</v>
      </c>
      <c r="R104" s="252">
        <f aca="true" t="shared" si="33" ref="R104:R109">SUM(D104:Q104)</f>
        <v>2728242.496270002</v>
      </c>
    </row>
    <row r="105" spans="1:18" ht="12.75">
      <c r="A105" s="230" t="s">
        <v>67</v>
      </c>
      <c r="B105" s="252">
        <f t="shared" si="31"/>
        <v>644169</v>
      </c>
      <c r="C105" s="252">
        <f t="shared" si="32"/>
        <v>586400</v>
      </c>
      <c r="D105" s="252">
        <f>RNC!D32</f>
        <v>356</v>
      </c>
      <c r="E105" s="252">
        <f>RNC!E32</f>
        <v>83638</v>
      </c>
      <c r="F105" s="252">
        <f>RNC!F32</f>
        <v>136914</v>
      </c>
      <c r="G105" s="252">
        <f>RNC!G32</f>
        <v>183693</v>
      </c>
      <c r="H105" s="252">
        <f>RNC!H32</f>
        <v>239568</v>
      </c>
      <c r="I105" s="252">
        <f>RNC!I32</f>
        <v>164504</v>
      </c>
      <c r="J105" s="252">
        <f>RNC!J32</f>
        <v>156698</v>
      </c>
      <c r="K105" s="252">
        <f>RNC!K32</f>
        <v>109223</v>
      </c>
      <c r="L105" s="252">
        <f>RNC!L32</f>
        <v>76797</v>
      </c>
      <c r="M105" s="252">
        <f>RNC!M32</f>
        <v>79178</v>
      </c>
      <c r="N105" s="252">
        <f>RNC!N32</f>
        <v>60733</v>
      </c>
      <c r="O105" s="252">
        <f>RNC!O32</f>
        <v>74397</v>
      </c>
      <c r="P105" s="252">
        <f>RNC!P32</f>
        <v>49991</v>
      </c>
      <c r="Q105" s="252">
        <f>RNC!Q32</f>
        <v>37013</v>
      </c>
      <c r="R105" s="252">
        <f t="shared" si="33"/>
        <v>1452703</v>
      </c>
    </row>
    <row r="106" spans="1:18" ht="12.75">
      <c r="A106" s="230" t="s">
        <v>68</v>
      </c>
      <c r="B106" s="252">
        <f t="shared" si="31"/>
        <v>0</v>
      </c>
      <c r="C106" s="252">
        <f t="shared" si="32"/>
        <v>71332</v>
      </c>
      <c r="D106" s="252"/>
      <c r="E106" s="252"/>
      <c r="F106" s="252"/>
      <c r="G106" s="252"/>
      <c r="H106" s="252"/>
      <c r="I106" s="252"/>
      <c r="J106" s="252">
        <f>'Energy Star'!J90</f>
        <v>1943</v>
      </c>
      <c r="K106" s="252">
        <f>'Energy Star'!K90</f>
        <v>20006</v>
      </c>
      <c r="L106" s="252">
        <f>'Energy Star'!L90</f>
        <v>22843</v>
      </c>
      <c r="M106" s="252">
        <f>'Energy Star'!M90</f>
        <v>26540</v>
      </c>
      <c r="N106" s="252">
        <f>'Energy Star'!N90</f>
        <v>27055.6</v>
      </c>
      <c r="O106" s="252">
        <f>'Energy Star'!O90</f>
        <v>24756</v>
      </c>
      <c r="P106" s="252">
        <f>'Energy Star'!P90</f>
        <v>22143</v>
      </c>
      <c r="Q106" s="252">
        <f>'Energy Star'!Q90</f>
        <v>21158.4</v>
      </c>
      <c r="R106" s="252">
        <f t="shared" si="33"/>
        <v>166445</v>
      </c>
    </row>
    <row r="107" spans="1:18" ht="12.75">
      <c r="A107" s="230" t="s">
        <v>158</v>
      </c>
      <c r="B107" s="252">
        <f t="shared" si="31"/>
        <v>0</v>
      </c>
      <c r="C107" s="252">
        <f t="shared" si="32"/>
        <v>102093</v>
      </c>
      <c r="D107" s="252"/>
      <c r="E107" s="252"/>
      <c r="F107" s="252"/>
      <c r="G107" s="252"/>
      <c r="H107" s="252"/>
      <c r="I107" s="252">
        <f>'Home Perf'!C34</f>
        <v>108</v>
      </c>
      <c r="J107" s="252">
        <f>'Home Perf'!D34</f>
        <v>803</v>
      </c>
      <c r="K107" s="252">
        <f>'Home Perf'!E34</f>
        <v>3835</v>
      </c>
      <c r="L107" s="252">
        <f>'Home Perf'!F34</f>
        <v>23909</v>
      </c>
      <c r="M107" s="252">
        <f>'Home Perf'!G34</f>
        <v>73438</v>
      </c>
      <c r="N107" s="252">
        <f>'Home Perf'!H34</f>
        <v>95298.35</v>
      </c>
      <c r="O107" s="252">
        <f>'Home Perf'!I34</f>
        <v>136412</v>
      </c>
      <c r="P107" s="252">
        <f>'Home Perf'!J34</f>
        <v>82585</v>
      </c>
      <c r="Q107" s="252">
        <f>'Home Perf'!K34</f>
        <v>126541</v>
      </c>
      <c r="R107" s="252">
        <f t="shared" si="33"/>
        <v>542929.35</v>
      </c>
    </row>
    <row r="108" spans="1:18" ht="12.75">
      <c r="A108" s="230" t="s">
        <v>142</v>
      </c>
      <c r="B108" s="252">
        <f t="shared" si="31"/>
        <v>0</v>
      </c>
      <c r="C108" s="252">
        <f t="shared" si="32"/>
        <v>37</v>
      </c>
      <c r="D108" s="252"/>
      <c r="E108" s="252"/>
      <c r="F108" s="252"/>
      <c r="G108" s="252"/>
      <c r="H108" s="252"/>
      <c r="I108" s="252">
        <v>37</v>
      </c>
      <c r="J108" s="316"/>
      <c r="K108" s="316"/>
      <c r="L108" s="316"/>
      <c r="M108" s="316"/>
      <c r="N108" s="316"/>
      <c r="O108" s="316"/>
      <c r="P108" s="316"/>
      <c r="Q108" s="316"/>
      <c r="R108" s="252">
        <f t="shared" si="33"/>
        <v>37</v>
      </c>
    </row>
    <row r="109" spans="1:18" ht="12.75">
      <c r="A109" s="29" t="s">
        <v>73</v>
      </c>
      <c r="B109" s="254">
        <f t="shared" si="31"/>
        <v>1298588</v>
      </c>
      <c r="C109" s="254">
        <f t="shared" si="32"/>
        <v>1825793</v>
      </c>
      <c r="D109" s="254">
        <f aca="true" t="shared" si="34" ref="D109:L109">SUM(D104:D108)</f>
        <v>117568</v>
      </c>
      <c r="E109" s="254">
        <f t="shared" si="34"/>
        <v>227984</v>
      </c>
      <c r="F109" s="254">
        <f t="shared" si="34"/>
        <v>255814</v>
      </c>
      <c r="G109" s="254">
        <f t="shared" si="34"/>
        <v>318695</v>
      </c>
      <c r="H109" s="254">
        <f t="shared" si="34"/>
        <v>378527</v>
      </c>
      <c r="I109" s="254">
        <f t="shared" si="34"/>
        <v>395823</v>
      </c>
      <c r="J109" s="254">
        <f t="shared" si="34"/>
        <v>364643</v>
      </c>
      <c r="K109" s="254">
        <f t="shared" si="34"/>
        <v>300732</v>
      </c>
      <c r="L109" s="254">
        <f t="shared" si="34"/>
        <v>325806</v>
      </c>
      <c r="M109" s="254">
        <f>SUM(M104:M108)</f>
        <v>438789</v>
      </c>
      <c r="N109" s="254">
        <f>SUM(N104:N108)</f>
        <v>526845.95</v>
      </c>
      <c r="O109" s="254">
        <f>SUM(O104:O108)</f>
        <v>579082</v>
      </c>
      <c r="P109" s="254">
        <f>SUM(P104:P108)</f>
        <v>272948</v>
      </c>
      <c r="Q109" s="254">
        <f>SUM(Q104:Q108)</f>
        <v>387099.8962700019</v>
      </c>
      <c r="R109" s="254">
        <f t="shared" si="33"/>
        <v>4890356.846270002</v>
      </c>
    </row>
    <row r="110" spans="1:18" ht="12.75">
      <c r="A110" s="34"/>
      <c r="B110" s="69"/>
      <c r="C110" s="69"/>
      <c r="D110" s="69"/>
      <c r="E110" s="69"/>
      <c r="F110" s="69"/>
      <c r="G110" s="69"/>
      <c r="H110" s="69"/>
      <c r="I110" s="69"/>
      <c r="J110" s="69"/>
      <c r="K110" s="69"/>
      <c r="L110" s="69"/>
      <c r="M110" s="69"/>
      <c r="N110" s="69"/>
      <c r="O110" s="69"/>
      <c r="P110" s="69"/>
      <c r="Q110" s="69"/>
      <c r="R110" s="69"/>
    </row>
    <row r="111" spans="1:18" ht="12.75">
      <c r="A111" s="417" t="s">
        <v>2</v>
      </c>
      <c r="B111" s="254">
        <f>SUM(D111:H111)</f>
        <v>338487</v>
      </c>
      <c r="C111" s="254">
        <f>SUM(I111:M111)</f>
        <v>310308</v>
      </c>
      <c r="D111" s="254">
        <f>'Low-income'!D40</f>
        <v>91776</v>
      </c>
      <c r="E111" s="254">
        <f>'Low-income'!E40</f>
        <v>73523</v>
      </c>
      <c r="F111" s="254">
        <f>'Low-income'!F40</f>
        <v>65035</v>
      </c>
      <c r="G111" s="254">
        <f>'Low-income'!G40</f>
        <v>59420</v>
      </c>
      <c r="H111" s="254">
        <f>'Low-income'!H40</f>
        <v>48733</v>
      </c>
      <c r="I111" s="254">
        <f>'Low-income'!I40</f>
        <v>42526</v>
      </c>
      <c r="J111" s="254">
        <f>'Low-income'!J40</f>
        <v>48101</v>
      </c>
      <c r="K111" s="254">
        <f>'Low-income'!K40</f>
        <v>73535</v>
      </c>
      <c r="L111" s="254">
        <f>'Low-income'!L40</f>
        <v>80504</v>
      </c>
      <c r="M111" s="254">
        <f>'Low-income'!M40</f>
        <v>65642</v>
      </c>
      <c r="N111" s="254">
        <f>'Low-income'!N40</f>
        <v>88278</v>
      </c>
      <c r="O111" s="254">
        <f>'Low-income'!O40</f>
        <v>87348</v>
      </c>
      <c r="P111" s="254">
        <f>'Low-income'!P40</f>
        <v>60794</v>
      </c>
      <c r="Q111" s="254">
        <f>'Low-income'!Q40</f>
        <v>45107.58</v>
      </c>
      <c r="R111" s="254">
        <f>SUM(D111:Q111)</f>
        <v>930322.58</v>
      </c>
    </row>
    <row r="112" spans="1:18" ht="12.75">
      <c r="A112" s="232"/>
      <c r="B112" s="325"/>
      <c r="C112" s="325"/>
      <c r="D112" s="325"/>
      <c r="E112" s="325"/>
      <c r="F112" s="325"/>
      <c r="G112" s="325"/>
      <c r="H112" s="325"/>
      <c r="I112" s="325"/>
      <c r="J112" s="325"/>
      <c r="K112" s="325"/>
      <c r="L112" s="325"/>
      <c r="M112" s="325"/>
      <c r="N112" s="325"/>
      <c r="O112" s="325"/>
      <c r="P112" s="325"/>
      <c r="Q112" s="325"/>
      <c r="R112" s="325"/>
    </row>
    <row r="113" spans="1:18" ht="12.75">
      <c r="A113" s="330" t="s">
        <v>49</v>
      </c>
      <c r="B113" s="252">
        <f aca="true" t="shared" si="35" ref="B113:B124">SUM(D113:H113)</f>
        <v>16911</v>
      </c>
      <c r="C113" s="252">
        <f aca="true" t="shared" si="36" ref="C113:C124">SUM(I113:M113)</f>
        <v>133835</v>
      </c>
      <c r="D113" s="252"/>
      <c r="E113" s="252"/>
      <c r="F113" s="252"/>
      <c r="G113" s="252">
        <f>'C&amp;I'!G68</f>
        <v>4576</v>
      </c>
      <c r="H113" s="252">
        <f>'C&amp;I'!H68</f>
        <v>12335</v>
      </c>
      <c r="I113" s="252">
        <f>'C&amp;I'!I68</f>
        <v>2855</v>
      </c>
      <c r="J113" s="252">
        <f>'C&amp;I'!J68</f>
        <v>6303</v>
      </c>
      <c r="K113" s="252">
        <f>'C&amp;I'!K68</f>
        <v>18311</v>
      </c>
      <c r="L113" s="252">
        <f>'C&amp;I'!L68</f>
        <v>1368</v>
      </c>
      <c r="M113" s="252">
        <f>'C&amp;I'!M68</f>
        <v>104998</v>
      </c>
      <c r="N113" s="252">
        <f>'C&amp;I'!N68</f>
        <v>4361</v>
      </c>
      <c r="O113" s="252">
        <f>'C&amp;I'!O68</f>
        <v>3407</v>
      </c>
      <c r="P113" s="252">
        <f>'C&amp;I'!P68</f>
        <v>19</v>
      </c>
      <c r="Q113" s="252">
        <f>'C&amp;I'!Q68</f>
        <v>4705</v>
      </c>
      <c r="R113" s="252">
        <f aca="true" t="shared" si="37" ref="R113:R124">SUM(D113:Q113)</f>
        <v>163238</v>
      </c>
    </row>
    <row r="114" spans="1:18" ht="12.75">
      <c r="A114" s="331" t="s">
        <v>52</v>
      </c>
      <c r="B114" s="252">
        <f t="shared" si="35"/>
        <v>216052</v>
      </c>
      <c r="C114" s="252">
        <f t="shared" si="36"/>
        <v>432990</v>
      </c>
      <c r="D114" s="252"/>
      <c r="E114" s="252"/>
      <c r="F114" s="252"/>
      <c r="G114" s="252">
        <f>'C&amp;I'!G69</f>
        <v>40439</v>
      </c>
      <c r="H114" s="252">
        <f>'C&amp;I'!H69</f>
        <v>175613</v>
      </c>
      <c r="I114" s="252">
        <f>'C&amp;I'!I69</f>
        <v>171062</v>
      </c>
      <c r="J114" s="252">
        <f>'C&amp;I'!J69</f>
        <v>32282</v>
      </c>
      <c r="K114" s="252">
        <f>'C&amp;I'!K69</f>
        <v>38647</v>
      </c>
      <c r="L114" s="252">
        <f>'C&amp;I'!L69</f>
        <v>42012</v>
      </c>
      <c r="M114" s="252">
        <f>'C&amp;I'!M69</f>
        <v>148987</v>
      </c>
      <c r="N114" s="252">
        <f>'C&amp;I'!N69</f>
        <v>56381</v>
      </c>
      <c r="O114" s="252">
        <f>'C&amp;I'!O69</f>
        <v>138155</v>
      </c>
      <c r="P114" s="252">
        <f>'C&amp;I'!P69</f>
        <v>30487</v>
      </c>
      <c r="Q114" s="252">
        <f>'C&amp;I'!Q69</f>
        <v>102563</v>
      </c>
      <c r="R114" s="252">
        <f t="shared" si="37"/>
        <v>976628</v>
      </c>
    </row>
    <row r="115" spans="1:18" ht="12.75">
      <c r="A115" s="331" t="s">
        <v>316</v>
      </c>
      <c r="B115" s="252">
        <f t="shared" si="35"/>
        <v>11682</v>
      </c>
      <c r="C115" s="252">
        <f t="shared" si="36"/>
        <v>46669</v>
      </c>
      <c r="D115" s="252"/>
      <c r="E115" s="252"/>
      <c r="F115" s="252"/>
      <c r="G115" s="252">
        <f>'C&amp;I'!G70</f>
        <v>9629</v>
      </c>
      <c r="H115" s="252">
        <f>'C&amp;I'!H70</f>
        <v>2053</v>
      </c>
      <c r="I115" s="252">
        <f>'C&amp;I'!I70</f>
        <v>27913</v>
      </c>
      <c r="J115" s="252">
        <f>'C&amp;I'!J70</f>
        <v>2228</v>
      </c>
      <c r="K115" s="252">
        <f>'C&amp;I'!K70</f>
        <v>6396</v>
      </c>
      <c r="L115" s="252">
        <f>'C&amp;I'!L70</f>
        <v>10132</v>
      </c>
      <c r="M115" s="316"/>
      <c r="N115" s="316"/>
      <c r="O115" s="316"/>
      <c r="P115" s="316"/>
      <c r="Q115" s="316"/>
      <c r="R115" s="252">
        <f t="shared" si="37"/>
        <v>58351</v>
      </c>
    </row>
    <row r="116" spans="1:18" ht="12.75">
      <c r="A116" s="180" t="s">
        <v>236</v>
      </c>
      <c r="B116" s="252">
        <f t="shared" si="35"/>
        <v>0</v>
      </c>
      <c r="C116" s="252">
        <f t="shared" si="36"/>
        <v>0</v>
      </c>
      <c r="D116" s="252"/>
      <c r="E116" s="252"/>
      <c r="F116" s="252"/>
      <c r="G116" s="252"/>
      <c r="H116" s="252"/>
      <c r="I116" s="252"/>
      <c r="J116" s="252"/>
      <c r="K116" s="252"/>
      <c r="L116" s="252"/>
      <c r="M116" s="252"/>
      <c r="N116" s="252">
        <f>'P4P '!K51</f>
        <v>45344</v>
      </c>
      <c r="O116" s="252">
        <f>'P4P '!L49</f>
        <v>116964</v>
      </c>
      <c r="P116" s="252">
        <f>'P4P '!M49</f>
        <v>242120</v>
      </c>
      <c r="Q116" s="252">
        <f>'P4P '!N49</f>
        <v>151279</v>
      </c>
      <c r="R116" s="252">
        <f t="shared" si="37"/>
        <v>555707</v>
      </c>
    </row>
    <row r="117" spans="1:18" ht="12.75">
      <c r="A117" s="180" t="s">
        <v>340</v>
      </c>
      <c r="B117" s="252">
        <f t="shared" si="35"/>
        <v>0</v>
      </c>
      <c r="C117" s="252">
        <f t="shared" si="36"/>
        <v>0</v>
      </c>
      <c r="D117" s="252"/>
      <c r="E117" s="252"/>
      <c r="F117" s="252"/>
      <c r="G117" s="252"/>
      <c r="H117" s="252"/>
      <c r="I117" s="252"/>
      <c r="J117" s="252"/>
      <c r="K117" s="252"/>
      <c r="L117" s="252"/>
      <c r="M117" s="252"/>
      <c r="N117" s="316"/>
      <c r="O117" s="252">
        <f>'P4P '!L50</f>
        <v>83277</v>
      </c>
      <c r="P117" s="252">
        <f>'P4P '!M50</f>
        <v>37431</v>
      </c>
      <c r="Q117" s="252">
        <f>'P4P '!N50</f>
        <v>0</v>
      </c>
      <c r="R117" s="252">
        <f t="shared" si="37"/>
        <v>120708</v>
      </c>
    </row>
    <row r="118" spans="1:18" ht="12.75">
      <c r="A118" s="180" t="s">
        <v>237</v>
      </c>
      <c r="B118" s="252">
        <f t="shared" si="35"/>
        <v>0</v>
      </c>
      <c r="C118" s="252">
        <f t="shared" si="36"/>
        <v>0</v>
      </c>
      <c r="D118" s="252"/>
      <c r="E118" s="252"/>
      <c r="F118" s="252"/>
      <c r="G118" s="252"/>
      <c r="H118" s="252"/>
      <c r="I118" s="252"/>
      <c r="J118" s="252"/>
      <c r="K118" s="252"/>
      <c r="L118" s="252"/>
      <c r="M118" s="252"/>
      <c r="N118" s="316"/>
      <c r="O118" s="316"/>
      <c r="P118" s="252">
        <f>'P4P NC'!E34</f>
        <v>963</v>
      </c>
      <c r="Q118" s="252">
        <f>'P4P NC'!F34</f>
        <v>4829</v>
      </c>
      <c r="R118" s="252">
        <f t="shared" si="37"/>
        <v>5792</v>
      </c>
    </row>
    <row r="119" spans="1:18" ht="12.75">
      <c r="A119" s="180" t="s">
        <v>183</v>
      </c>
      <c r="B119" s="252">
        <f t="shared" si="35"/>
        <v>0</v>
      </c>
      <c r="C119" s="252">
        <f t="shared" si="36"/>
        <v>4487</v>
      </c>
      <c r="D119" s="252"/>
      <c r="E119" s="252"/>
      <c r="F119" s="252"/>
      <c r="G119" s="252"/>
      <c r="H119" s="252"/>
      <c r="I119" s="252"/>
      <c r="J119" s="252"/>
      <c r="K119" s="252"/>
      <c r="L119" s="252"/>
      <c r="M119" s="252">
        <f>'Direct Install'!D30</f>
        <v>4487</v>
      </c>
      <c r="N119" s="252">
        <f>'Direct Install'!E30</f>
        <v>61347</v>
      </c>
      <c r="O119" s="252">
        <f>'Direct Install'!F30</f>
        <v>75657</v>
      </c>
      <c r="P119" s="252">
        <f>'Direct Install'!G30</f>
        <v>99959</v>
      </c>
      <c r="Q119" s="252">
        <f>'Direct Install'!H30</f>
        <v>116778</v>
      </c>
      <c r="R119" s="252">
        <f t="shared" si="37"/>
        <v>358228</v>
      </c>
    </row>
    <row r="120" spans="1:18" ht="12.75">
      <c r="A120" s="230" t="s">
        <v>357</v>
      </c>
      <c r="B120" s="318">
        <f t="shared" si="35"/>
        <v>0</v>
      </c>
      <c r="C120" s="318">
        <f t="shared" si="36"/>
        <v>926652</v>
      </c>
      <c r="D120" s="256"/>
      <c r="E120" s="256"/>
      <c r="F120" s="256"/>
      <c r="G120" s="256"/>
      <c r="H120" s="256"/>
      <c r="I120" s="256"/>
      <c r="J120" s="318">
        <f>'CHP-FuelCell_Lrg-Small'!J60</f>
        <v>526105</v>
      </c>
      <c r="K120" s="318">
        <f>'CHP-FuelCell_Lrg-Small'!K60</f>
        <v>52103</v>
      </c>
      <c r="L120" s="318">
        <f>'CHP-FuelCell_Lrg-Small'!L60</f>
        <v>176521</v>
      </c>
      <c r="M120" s="318">
        <f>'CHP-FuelCell_Lrg-Small'!M60</f>
        <v>171923</v>
      </c>
      <c r="N120" s="318">
        <f>'CHP-FuelCell_Lrg-Small'!N60</f>
        <v>0</v>
      </c>
      <c r="O120" s="318">
        <f>'CHP-FuelCell_Lrg-Small'!O60</f>
        <v>0</v>
      </c>
      <c r="P120" s="318">
        <f>'CHP-FuelCell_Lrg-Small'!P60</f>
        <v>8358</v>
      </c>
      <c r="Q120" s="318">
        <f>'CHP-FuelCell_Lrg-Small'!Q60</f>
        <v>170808</v>
      </c>
      <c r="R120" s="252">
        <f t="shared" si="37"/>
        <v>1105818</v>
      </c>
    </row>
    <row r="121" spans="1:18" ht="12.75">
      <c r="A121" s="180" t="s">
        <v>341</v>
      </c>
      <c r="B121" s="318">
        <f t="shared" si="35"/>
        <v>0</v>
      </c>
      <c r="C121" s="318">
        <f t="shared" si="36"/>
        <v>0</v>
      </c>
      <c r="D121" s="256"/>
      <c r="E121" s="256"/>
      <c r="F121" s="256"/>
      <c r="G121" s="256"/>
      <c r="H121" s="256"/>
      <c r="I121" s="256"/>
      <c r="J121" s="318"/>
      <c r="K121" s="318"/>
      <c r="L121" s="318"/>
      <c r="M121" s="318"/>
      <c r="N121" s="318">
        <f>LEUP!B30</f>
        <v>0</v>
      </c>
      <c r="O121" s="318">
        <f>LEUP!C30</f>
        <v>145315</v>
      </c>
      <c r="P121" s="318">
        <f>LEUP!D30</f>
        <v>168712</v>
      </c>
      <c r="Q121" s="318">
        <f>LEUP!E30</f>
        <v>0</v>
      </c>
      <c r="R121" s="252">
        <f t="shared" si="37"/>
        <v>314027</v>
      </c>
    </row>
    <row r="122" spans="1:18" ht="12.75">
      <c r="A122" s="180" t="s">
        <v>334</v>
      </c>
      <c r="B122" s="252">
        <f t="shared" si="35"/>
        <v>5825</v>
      </c>
      <c r="C122" s="252">
        <f t="shared" si="36"/>
        <v>0</v>
      </c>
      <c r="D122" s="252">
        <f>CORE!C31</f>
        <v>0</v>
      </c>
      <c r="E122" s="252">
        <f>CORE!D31</f>
        <v>4161</v>
      </c>
      <c r="F122" s="252">
        <f>CORE!E31</f>
        <v>1664</v>
      </c>
      <c r="G122" s="252">
        <f>CORE!F31</f>
        <v>0</v>
      </c>
      <c r="H122" s="252">
        <f>CORE!G31</f>
        <v>0</v>
      </c>
      <c r="I122" s="252">
        <f>CORE!H31</f>
        <v>0</v>
      </c>
      <c r="J122" s="252">
        <f>CORE!I31</f>
        <v>0</v>
      </c>
      <c r="K122" s="252">
        <f>CORE!J31</f>
        <v>0</v>
      </c>
      <c r="L122" s="252">
        <f>CORE!K31</f>
        <v>0</v>
      </c>
      <c r="M122" s="252">
        <f>CORE!L31</f>
        <v>0</v>
      </c>
      <c r="N122" s="252">
        <f>CORE!M31</f>
        <v>0</v>
      </c>
      <c r="O122" s="252">
        <f>CORE!N31</f>
        <v>0</v>
      </c>
      <c r="P122" s="252">
        <v>0</v>
      </c>
      <c r="Q122" s="252">
        <v>0</v>
      </c>
      <c r="R122" s="252">
        <f t="shared" si="37"/>
        <v>5825</v>
      </c>
    </row>
    <row r="123" spans="1:18" ht="12.75">
      <c r="A123" s="29" t="s">
        <v>203</v>
      </c>
      <c r="B123" s="254">
        <f t="shared" si="35"/>
        <v>406081</v>
      </c>
      <c r="C123" s="254">
        <f t="shared" si="36"/>
        <v>1544633</v>
      </c>
      <c r="D123" s="254">
        <f>'C&amp;I'!D71</f>
        <v>33802</v>
      </c>
      <c r="E123" s="254">
        <f>'C&amp;I'!E71+E122</f>
        <v>37665</v>
      </c>
      <c r="F123" s="254">
        <f>'C&amp;I'!F71+F122</f>
        <v>89969</v>
      </c>
      <c r="G123" s="254">
        <f>'C&amp;I'!G71</f>
        <v>54644</v>
      </c>
      <c r="H123" s="254">
        <f aca="true" t="shared" si="38" ref="H123:M123">SUM(H113:H122)</f>
        <v>190001</v>
      </c>
      <c r="I123" s="254">
        <f t="shared" si="38"/>
        <v>201830</v>
      </c>
      <c r="J123" s="254">
        <f t="shared" si="38"/>
        <v>566918</v>
      </c>
      <c r="K123" s="254">
        <f t="shared" si="38"/>
        <v>115457</v>
      </c>
      <c r="L123" s="254">
        <f t="shared" si="38"/>
        <v>230033</v>
      </c>
      <c r="M123" s="254">
        <f t="shared" si="38"/>
        <v>430395</v>
      </c>
      <c r="N123" s="254">
        <f>SUM(N113:N122)</f>
        <v>167433</v>
      </c>
      <c r="O123" s="254">
        <f>SUM(O113:O122)</f>
        <v>562775</v>
      </c>
      <c r="P123" s="254">
        <f>SUM(P113:P122)</f>
        <v>588049</v>
      </c>
      <c r="Q123" s="254">
        <f>SUM(Q113:Q122)</f>
        <v>550962</v>
      </c>
      <c r="R123" s="254">
        <f t="shared" si="37"/>
        <v>3819933</v>
      </c>
    </row>
    <row r="124" spans="1:18" ht="12.75">
      <c r="A124" s="29" t="s">
        <v>391</v>
      </c>
      <c r="B124" s="254">
        <f t="shared" si="35"/>
        <v>2043156</v>
      </c>
      <c r="C124" s="254">
        <f t="shared" si="36"/>
        <v>3680734</v>
      </c>
      <c r="D124" s="254">
        <f aca="true" t="shared" si="39" ref="D124:P124">D123+D111+D109</f>
        <v>243146</v>
      </c>
      <c r="E124" s="254">
        <f t="shared" si="39"/>
        <v>339172</v>
      </c>
      <c r="F124" s="254">
        <f t="shared" si="39"/>
        <v>410818</v>
      </c>
      <c r="G124" s="254">
        <f t="shared" si="39"/>
        <v>432759</v>
      </c>
      <c r="H124" s="254">
        <f t="shared" si="39"/>
        <v>617261</v>
      </c>
      <c r="I124" s="254">
        <f t="shared" si="39"/>
        <v>640179</v>
      </c>
      <c r="J124" s="254">
        <f t="shared" si="39"/>
        <v>979662</v>
      </c>
      <c r="K124" s="254">
        <f t="shared" si="39"/>
        <v>489724</v>
      </c>
      <c r="L124" s="254">
        <f t="shared" si="39"/>
        <v>636343</v>
      </c>
      <c r="M124" s="254">
        <f t="shared" si="39"/>
        <v>934826</v>
      </c>
      <c r="N124" s="254">
        <f t="shared" si="39"/>
        <v>782556.95</v>
      </c>
      <c r="O124" s="254">
        <f t="shared" si="39"/>
        <v>1229205</v>
      </c>
      <c r="P124" s="254">
        <f t="shared" si="39"/>
        <v>921791</v>
      </c>
      <c r="Q124" s="254">
        <f>Q123+Q111+Q109</f>
        <v>983169.4762700018</v>
      </c>
      <c r="R124" s="254">
        <f t="shared" si="37"/>
        <v>9640612.42627</v>
      </c>
    </row>
    <row r="125" spans="1:18" ht="12.75">
      <c r="A125" s="332" t="s">
        <v>291</v>
      </c>
      <c r="B125" s="153"/>
      <c r="C125" s="153"/>
      <c r="D125" s="74"/>
      <c r="E125" s="74"/>
      <c r="F125" s="74"/>
      <c r="G125" s="74"/>
      <c r="H125" s="74"/>
      <c r="I125" s="74"/>
      <c r="J125" s="153"/>
      <c r="K125" s="153"/>
      <c r="L125" s="153"/>
      <c r="M125" s="153"/>
      <c r="N125" s="153"/>
      <c r="O125" s="153"/>
      <c r="P125" s="153"/>
      <c r="Q125" s="153"/>
      <c r="R125" s="153"/>
    </row>
    <row r="127" spans="1:18" ht="15">
      <c r="A127" s="410" t="s">
        <v>19</v>
      </c>
      <c r="R127" s="105"/>
    </row>
    <row r="128" spans="1:18" ht="26.25">
      <c r="A128" s="410" t="s">
        <v>343</v>
      </c>
      <c r="B128" s="213" t="str">
        <f>B4</f>
        <v>Summary 
2001 to 2005*</v>
      </c>
      <c r="C128" s="213" t="str">
        <f>C4</f>
        <v>Summary 
2006 to 2010*</v>
      </c>
      <c r="D128" s="105">
        <v>2001</v>
      </c>
      <c r="E128" s="105">
        <v>2002</v>
      </c>
      <c r="F128" s="105">
        <v>2003</v>
      </c>
      <c r="G128" s="105">
        <v>2004</v>
      </c>
      <c r="H128" s="105">
        <v>2005</v>
      </c>
      <c r="I128" s="105">
        <v>2006</v>
      </c>
      <c r="J128" s="105">
        <v>2007</v>
      </c>
      <c r="K128" s="105">
        <v>2008</v>
      </c>
      <c r="L128" s="105">
        <v>2009</v>
      </c>
      <c r="M128" s="105">
        <v>2010</v>
      </c>
      <c r="N128" s="105">
        <v>2011</v>
      </c>
      <c r="O128" s="213" t="str">
        <f>O4</f>
        <v>(18 month)1
2012-2013</v>
      </c>
      <c r="P128" s="213" t="str">
        <f>P4</f>
        <v>FY2014</v>
      </c>
      <c r="Q128" s="213" t="str">
        <f>Q4</f>
        <v>FY2015</v>
      </c>
      <c r="R128" s="105"/>
    </row>
    <row r="129" spans="1:18" ht="12.75">
      <c r="A129" s="156" t="s">
        <v>381</v>
      </c>
      <c r="B129" s="148" t="s">
        <v>24</v>
      </c>
      <c r="C129" s="148" t="s">
        <v>24</v>
      </c>
      <c r="D129" s="148" t="s">
        <v>24</v>
      </c>
      <c r="E129" s="148" t="s">
        <v>24</v>
      </c>
      <c r="F129" s="148" t="s">
        <v>24</v>
      </c>
      <c r="G129" s="148" t="s">
        <v>24</v>
      </c>
      <c r="H129" s="148" t="s">
        <v>24</v>
      </c>
      <c r="I129" s="148" t="s">
        <v>24</v>
      </c>
      <c r="J129" s="148" t="s">
        <v>24</v>
      </c>
      <c r="K129" s="148" t="s">
        <v>24</v>
      </c>
      <c r="L129" s="148" t="s">
        <v>24</v>
      </c>
      <c r="M129" s="148" t="s">
        <v>24</v>
      </c>
      <c r="N129" s="148" t="s">
        <v>24</v>
      </c>
      <c r="O129" s="148" t="s">
        <v>24</v>
      </c>
      <c r="P129" s="148" t="s">
        <v>24</v>
      </c>
      <c r="Q129" s="148" t="s">
        <v>24</v>
      </c>
      <c r="R129" s="87"/>
    </row>
    <row r="130" spans="1:18" ht="12.75">
      <c r="A130" s="230" t="s">
        <v>67</v>
      </c>
      <c r="B130" s="252">
        <f aca="true" t="shared" si="40" ref="B130:B138">SUM(D130:H130)</f>
        <v>81601</v>
      </c>
      <c r="C130" s="252">
        <f aca="true" t="shared" si="41" ref="C130:C138">SUM(I130:M130)</f>
        <v>47288</v>
      </c>
      <c r="D130" s="252">
        <f>RNC!D40</f>
        <v>6574</v>
      </c>
      <c r="E130" s="252">
        <f>RNC!E40</f>
        <v>30773</v>
      </c>
      <c r="F130" s="252">
        <f>RNC!F40</f>
        <v>22039</v>
      </c>
      <c r="G130" s="252">
        <f>RNC!G40</f>
        <v>3954</v>
      </c>
      <c r="H130" s="252">
        <f>RNC!H40</f>
        <v>18261</v>
      </c>
      <c r="I130" s="252">
        <f>RNC!I40</f>
        <v>19356</v>
      </c>
      <c r="J130" s="252">
        <f>RNC!J40</f>
        <v>8253</v>
      </c>
      <c r="K130" s="252">
        <f>RNC!K40</f>
        <v>11187</v>
      </c>
      <c r="L130" s="252">
        <f>RNC!L40</f>
        <v>4608</v>
      </c>
      <c r="M130" s="252">
        <f>RNC!M40</f>
        <v>3884</v>
      </c>
      <c r="N130" s="252">
        <f>RNC!N40</f>
        <v>2082</v>
      </c>
      <c r="O130" s="252">
        <f>RNC!O40</f>
        <v>12799</v>
      </c>
      <c r="P130" s="252">
        <f>RNC!P40</f>
        <v>8955</v>
      </c>
      <c r="Q130" s="252">
        <f>RNC!Q40</f>
        <v>10105.407990314769</v>
      </c>
      <c r="R130" s="139"/>
    </row>
    <row r="131" spans="1:18" ht="12.75">
      <c r="A131" s="230" t="s">
        <v>158</v>
      </c>
      <c r="B131" s="252">
        <f t="shared" si="40"/>
        <v>0</v>
      </c>
      <c r="C131" s="252">
        <f t="shared" si="41"/>
        <v>0</v>
      </c>
      <c r="D131" s="252"/>
      <c r="E131" s="252"/>
      <c r="F131" s="252"/>
      <c r="G131" s="252"/>
      <c r="H131" s="252"/>
      <c r="I131" s="252"/>
      <c r="J131" s="252"/>
      <c r="K131" s="252"/>
      <c r="L131" s="252"/>
      <c r="M131" s="252"/>
      <c r="N131" s="316"/>
      <c r="O131" s="316"/>
      <c r="P131" s="252">
        <f>'Home Perf'!J41</f>
        <v>240</v>
      </c>
      <c r="Q131" s="252">
        <f>'Home Perf'!K41</f>
        <v>2167.4147018030512</v>
      </c>
      <c r="R131" s="139"/>
    </row>
    <row r="132" spans="1:18" ht="12.75">
      <c r="A132" s="230" t="s">
        <v>296</v>
      </c>
      <c r="B132" s="252">
        <f t="shared" si="40"/>
        <v>484514</v>
      </c>
      <c r="C132" s="252">
        <f t="shared" si="41"/>
        <v>497129</v>
      </c>
      <c r="D132" s="252">
        <f>'C&amp;I'!D87</f>
        <v>62505</v>
      </c>
      <c r="E132" s="252">
        <f>'C&amp;I'!E87</f>
        <v>51226</v>
      </c>
      <c r="F132" s="252">
        <f>'C&amp;I'!F87</f>
        <v>162510</v>
      </c>
      <c r="G132" s="252">
        <f>'C&amp;I'!G87</f>
        <v>112183</v>
      </c>
      <c r="H132" s="252">
        <f>'C&amp;I'!H87</f>
        <v>96090</v>
      </c>
      <c r="I132" s="252">
        <f>'C&amp;I'!I87</f>
        <v>45739</v>
      </c>
      <c r="J132" s="252">
        <f>'C&amp;I'!J87</f>
        <v>171585</v>
      </c>
      <c r="K132" s="252">
        <f>'C&amp;I'!K87</f>
        <v>59275</v>
      </c>
      <c r="L132" s="252">
        <f>'C&amp;I'!L87</f>
        <v>122090</v>
      </c>
      <c r="M132" s="252">
        <f>'C&amp;I'!M87</f>
        <v>98440</v>
      </c>
      <c r="N132" s="252">
        <f>'C&amp;I'!N87</f>
        <v>143696</v>
      </c>
      <c r="O132" s="252">
        <f>'C&amp;I'!O87</f>
        <v>130457</v>
      </c>
      <c r="P132" s="252">
        <f>'C&amp;I'!P87</f>
        <v>167250</v>
      </c>
      <c r="Q132" s="252">
        <f>'C&amp;I'!Q87</f>
        <v>175962</v>
      </c>
      <c r="R132" s="139"/>
    </row>
    <row r="133" spans="1:18" ht="12.75">
      <c r="A133" s="180" t="s">
        <v>236</v>
      </c>
      <c r="B133" s="252">
        <f t="shared" si="40"/>
        <v>0</v>
      </c>
      <c r="C133" s="252">
        <f t="shared" si="41"/>
        <v>0</v>
      </c>
      <c r="D133" s="252"/>
      <c r="E133" s="252"/>
      <c r="F133" s="252"/>
      <c r="G133" s="252"/>
      <c r="H133" s="252"/>
      <c r="I133" s="252"/>
      <c r="J133" s="252"/>
      <c r="K133" s="252"/>
      <c r="L133" s="252"/>
      <c r="M133" s="252">
        <f>'P4P '!J65</f>
        <v>0</v>
      </c>
      <c r="N133" s="252">
        <f>'P4P '!K65</f>
        <v>50830</v>
      </c>
      <c r="O133" s="252">
        <f>'P4P '!L63</f>
        <v>48001</v>
      </c>
      <c r="P133" s="252">
        <f>'P4P '!M63</f>
        <v>26141</v>
      </c>
      <c r="Q133" s="252">
        <f>'P4P '!N63</f>
        <v>28038</v>
      </c>
      <c r="R133" s="139"/>
    </row>
    <row r="134" spans="1:18" ht="12.75">
      <c r="A134" s="180" t="s">
        <v>340</v>
      </c>
      <c r="B134" s="252">
        <f t="shared" si="40"/>
        <v>0</v>
      </c>
      <c r="C134" s="252">
        <f t="shared" si="41"/>
        <v>0</v>
      </c>
      <c r="D134" s="252"/>
      <c r="E134" s="252"/>
      <c r="F134" s="252"/>
      <c r="G134" s="252"/>
      <c r="H134" s="252"/>
      <c r="I134" s="252"/>
      <c r="J134" s="252"/>
      <c r="K134" s="252"/>
      <c r="L134" s="252"/>
      <c r="M134" s="252"/>
      <c r="N134" s="316"/>
      <c r="O134" s="252">
        <f>'P4P '!L64</f>
        <v>0</v>
      </c>
      <c r="P134" s="252">
        <f>'P4P '!M64</f>
        <v>0</v>
      </c>
      <c r="Q134" s="252">
        <f>'P4P '!N64</f>
        <v>0</v>
      </c>
      <c r="R134" s="139"/>
    </row>
    <row r="135" spans="1:18" ht="12.75">
      <c r="A135" s="180" t="s">
        <v>237</v>
      </c>
      <c r="B135" s="252">
        <f t="shared" si="40"/>
        <v>0</v>
      </c>
      <c r="C135" s="252">
        <f t="shared" si="41"/>
        <v>0</v>
      </c>
      <c r="D135" s="252"/>
      <c r="E135" s="252"/>
      <c r="F135" s="252"/>
      <c r="G135" s="252"/>
      <c r="H135" s="252"/>
      <c r="I135" s="252"/>
      <c r="J135" s="252"/>
      <c r="K135" s="252"/>
      <c r="L135" s="252"/>
      <c r="M135" s="252">
        <f>'P4P NC'!B42</f>
        <v>0</v>
      </c>
      <c r="N135" s="252">
        <f>'P4P NC'!C42</f>
        <v>6352</v>
      </c>
      <c r="O135" s="252">
        <f>'P4P NC'!D42</f>
        <v>2147</v>
      </c>
      <c r="P135" s="252">
        <f>'P4P NC'!E42</f>
        <v>449</v>
      </c>
      <c r="Q135" s="252">
        <f>'P4P NC'!F42</f>
        <v>16578</v>
      </c>
      <c r="R135" s="139"/>
    </row>
    <row r="136" spans="1:18" ht="12.75">
      <c r="A136" s="180" t="s">
        <v>183</v>
      </c>
      <c r="B136" s="252">
        <f t="shared" si="40"/>
        <v>0</v>
      </c>
      <c r="C136" s="252">
        <f t="shared" si="41"/>
        <v>15949</v>
      </c>
      <c r="D136" s="252"/>
      <c r="E136" s="252"/>
      <c r="F136" s="252"/>
      <c r="G136" s="252"/>
      <c r="H136" s="252"/>
      <c r="I136" s="252"/>
      <c r="J136" s="252"/>
      <c r="K136" s="252"/>
      <c r="L136" s="252"/>
      <c r="M136" s="252">
        <f>'Direct Install'!D38</f>
        <v>15949</v>
      </c>
      <c r="N136" s="252">
        <f>'Direct Install'!E38</f>
        <v>27009</v>
      </c>
      <c r="O136" s="252">
        <f>'Direct Install'!F38</f>
        <v>21602</v>
      </c>
      <c r="P136" s="252">
        <f>'Direct Install'!G38</f>
        <v>17893</v>
      </c>
      <c r="Q136" s="252">
        <f>'Direct Install'!H38</f>
        <v>18062</v>
      </c>
      <c r="R136" s="139"/>
    </row>
    <row r="137" spans="1:18" ht="12.75">
      <c r="A137" s="180" t="s">
        <v>341</v>
      </c>
      <c r="B137" s="252">
        <f t="shared" si="40"/>
        <v>0</v>
      </c>
      <c r="C137" s="252">
        <f t="shared" si="41"/>
        <v>0</v>
      </c>
      <c r="D137" s="252"/>
      <c r="E137" s="252"/>
      <c r="F137" s="252"/>
      <c r="G137" s="252"/>
      <c r="H137" s="252"/>
      <c r="I137" s="252"/>
      <c r="J137" s="252"/>
      <c r="K137" s="252"/>
      <c r="L137" s="252"/>
      <c r="M137" s="252"/>
      <c r="N137" s="316"/>
      <c r="O137" s="252">
        <f>LEUP!C38</f>
        <v>17110</v>
      </c>
      <c r="P137" s="252">
        <f>LEUP!D38</f>
        <v>10500</v>
      </c>
      <c r="Q137" s="252">
        <f>LEUP!E38</f>
        <v>42801</v>
      </c>
      <c r="R137" s="139"/>
    </row>
    <row r="138" spans="1:18" ht="12.75">
      <c r="A138" s="29" t="s">
        <v>390</v>
      </c>
      <c r="B138" s="254">
        <f t="shared" si="40"/>
        <v>566115</v>
      </c>
      <c r="C138" s="254">
        <f t="shared" si="41"/>
        <v>560366</v>
      </c>
      <c r="D138" s="254">
        <f>SUM(D130:D136)</f>
        <v>69079</v>
      </c>
      <c r="E138" s="254">
        <f>SUM(E130:E136)</f>
        <v>81999</v>
      </c>
      <c r="F138" s="254">
        <f>SUM(F130:F136)</f>
        <v>184549</v>
      </c>
      <c r="G138" s="254">
        <f>SUM(G130:G136)</f>
        <v>116137</v>
      </c>
      <c r="H138" s="254">
        <f>SUM(H130:H136)</f>
        <v>114351</v>
      </c>
      <c r="I138" s="254">
        <f aca="true" t="shared" si="42" ref="I138:O138">SUM(I130:I137)</f>
        <v>65095</v>
      </c>
      <c r="J138" s="254">
        <f t="shared" si="42"/>
        <v>179838</v>
      </c>
      <c r="K138" s="254">
        <f t="shared" si="42"/>
        <v>70462</v>
      </c>
      <c r="L138" s="254">
        <f t="shared" si="42"/>
        <v>126698</v>
      </c>
      <c r="M138" s="254">
        <f t="shared" si="42"/>
        <v>118273</v>
      </c>
      <c r="N138" s="254">
        <f t="shared" si="42"/>
        <v>229969</v>
      </c>
      <c r="O138" s="254">
        <f t="shared" si="42"/>
        <v>232116</v>
      </c>
      <c r="P138" s="254">
        <f>SUM(P130:P137)</f>
        <v>231428</v>
      </c>
      <c r="Q138" s="254">
        <f>SUM(Q130:Q137)</f>
        <v>293713.8226921178</v>
      </c>
      <c r="R138" s="139"/>
    </row>
    <row r="139" spans="1:18" ht="12.75">
      <c r="A139" s="74"/>
      <c r="B139" s="74"/>
      <c r="C139" s="74"/>
      <c r="D139" s="74"/>
      <c r="E139" s="74"/>
      <c r="F139" s="74"/>
      <c r="G139" s="74"/>
      <c r="H139" s="74"/>
      <c r="I139" s="74"/>
      <c r="J139" s="74"/>
      <c r="K139" s="74"/>
      <c r="L139" s="74"/>
      <c r="M139" s="74"/>
      <c r="N139" s="74"/>
      <c r="O139" s="74"/>
      <c r="P139" s="74"/>
      <c r="Q139" s="74"/>
      <c r="R139" s="74"/>
    </row>
    <row r="140" spans="1:18" ht="12.75">
      <c r="A140" s="67" t="s">
        <v>166</v>
      </c>
      <c r="B140" s="148"/>
      <c r="C140" s="148"/>
      <c r="D140" s="148" t="s">
        <v>24</v>
      </c>
      <c r="E140" s="148" t="s">
        <v>24</v>
      </c>
      <c r="F140" s="148" t="s">
        <v>24</v>
      </c>
      <c r="G140" s="148" t="s">
        <v>24</v>
      </c>
      <c r="H140" s="148" t="s">
        <v>24</v>
      </c>
      <c r="I140" s="148"/>
      <c r="J140" s="148"/>
      <c r="K140" s="148"/>
      <c r="L140" s="148"/>
      <c r="M140" s="148"/>
      <c r="N140" s="148"/>
      <c r="O140" s="148"/>
      <c r="P140" s="148"/>
      <c r="Q140" s="148"/>
      <c r="R140" s="74"/>
    </row>
    <row r="141" spans="1:18" ht="12.75">
      <c r="A141" s="180" t="s">
        <v>340</v>
      </c>
      <c r="B141" s="253">
        <f>SUM(D141:H141)</f>
        <v>0</v>
      </c>
      <c r="C141" s="253">
        <f>SUM(I141:M141)</f>
        <v>0</v>
      </c>
      <c r="D141" s="253"/>
      <c r="E141" s="253"/>
      <c r="F141" s="253"/>
      <c r="G141" s="253"/>
      <c r="H141" s="253"/>
      <c r="I141" s="253"/>
      <c r="J141" s="253"/>
      <c r="K141" s="253"/>
      <c r="L141" s="253"/>
      <c r="M141" s="253"/>
      <c r="N141" s="479"/>
      <c r="O141" s="253">
        <f>'P4P '!L79</f>
        <v>7952</v>
      </c>
      <c r="P141" s="253">
        <f>'P4P '!M79</f>
        <v>0</v>
      </c>
      <c r="Q141" s="253">
        <f>'P4P '!N79</f>
        <v>0</v>
      </c>
      <c r="R141" s="301"/>
    </row>
    <row r="142" spans="1:18" ht="12.75">
      <c r="A142" s="180" t="s">
        <v>357</v>
      </c>
      <c r="B142" s="253">
        <f>SUM(D142:H142)</f>
        <v>0</v>
      </c>
      <c r="C142" s="253">
        <f>SUM(I142:M142)</f>
        <v>0</v>
      </c>
      <c r="D142" s="253"/>
      <c r="E142" s="253"/>
      <c r="F142" s="253"/>
      <c r="G142" s="253"/>
      <c r="H142" s="253"/>
      <c r="I142" s="253"/>
      <c r="J142" s="253"/>
      <c r="K142" s="253"/>
      <c r="L142" s="253"/>
      <c r="M142" s="253"/>
      <c r="N142" s="479"/>
      <c r="O142" s="253">
        <f>'CHP-FuelCell_Lrg-Small'!O90</f>
        <v>135618</v>
      </c>
      <c r="P142" s="253">
        <f>'CHP-FuelCell_Lrg-Small'!P90</f>
        <v>33222</v>
      </c>
      <c r="Q142" s="253">
        <f>'CHP-FuelCell_Lrg-Small'!Q90</f>
        <v>101608</v>
      </c>
      <c r="R142" s="301"/>
    </row>
    <row r="143" spans="1:18" ht="12.75">
      <c r="A143" s="48" t="s">
        <v>1</v>
      </c>
      <c r="B143" s="267">
        <f>SUM(D143:H143)</f>
        <v>0</v>
      </c>
      <c r="C143" s="267">
        <f>SUM(I143:M143)</f>
        <v>1091293</v>
      </c>
      <c r="D143" s="267"/>
      <c r="E143" s="267"/>
      <c r="F143" s="267"/>
      <c r="G143" s="267"/>
      <c r="H143" s="267"/>
      <c r="I143" s="267">
        <f>'CHP-FuelCell_Lrg-Small'!I90</f>
        <v>729628</v>
      </c>
      <c r="J143" s="267">
        <f>'CHP-FuelCell_Lrg-Small'!J90</f>
        <v>105252</v>
      </c>
      <c r="K143" s="267">
        <f>'CHP-FuelCell_Lrg-Small'!K90</f>
        <v>90800</v>
      </c>
      <c r="L143" s="267">
        <f>'CHP-FuelCell_Lrg-Small'!L90</f>
        <v>123895</v>
      </c>
      <c r="M143" s="267">
        <f>'CHP-FuelCell_Lrg-Small'!M90</f>
        <v>41718</v>
      </c>
      <c r="N143" s="267">
        <f>'CHP-FuelCell_Lrg-Small'!N90</f>
        <v>2455</v>
      </c>
      <c r="O143" s="267">
        <f>SUM(O141:O142)</f>
        <v>143570</v>
      </c>
      <c r="P143" s="267">
        <f>SUM(P141:P142)</f>
        <v>33222</v>
      </c>
      <c r="Q143" s="267">
        <f>SUM(Q141:Q142)</f>
        <v>101608</v>
      </c>
      <c r="R143" s="74"/>
    </row>
    <row r="144" spans="1:18" ht="12.75">
      <c r="A144" s="74"/>
      <c r="B144" s="74"/>
      <c r="C144" s="74"/>
      <c r="D144" s="74"/>
      <c r="E144" s="74"/>
      <c r="F144" s="74"/>
      <c r="G144" s="74"/>
      <c r="H144" s="74"/>
      <c r="I144" s="74"/>
      <c r="J144" s="74"/>
      <c r="K144" s="74"/>
      <c r="L144" s="74"/>
      <c r="M144" s="74"/>
      <c r="N144" s="74"/>
      <c r="O144" s="74"/>
      <c r="P144" s="74"/>
      <c r="Q144" s="74"/>
      <c r="R144" s="74"/>
    </row>
    <row r="145" spans="1:18" ht="12.75">
      <c r="A145" s="67" t="s">
        <v>61</v>
      </c>
      <c r="B145" s="148"/>
      <c r="C145" s="148"/>
      <c r="D145" s="148" t="s">
        <v>24</v>
      </c>
      <c r="E145" s="148" t="s">
        <v>24</v>
      </c>
      <c r="F145" s="148" t="s">
        <v>24</v>
      </c>
      <c r="G145" s="148" t="s">
        <v>24</v>
      </c>
      <c r="H145" s="148" t="s">
        <v>24</v>
      </c>
      <c r="I145" s="148"/>
      <c r="J145" s="148"/>
      <c r="K145" s="148"/>
      <c r="L145" s="148"/>
      <c r="M145" s="148"/>
      <c r="N145" s="148"/>
      <c r="O145" s="148"/>
      <c r="P145" s="148"/>
      <c r="Q145" s="148"/>
      <c r="R145" s="87"/>
    </row>
    <row r="146" spans="1:18" ht="12.75">
      <c r="A146" s="83" t="s">
        <v>76</v>
      </c>
      <c r="B146" s="256">
        <f aca="true" t="shared" si="43" ref="B146:B152">SUM(D146:H146)</f>
        <v>83601</v>
      </c>
      <c r="C146" s="256">
        <f aca="true" t="shared" si="44" ref="C146:C152">SUM(I146:M146)</f>
        <v>190222</v>
      </c>
      <c r="D146" s="256"/>
      <c r="E146" s="256"/>
      <c r="F146" s="256"/>
      <c r="G146" s="256"/>
      <c r="H146" s="256">
        <f>CORE!G39</f>
        <v>83601</v>
      </c>
      <c r="I146" s="256">
        <f>CORE!H39</f>
        <v>35316</v>
      </c>
      <c r="J146" s="256">
        <f>CORE!I39</f>
        <v>25757</v>
      </c>
      <c r="K146" s="256">
        <f>CORE!J39</f>
        <v>64262</v>
      </c>
      <c r="L146" s="256">
        <f>CORE!K39</f>
        <v>48452</v>
      </c>
      <c r="M146" s="256">
        <f>CORE!L39</f>
        <v>16435</v>
      </c>
      <c r="N146" s="256">
        <f>CORE!M39</f>
        <v>5239</v>
      </c>
      <c r="O146" s="256">
        <f>CORE!N39</f>
        <v>0</v>
      </c>
      <c r="P146" s="256">
        <v>0</v>
      </c>
      <c r="Q146" s="256">
        <v>0</v>
      </c>
      <c r="R146" s="74"/>
    </row>
    <row r="147" spans="1:18" ht="12.75">
      <c r="A147" s="83" t="s">
        <v>199</v>
      </c>
      <c r="B147" s="256">
        <f t="shared" si="43"/>
        <v>0</v>
      </c>
      <c r="C147" s="256">
        <f t="shared" si="44"/>
        <v>58718</v>
      </c>
      <c r="D147" s="256"/>
      <c r="E147" s="256"/>
      <c r="F147" s="256"/>
      <c r="G147" s="256"/>
      <c r="H147" s="256"/>
      <c r="I147" s="256"/>
      <c r="J147" s="256"/>
      <c r="K147" s="256"/>
      <c r="L147" s="256">
        <f>REIP!B38</f>
        <v>25440</v>
      </c>
      <c r="M147" s="256">
        <f>REIP!C38</f>
        <v>33278</v>
      </c>
      <c r="N147" s="256">
        <f>REIP!D38</f>
        <v>7043</v>
      </c>
      <c r="O147" s="256">
        <f>REIP!E38</f>
        <v>24821</v>
      </c>
      <c r="P147" s="256">
        <f>REIP!F38</f>
        <v>24896</v>
      </c>
      <c r="Q147" s="256">
        <f>REIP!G38</f>
        <v>17783</v>
      </c>
      <c r="R147" s="74"/>
    </row>
    <row r="148" spans="1:18" ht="12.75">
      <c r="A148" s="83" t="s">
        <v>164</v>
      </c>
      <c r="B148" s="256">
        <f t="shared" si="43"/>
        <v>0</v>
      </c>
      <c r="C148" s="256">
        <f t="shared" si="44"/>
        <v>277451</v>
      </c>
      <c r="D148" s="256"/>
      <c r="E148" s="256"/>
      <c r="F148" s="256"/>
      <c r="G148" s="256"/>
      <c r="H148" s="256"/>
      <c r="I148" s="256"/>
      <c r="J148" s="256"/>
      <c r="K148" s="256"/>
      <c r="L148" s="256">
        <f>REC!D30</f>
        <v>65002</v>
      </c>
      <c r="M148" s="256">
        <f>REC!E30</f>
        <v>212449</v>
      </c>
      <c r="N148" s="256">
        <f>REC!F30</f>
        <v>694020</v>
      </c>
      <c r="O148" s="256">
        <f>REC!G30</f>
        <v>695273</v>
      </c>
      <c r="P148" s="256">
        <f>REC!H30</f>
        <v>413854</v>
      </c>
      <c r="Q148" s="256">
        <f>REC!I30</f>
        <v>481595</v>
      </c>
      <c r="R148" s="74"/>
    </row>
    <row r="149" spans="1:18" ht="12.75">
      <c r="A149" s="83" t="s">
        <v>200</v>
      </c>
      <c r="B149" s="256">
        <f t="shared" si="43"/>
        <v>0</v>
      </c>
      <c r="C149" s="256">
        <f t="shared" si="44"/>
        <v>0</v>
      </c>
      <c r="D149" s="256"/>
      <c r="E149" s="256"/>
      <c r="F149" s="256"/>
      <c r="G149" s="256"/>
      <c r="H149" s="256"/>
      <c r="I149" s="256"/>
      <c r="J149" s="256"/>
      <c r="K149" s="256"/>
      <c r="L149" s="256">
        <v>0</v>
      </c>
      <c r="M149" s="256">
        <v>0</v>
      </c>
      <c r="N149" s="256">
        <v>0</v>
      </c>
      <c r="O149" s="256">
        <v>0</v>
      </c>
      <c r="P149" s="256">
        <v>0</v>
      </c>
      <c r="Q149" s="256">
        <v>0</v>
      </c>
      <c r="R149" s="74"/>
    </row>
    <row r="150" spans="1:18" ht="12.75">
      <c r="A150" s="55" t="s">
        <v>251</v>
      </c>
      <c r="B150" s="256">
        <f t="shared" si="43"/>
        <v>0</v>
      </c>
      <c r="C150" s="256">
        <f t="shared" si="44"/>
        <v>34156</v>
      </c>
      <c r="D150" s="256"/>
      <c r="E150" s="256"/>
      <c r="F150" s="256"/>
      <c r="G150" s="256"/>
      <c r="H150" s="256"/>
      <c r="I150" s="256"/>
      <c r="J150" s="256"/>
      <c r="K150" s="256"/>
      <c r="L150" s="256">
        <f>'RE Grid Connected'!B28</f>
        <v>0</v>
      </c>
      <c r="M150" s="256">
        <f>'RE Grid Connected'!C28</f>
        <v>34156</v>
      </c>
      <c r="N150" s="256">
        <f>'RE Grid Connected'!D28</f>
        <v>23926</v>
      </c>
      <c r="O150" s="256">
        <f>'RE Grid Connected'!E28</f>
        <v>13924</v>
      </c>
      <c r="P150" s="256">
        <f>'RE Grid Connected'!F28</f>
        <v>0</v>
      </c>
      <c r="Q150" s="256">
        <f>'RE Grid Connected'!G28</f>
        <v>0</v>
      </c>
      <c r="R150" s="74"/>
    </row>
    <row r="151" spans="1:18" ht="12.75">
      <c r="A151" s="83" t="s">
        <v>116</v>
      </c>
      <c r="B151" s="256">
        <f t="shared" si="43"/>
        <v>12516</v>
      </c>
      <c r="C151" s="256">
        <f t="shared" si="44"/>
        <v>103017</v>
      </c>
      <c r="D151" s="256"/>
      <c r="E151" s="256"/>
      <c r="F151" s="256"/>
      <c r="G151" s="256"/>
      <c r="H151" s="256">
        <f>'RE Grants and Financing'!F30</f>
        <v>12516</v>
      </c>
      <c r="I151" s="256">
        <f>'RE Grants and Financing'!G46</f>
        <v>39593</v>
      </c>
      <c r="J151" s="256">
        <f>'RE Grants and Financing'!H46</f>
        <v>54712</v>
      </c>
      <c r="K151" s="256">
        <f>'RE Grants and Financing'!I46</f>
        <v>8712</v>
      </c>
      <c r="L151" s="256">
        <v>0</v>
      </c>
      <c r="M151" s="256">
        <v>0</v>
      </c>
      <c r="N151" s="256">
        <v>0</v>
      </c>
      <c r="O151" s="256">
        <v>0</v>
      </c>
      <c r="P151" s="256">
        <v>0</v>
      </c>
      <c r="Q151" s="256">
        <v>0</v>
      </c>
      <c r="R151" s="74"/>
    </row>
    <row r="152" spans="1:18" ht="12.75">
      <c r="A152" s="73" t="s">
        <v>1</v>
      </c>
      <c r="B152" s="267">
        <f t="shared" si="43"/>
        <v>96117</v>
      </c>
      <c r="C152" s="267">
        <f t="shared" si="44"/>
        <v>663564</v>
      </c>
      <c r="D152" s="267"/>
      <c r="E152" s="267"/>
      <c r="F152" s="267"/>
      <c r="G152" s="267"/>
      <c r="H152" s="267">
        <f aca="true" t="shared" si="45" ref="H152:M152">SUM(H146:H151)</f>
        <v>96117</v>
      </c>
      <c r="I152" s="267">
        <f t="shared" si="45"/>
        <v>74909</v>
      </c>
      <c r="J152" s="267">
        <f t="shared" si="45"/>
        <v>80469</v>
      </c>
      <c r="K152" s="267">
        <f t="shared" si="45"/>
        <v>72974</v>
      </c>
      <c r="L152" s="267">
        <f t="shared" si="45"/>
        <v>138894</v>
      </c>
      <c r="M152" s="267">
        <f t="shared" si="45"/>
        <v>296318</v>
      </c>
      <c r="N152" s="267">
        <f>SUM(N146:N151)</f>
        <v>730228</v>
      </c>
      <c r="O152" s="267">
        <f>SUM(O146:O151)</f>
        <v>734018</v>
      </c>
      <c r="P152" s="267">
        <f>SUM(P146:P151)</f>
        <v>438750</v>
      </c>
      <c r="Q152" s="267">
        <f>SUM(Q146:Q151)</f>
        <v>499378</v>
      </c>
      <c r="R152" s="74"/>
    </row>
    <row r="153" spans="1:18" ht="12.75">
      <c r="A153" s="34"/>
      <c r="B153" s="97"/>
      <c r="C153" s="97"/>
      <c r="D153" s="97"/>
      <c r="E153" s="97"/>
      <c r="F153" s="97"/>
      <c r="G153" s="97"/>
      <c r="H153" s="97"/>
      <c r="I153" s="97"/>
      <c r="J153" s="97"/>
      <c r="K153" s="97"/>
      <c r="L153" s="97"/>
      <c r="M153" s="97"/>
      <c r="N153" s="97"/>
      <c r="O153" s="97"/>
      <c r="P153" s="97"/>
      <c r="Q153" s="97"/>
      <c r="R153" s="97"/>
    </row>
    <row r="154" spans="1:18" ht="12.75">
      <c r="A154" s="67" t="s">
        <v>429</v>
      </c>
      <c r="B154" s="87"/>
      <c r="C154" s="87"/>
      <c r="D154" s="87" t="s">
        <v>397</v>
      </c>
      <c r="E154" s="87" t="s">
        <v>397</v>
      </c>
      <c r="F154" s="87" t="s">
        <v>397</v>
      </c>
      <c r="G154" s="87" t="s">
        <v>397</v>
      </c>
      <c r="H154" s="87" t="s">
        <v>397</v>
      </c>
      <c r="I154" s="87" t="s">
        <v>397</v>
      </c>
      <c r="J154" s="87" t="s">
        <v>397</v>
      </c>
      <c r="K154" s="87" t="s">
        <v>397</v>
      </c>
      <c r="L154" s="87" t="s">
        <v>397</v>
      </c>
      <c r="M154" s="87" t="s">
        <v>397</v>
      </c>
      <c r="N154" s="87" t="s">
        <v>397</v>
      </c>
      <c r="O154" s="87" t="s">
        <v>397</v>
      </c>
      <c r="P154" s="87" t="s">
        <v>397</v>
      </c>
      <c r="Q154" s="87" t="s">
        <v>397</v>
      </c>
      <c r="R154" s="97"/>
    </row>
    <row r="155" spans="1:18" ht="12.75">
      <c r="A155" s="230" t="s">
        <v>67</v>
      </c>
      <c r="B155" s="256">
        <f aca="true" t="shared" si="46" ref="B155:B163">SUM(D155:H155)</f>
        <v>130568</v>
      </c>
      <c r="C155" s="256">
        <f aca="true" t="shared" si="47" ref="C155:C163">SUM(I155:M155)</f>
        <v>116548</v>
      </c>
      <c r="D155" s="256">
        <f>RNC!D44</f>
        <v>6547</v>
      </c>
      <c r="E155" s="256">
        <f>RNC!E44</f>
        <v>31455</v>
      </c>
      <c r="F155" s="256">
        <f>RNC!F44</f>
        <v>39030</v>
      </c>
      <c r="G155" s="256">
        <f>RNC!G44</f>
        <v>10985</v>
      </c>
      <c r="H155" s="256">
        <f>RNC!H44</f>
        <v>42551</v>
      </c>
      <c r="I155" s="256">
        <f>RNC!I44</f>
        <v>54027</v>
      </c>
      <c r="J155" s="256">
        <f>RNC!J44</f>
        <v>18869</v>
      </c>
      <c r="K155" s="256">
        <f>RNC!K44</f>
        <v>24815</v>
      </c>
      <c r="L155" s="256">
        <f>RNC!L44</f>
        <v>10221</v>
      </c>
      <c r="M155" s="256">
        <f>RNC!M44</f>
        <v>8616</v>
      </c>
      <c r="N155" s="256">
        <f>RNC!N44</f>
        <v>4619</v>
      </c>
      <c r="O155" s="256">
        <f>RNC!O44</f>
        <v>13715</v>
      </c>
      <c r="P155" s="256">
        <f>RNC!P44</f>
        <v>7202</v>
      </c>
      <c r="Q155" s="256">
        <f>RNC!Q44</f>
        <v>100805.96206618242</v>
      </c>
      <c r="R155" s="97"/>
    </row>
    <row r="156" spans="1:18" ht="12.75">
      <c r="A156" s="230" t="s">
        <v>158</v>
      </c>
      <c r="B156" s="256">
        <f t="shared" si="46"/>
        <v>0</v>
      </c>
      <c r="C156" s="256">
        <f t="shared" si="47"/>
        <v>0</v>
      </c>
      <c r="D156" s="256"/>
      <c r="E156" s="256"/>
      <c r="F156" s="256"/>
      <c r="G156" s="256"/>
      <c r="H156" s="256"/>
      <c r="I156" s="256"/>
      <c r="J156" s="256"/>
      <c r="K156" s="256"/>
      <c r="L156" s="256"/>
      <c r="M156" s="256"/>
      <c r="N156" s="480"/>
      <c r="O156" s="480"/>
      <c r="P156" s="256">
        <f>'Home Perf'!J45</f>
        <v>80</v>
      </c>
      <c r="Q156" s="256">
        <f>'Home Perf'!K45</f>
        <v>851.4663453536756</v>
      </c>
      <c r="R156" s="97"/>
    </row>
    <row r="157" spans="1:18" ht="12.75">
      <c r="A157" s="230" t="s">
        <v>74</v>
      </c>
      <c r="B157" s="256">
        <f t="shared" si="46"/>
        <v>22225</v>
      </c>
      <c r="C157" s="256">
        <f t="shared" si="47"/>
        <v>98457</v>
      </c>
      <c r="D157" s="256">
        <f>'C&amp;I'!D99</f>
        <v>0</v>
      </c>
      <c r="E157" s="256">
        <f>'C&amp;I'!E99</f>
        <v>0</v>
      </c>
      <c r="F157" s="256">
        <f>'C&amp;I'!F99</f>
        <v>0</v>
      </c>
      <c r="G157" s="256">
        <f>'C&amp;I'!G99</f>
        <v>0</v>
      </c>
      <c r="H157" s="256">
        <f>'C&amp;I'!H99</f>
        <v>22225</v>
      </c>
      <c r="I157" s="256">
        <f>'C&amp;I'!I99</f>
        <v>10038</v>
      </c>
      <c r="J157" s="256">
        <f>'C&amp;I'!J99</f>
        <v>24173</v>
      </c>
      <c r="K157" s="256">
        <f>'C&amp;I'!K99</f>
        <v>18996</v>
      </c>
      <c r="L157" s="256">
        <f>'C&amp;I'!L99</f>
        <v>25536</v>
      </c>
      <c r="M157" s="256">
        <f>'C&amp;I'!M99</f>
        <v>19714</v>
      </c>
      <c r="N157" s="256">
        <f>'C&amp;I'!N99</f>
        <v>121819</v>
      </c>
      <c r="O157" s="256">
        <f>'C&amp;I'!O99</f>
        <v>32583</v>
      </c>
      <c r="P157" s="256">
        <f>'C&amp;I'!P99</f>
        <v>28654</v>
      </c>
      <c r="Q157" s="256">
        <f>'C&amp;I'!Q99</f>
        <v>34299</v>
      </c>
      <c r="R157" s="97"/>
    </row>
    <row r="158" spans="1:18" ht="12.75">
      <c r="A158" s="180" t="s">
        <v>236</v>
      </c>
      <c r="B158" s="256">
        <f t="shared" si="46"/>
        <v>0</v>
      </c>
      <c r="C158" s="256">
        <f t="shared" si="47"/>
        <v>0</v>
      </c>
      <c r="D158" s="256"/>
      <c r="E158" s="256"/>
      <c r="F158" s="256"/>
      <c r="G158" s="256"/>
      <c r="H158" s="256"/>
      <c r="I158" s="256"/>
      <c r="J158" s="256"/>
      <c r="K158" s="256"/>
      <c r="L158" s="256"/>
      <c r="M158" s="256"/>
      <c r="N158" s="256">
        <f>'P4P '!K75</f>
        <v>10469</v>
      </c>
      <c r="O158" s="256">
        <f>'P4P '!L73</f>
        <v>9585</v>
      </c>
      <c r="P158" s="256">
        <f>'P4P '!M73</f>
        <v>6525</v>
      </c>
      <c r="Q158" s="256">
        <f>'P4P '!N73</f>
        <v>8752</v>
      </c>
      <c r="R158" s="97"/>
    </row>
    <row r="159" spans="1:18" ht="12.75">
      <c r="A159" s="180" t="s">
        <v>340</v>
      </c>
      <c r="B159" s="256">
        <f t="shared" si="46"/>
        <v>0</v>
      </c>
      <c r="C159" s="256">
        <f t="shared" si="47"/>
        <v>0</v>
      </c>
      <c r="D159" s="256"/>
      <c r="E159" s="256"/>
      <c r="F159" s="256"/>
      <c r="G159" s="256"/>
      <c r="H159" s="256"/>
      <c r="I159" s="256"/>
      <c r="J159" s="256"/>
      <c r="K159" s="256"/>
      <c r="L159" s="256"/>
      <c r="M159" s="256"/>
      <c r="N159" s="480"/>
      <c r="O159" s="256">
        <f>'P4P '!L74</f>
        <v>1795</v>
      </c>
      <c r="P159" s="256">
        <f>'P4P '!M74</f>
        <v>0</v>
      </c>
      <c r="Q159" s="256">
        <f>'P4P '!N74</f>
        <v>0</v>
      </c>
      <c r="R159" s="97"/>
    </row>
    <row r="160" spans="1:18" ht="12.75">
      <c r="A160" s="180" t="s">
        <v>237</v>
      </c>
      <c r="B160" s="256">
        <f t="shared" si="46"/>
        <v>0</v>
      </c>
      <c r="C160" s="256">
        <f t="shared" si="47"/>
        <v>0</v>
      </c>
      <c r="D160" s="256"/>
      <c r="E160" s="256"/>
      <c r="F160" s="256"/>
      <c r="G160" s="256"/>
      <c r="H160" s="256"/>
      <c r="I160" s="256"/>
      <c r="J160" s="256"/>
      <c r="K160" s="256"/>
      <c r="L160" s="256"/>
      <c r="M160" s="256"/>
      <c r="N160" s="256">
        <f>'P4P NC'!C46</f>
        <v>1288</v>
      </c>
      <c r="O160" s="256">
        <f>'P4P NC'!D46</f>
        <v>200</v>
      </c>
      <c r="P160" s="256">
        <f>'P4P NC'!E46</f>
        <v>7</v>
      </c>
      <c r="Q160" s="256">
        <f>'P4P NC'!F46</f>
        <v>8187</v>
      </c>
      <c r="R160" s="97"/>
    </row>
    <row r="161" spans="1:18" ht="12.75">
      <c r="A161" s="180" t="s">
        <v>183</v>
      </c>
      <c r="B161" s="256">
        <f t="shared" si="46"/>
        <v>0</v>
      </c>
      <c r="C161" s="256">
        <f t="shared" si="47"/>
        <v>3753</v>
      </c>
      <c r="D161" s="256"/>
      <c r="E161" s="256"/>
      <c r="F161" s="256"/>
      <c r="G161" s="256"/>
      <c r="H161" s="256"/>
      <c r="I161" s="256"/>
      <c r="J161" s="256"/>
      <c r="K161" s="256"/>
      <c r="L161" s="256"/>
      <c r="M161" s="256">
        <f>'Direct Install'!D42</f>
        <v>3753</v>
      </c>
      <c r="N161" s="256">
        <f>'Direct Install'!E42</f>
        <v>6497</v>
      </c>
      <c r="O161" s="256">
        <f>'Direct Install'!F42</f>
        <v>5416</v>
      </c>
      <c r="P161" s="256">
        <f>'Direct Install'!G42</f>
        <v>4825</v>
      </c>
      <c r="Q161" s="256">
        <f>'Direct Install'!H42</f>
        <v>4226</v>
      </c>
      <c r="R161" s="97"/>
    </row>
    <row r="162" spans="1:18" ht="12.75">
      <c r="A162" s="180" t="s">
        <v>341</v>
      </c>
      <c r="B162" s="256">
        <f t="shared" si="46"/>
        <v>0</v>
      </c>
      <c r="C162" s="256">
        <f t="shared" si="47"/>
        <v>0</v>
      </c>
      <c r="D162" s="256"/>
      <c r="E162" s="256"/>
      <c r="F162" s="256"/>
      <c r="G162" s="256"/>
      <c r="H162" s="256"/>
      <c r="I162" s="256"/>
      <c r="J162" s="256"/>
      <c r="K162" s="256"/>
      <c r="L162" s="256"/>
      <c r="M162" s="256"/>
      <c r="N162" s="480"/>
      <c r="O162" s="256">
        <f>LEUP!C42</f>
        <v>4418</v>
      </c>
      <c r="P162" s="256">
        <f>LEUP!D42</f>
        <v>862</v>
      </c>
      <c r="Q162" s="256">
        <f>LEUP!E42</f>
        <v>6059</v>
      </c>
      <c r="R162" s="97"/>
    </row>
    <row r="163" spans="1:18" ht="12.75">
      <c r="A163" s="29" t="s">
        <v>392</v>
      </c>
      <c r="B163" s="267">
        <f t="shared" si="46"/>
        <v>152793</v>
      </c>
      <c r="C163" s="267">
        <f t="shared" si="47"/>
        <v>218758</v>
      </c>
      <c r="D163" s="267">
        <f>SUM(D155:D161)</f>
        <v>6547</v>
      </c>
      <c r="E163" s="267">
        <f>SUM(E155:E161)</f>
        <v>31455</v>
      </c>
      <c r="F163" s="267">
        <f>SUM(F155:F161)</f>
        <v>39030</v>
      </c>
      <c r="G163" s="267">
        <f>SUM(G155:G161)</f>
        <v>10985</v>
      </c>
      <c r="H163" s="267">
        <f>SUM(H155:H161)</f>
        <v>64776</v>
      </c>
      <c r="I163" s="267">
        <f aca="true" t="shared" si="48" ref="I163:O163">SUM(I155:I162)</f>
        <v>64065</v>
      </c>
      <c r="J163" s="267">
        <f t="shared" si="48"/>
        <v>43042</v>
      </c>
      <c r="K163" s="267">
        <f t="shared" si="48"/>
        <v>43811</v>
      </c>
      <c r="L163" s="267">
        <f t="shared" si="48"/>
        <v>35757</v>
      </c>
      <c r="M163" s="267">
        <f t="shared" si="48"/>
        <v>32083</v>
      </c>
      <c r="N163" s="267">
        <f t="shared" si="48"/>
        <v>144692</v>
      </c>
      <c r="O163" s="267">
        <f t="shared" si="48"/>
        <v>67712</v>
      </c>
      <c r="P163" s="267">
        <f>SUM(P155:P162)</f>
        <v>48155</v>
      </c>
      <c r="Q163" s="267">
        <f>SUM(Q155:Q162)</f>
        <v>163180.4284115361</v>
      </c>
      <c r="R163" s="97"/>
    </row>
    <row r="164" spans="1:18" ht="12.75">
      <c r="A164" s="74"/>
      <c r="B164" s="74"/>
      <c r="C164" s="74"/>
      <c r="D164" s="74"/>
      <c r="E164" s="74"/>
      <c r="F164" s="74"/>
      <c r="G164" s="74"/>
      <c r="H164" s="74"/>
      <c r="I164" s="74"/>
      <c r="J164" s="74"/>
      <c r="K164" s="74"/>
      <c r="L164" s="74"/>
      <c r="M164" s="74"/>
      <c r="N164" s="74"/>
      <c r="O164" s="74"/>
      <c r="P164" s="74"/>
      <c r="Q164" s="74"/>
      <c r="R164" s="74"/>
    </row>
    <row r="165" spans="1:18" ht="12.75">
      <c r="A165" s="67" t="s">
        <v>430</v>
      </c>
      <c r="B165" s="87"/>
      <c r="C165" s="87"/>
      <c r="D165" s="87" t="s">
        <v>397</v>
      </c>
      <c r="E165" s="87" t="s">
        <v>397</v>
      </c>
      <c r="F165" s="87" t="s">
        <v>397</v>
      </c>
      <c r="G165" s="87" t="s">
        <v>397</v>
      </c>
      <c r="H165" s="87" t="s">
        <v>397</v>
      </c>
      <c r="I165" s="87"/>
      <c r="J165" s="87"/>
      <c r="K165" s="87"/>
      <c r="L165" s="87"/>
      <c r="M165" s="87"/>
      <c r="N165" s="87"/>
      <c r="O165" s="87"/>
      <c r="P165" s="87"/>
      <c r="Q165" s="87"/>
      <c r="R165" s="74"/>
    </row>
    <row r="166" spans="1:18" ht="12.75">
      <c r="A166" s="180" t="s">
        <v>340</v>
      </c>
      <c r="B166" s="253">
        <f>SUM(D166:H166)</f>
        <v>0</v>
      </c>
      <c r="C166" s="253">
        <f>SUM(I166:M166)</f>
        <v>0</v>
      </c>
      <c r="D166" s="253"/>
      <c r="E166" s="253"/>
      <c r="F166" s="253"/>
      <c r="G166" s="253"/>
      <c r="H166" s="253"/>
      <c r="I166" s="253"/>
      <c r="J166" s="253"/>
      <c r="K166" s="253"/>
      <c r="L166" s="253"/>
      <c r="M166" s="253"/>
      <c r="N166" s="479"/>
      <c r="O166" s="253">
        <f>'P4P '!L83</f>
        <v>1795</v>
      </c>
      <c r="P166" s="253">
        <f>'P4P '!M83</f>
        <v>0</v>
      </c>
      <c r="Q166" s="253">
        <f>'P4P '!N83</f>
        <v>0</v>
      </c>
      <c r="R166" s="301"/>
    </row>
    <row r="167" spans="1:18" ht="12.75">
      <c r="A167" s="333" t="s">
        <v>358</v>
      </c>
      <c r="B167" s="253">
        <f>SUM(D167:H167)</f>
        <v>0</v>
      </c>
      <c r="C167" s="253">
        <f>SUM(I167:M167)</f>
        <v>0</v>
      </c>
      <c r="D167" s="253"/>
      <c r="E167" s="253"/>
      <c r="F167" s="253"/>
      <c r="G167" s="253"/>
      <c r="H167" s="253"/>
      <c r="I167" s="253"/>
      <c r="J167" s="253"/>
      <c r="K167" s="253"/>
      <c r="L167" s="253"/>
      <c r="M167" s="253"/>
      <c r="N167" s="479"/>
      <c r="O167" s="253">
        <f>'CHP-FuelCell_Lrg-Small'!O100</f>
        <v>17004</v>
      </c>
      <c r="P167" s="253">
        <f>'CHP-FuelCell_Lrg-Small'!P100</f>
        <v>4243</v>
      </c>
      <c r="Q167" s="253">
        <f>'CHP-FuelCell_Lrg-Small'!Q100</f>
        <v>12548</v>
      </c>
      <c r="R167" s="301"/>
    </row>
    <row r="168" spans="1:18" ht="12.75">
      <c r="A168" s="48" t="s">
        <v>1</v>
      </c>
      <c r="B168" s="254">
        <f>SUM(D168:H168)</f>
        <v>2668</v>
      </c>
      <c r="C168" s="254">
        <f>SUM(I168:M168)</f>
        <v>47387</v>
      </c>
      <c r="D168" s="254"/>
      <c r="E168" s="254"/>
      <c r="F168" s="254"/>
      <c r="G168" s="254"/>
      <c r="H168" s="254">
        <f>'CHP-FuelCell_Lrg-Small'!H100</f>
        <v>2668</v>
      </c>
      <c r="I168" s="254">
        <f>'CHP-FuelCell_Lrg-Small'!I100</f>
        <v>0</v>
      </c>
      <c r="J168" s="254">
        <f>'CHP-FuelCell_Lrg-Small'!J100</f>
        <v>13685</v>
      </c>
      <c r="K168" s="254">
        <f>'CHP-FuelCell_Lrg-Small'!K100</f>
        <v>11365</v>
      </c>
      <c r="L168" s="254">
        <f>'CHP-FuelCell_Lrg-Small'!L100</f>
        <v>16367</v>
      </c>
      <c r="M168" s="254">
        <f>'CHP-FuelCell_Lrg-Small'!M100</f>
        <v>5970</v>
      </c>
      <c r="N168" s="254">
        <f>'CHP-FuelCell_Lrg-Small'!N100</f>
        <v>300</v>
      </c>
      <c r="O168" s="254">
        <f>SUM(O166:O167)</f>
        <v>18799</v>
      </c>
      <c r="P168" s="254">
        <f>SUM(P166:P167)</f>
        <v>4243</v>
      </c>
      <c r="Q168" s="254">
        <f>SUM(Q166:Q167)</f>
        <v>12548</v>
      </c>
      <c r="R168" s="74"/>
    </row>
    <row r="169" ht="12.75">
      <c r="R169" s="74"/>
    </row>
    <row r="170" spans="1:18" ht="12.75">
      <c r="A170" s="210" t="s">
        <v>431</v>
      </c>
      <c r="B170" s="87"/>
      <c r="C170" s="87"/>
      <c r="D170" s="87" t="s">
        <v>397</v>
      </c>
      <c r="E170" s="87" t="s">
        <v>397</v>
      </c>
      <c r="F170" s="87" t="s">
        <v>397</v>
      </c>
      <c r="G170" s="87" t="s">
        <v>397</v>
      </c>
      <c r="H170" s="87" t="s">
        <v>397</v>
      </c>
      <c r="I170" s="87"/>
      <c r="J170" s="87"/>
      <c r="K170" s="87"/>
      <c r="L170" s="87"/>
      <c r="M170" s="87"/>
      <c r="N170" s="87"/>
      <c r="O170" s="87"/>
      <c r="P170" s="87"/>
      <c r="Q170" s="87"/>
      <c r="R170" s="87"/>
    </row>
    <row r="171" spans="1:18" ht="12.75">
      <c r="A171" s="83" t="s">
        <v>76</v>
      </c>
      <c r="B171" s="252">
        <f aca="true" t="shared" si="49" ref="B171:B176">SUM(D171:H171)</f>
        <v>38148</v>
      </c>
      <c r="C171" s="252">
        <f aca="true" t="shared" si="50" ref="C171:C176">SUM(I171:M171)</f>
        <v>158518</v>
      </c>
      <c r="D171" s="252"/>
      <c r="E171" s="252"/>
      <c r="F171" s="252"/>
      <c r="G171" s="252"/>
      <c r="H171" s="252">
        <f>CORE!G43</f>
        <v>38148</v>
      </c>
      <c r="I171" s="252">
        <f>CORE!H43</f>
        <v>29430</v>
      </c>
      <c r="J171" s="252">
        <f>CORE!I43</f>
        <v>21464</v>
      </c>
      <c r="K171" s="252">
        <f>CORE!J43</f>
        <v>53552</v>
      </c>
      <c r="L171" s="252">
        <f>CORE!K43</f>
        <v>40376</v>
      </c>
      <c r="M171" s="252">
        <f>CORE!L43</f>
        <v>13696</v>
      </c>
      <c r="N171" s="252">
        <f>CORE!M43</f>
        <v>4366</v>
      </c>
      <c r="O171" s="252">
        <f>CORE!N43</f>
        <v>0</v>
      </c>
      <c r="P171" s="252">
        <v>0</v>
      </c>
      <c r="Q171" s="252">
        <v>0</v>
      </c>
      <c r="R171" s="139"/>
    </row>
    <row r="172" spans="1:18" ht="12.75">
      <c r="A172" s="83" t="s">
        <v>199</v>
      </c>
      <c r="B172" s="256">
        <f t="shared" si="49"/>
        <v>0</v>
      </c>
      <c r="C172" s="256">
        <f t="shared" si="50"/>
        <v>48931</v>
      </c>
      <c r="D172" s="252"/>
      <c r="E172" s="252"/>
      <c r="F172" s="252"/>
      <c r="G172" s="252"/>
      <c r="H172" s="252"/>
      <c r="I172" s="252"/>
      <c r="J172" s="252"/>
      <c r="K172" s="252"/>
      <c r="L172" s="256">
        <f>REIP!B42</f>
        <v>21200</v>
      </c>
      <c r="M172" s="256">
        <f>REIP!C42</f>
        <v>27731</v>
      </c>
      <c r="N172" s="256">
        <f>REIP!D42</f>
        <v>5869</v>
      </c>
      <c r="O172" s="256">
        <f>REIP!E42</f>
        <v>3652</v>
      </c>
      <c r="P172" s="256">
        <f>REIP!F42</f>
        <v>4060</v>
      </c>
      <c r="Q172" s="256">
        <f>REIP!G42</f>
        <v>2900</v>
      </c>
      <c r="R172" s="139"/>
    </row>
    <row r="173" spans="1:18" ht="12.75">
      <c r="A173" s="83" t="s">
        <v>164</v>
      </c>
      <c r="B173" s="252">
        <f t="shared" si="49"/>
        <v>0</v>
      </c>
      <c r="C173" s="252">
        <f t="shared" si="50"/>
        <v>231208</v>
      </c>
      <c r="D173" s="252"/>
      <c r="E173" s="252"/>
      <c r="F173" s="252"/>
      <c r="G173" s="252"/>
      <c r="H173" s="252"/>
      <c r="I173" s="252"/>
      <c r="J173" s="252"/>
      <c r="K173" s="252"/>
      <c r="L173" s="252">
        <f>REC!D34</f>
        <v>54168</v>
      </c>
      <c r="M173" s="252">
        <f>REC!E34</f>
        <v>177040</v>
      </c>
      <c r="N173" s="252">
        <f>REC!F34</f>
        <v>578350</v>
      </c>
      <c r="O173" s="252">
        <f>REC!G34</f>
        <v>579394</v>
      </c>
      <c r="P173" s="252">
        <f>REC!H34</f>
        <v>344878</v>
      </c>
      <c r="Q173" s="252">
        <f>REC!I34</f>
        <v>401329.354</v>
      </c>
      <c r="R173" s="139"/>
    </row>
    <row r="174" spans="1:18" ht="12.75">
      <c r="A174" s="55" t="s">
        <v>251</v>
      </c>
      <c r="B174" s="252">
        <f t="shared" si="49"/>
        <v>0</v>
      </c>
      <c r="C174" s="252">
        <f t="shared" si="50"/>
        <v>8000</v>
      </c>
      <c r="D174" s="252"/>
      <c r="E174" s="252"/>
      <c r="F174" s="252"/>
      <c r="G174" s="252"/>
      <c r="H174" s="252"/>
      <c r="I174" s="252"/>
      <c r="J174" s="252"/>
      <c r="K174" s="252"/>
      <c r="L174" s="252">
        <f>'RE Grid Connected'!B32</f>
        <v>0</v>
      </c>
      <c r="M174" s="252">
        <f>'RE Grid Connected'!C32</f>
        <v>8000</v>
      </c>
      <c r="N174" s="252">
        <f>'RE Grid Connected'!D32</f>
        <v>6500</v>
      </c>
      <c r="O174" s="252">
        <f>'RE Grid Connected'!E32</f>
        <v>2000</v>
      </c>
      <c r="P174" s="252">
        <f>'RE Grid Connected'!F32</f>
        <v>0</v>
      </c>
      <c r="Q174" s="252">
        <f>'RE Grid Connected'!G32</f>
        <v>0</v>
      </c>
      <c r="R174" s="139"/>
    </row>
    <row r="175" spans="1:18" ht="12.75">
      <c r="A175" s="83" t="s">
        <v>116</v>
      </c>
      <c r="B175" s="252">
        <f t="shared" si="49"/>
        <v>1600</v>
      </c>
      <c r="C175" s="252">
        <f t="shared" si="50"/>
        <v>15350</v>
      </c>
      <c r="D175" s="252"/>
      <c r="E175" s="252"/>
      <c r="F175" s="252"/>
      <c r="G175" s="252"/>
      <c r="H175" s="252">
        <f>'RE Grants and Financing'!F42</f>
        <v>1600</v>
      </c>
      <c r="I175" s="252">
        <f>'RE Grants and Financing'!G49</f>
        <v>6150</v>
      </c>
      <c r="J175" s="252">
        <f>'RE Grants and Financing'!H49</f>
        <v>7700</v>
      </c>
      <c r="K175" s="252">
        <f>'RE Grants and Financing'!I49</f>
        <v>1500</v>
      </c>
      <c r="L175" s="252">
        <f>'RE Grants and Financing'!J49</f>
        <v>0</v>
      </c>
      <c r="M175" s="252">
        <f>'RE Grants and Financing'!K49</f>
        <v>0</v>
      </c>
      <c r="N175" s="252">
        <f>'RE Grants and Financing'!L49</f>
        <v>0</v>
      </c>
      <c r="O175" s="252">
        <f>'RE Grants and Financing'!M49</f>
        <v>0</v>
      </c>
      <c r="P175" s="252">
        <f>'RE Grants and Financing'!N49</f>
        <v>0</v>
      </c>
      <c r="Q175" s="252">
        <f>'RE Grants and Financing'!O49</f>
        <v>0</v>
      </c>
      <c r="R175" s="139"/>
    </row>
    <row r="176" spans="1:18" ht="12.75">
      <c r="A176" s="73" t="s">
        <v>1</v>
      </c>
      <c r="B176" s="254">
        <f t="shared" si="49"/>
        <v>39748</v>
      </c>
      <c r="C176" s="254">
        <f t="shared" si="50"/>
        <v>462007</v>
      </c>
      <c r="D176" s="254"/>
      <c r="E176" s="254"/>
      <c r="F176" s="254"/>
      <c r="G176" s="254"/>
      <c r="H176" s="254">
        <f aca="true" t="shared" si="51" ref="H176:M176">SUM(H171:H175)</f>
        <v>39748</v>
      </c>
      <c r="I176" s="254">
        <f t="shared" si="51"/>
        <v>35580</v>
      </c>
      <c r="J176" s="254">
        <f t="shared" si="51"/>
        <v>29164</v>
      </c>
      <c r="K176" s="254">
        <f t="shared" si="51"/>
        <v>55052</v>
      </c>
      <c r="L176" s="254">
        <f t="shared" si="51"/>
        <v>115744</v>
      </c>
      <c r="M176" s="254">
        <f t="shared" si="51"/>
        <v>226467</v>
      </c>
      <c r="N176" s="254">
        <f>SUM(N171:N175)</f>
        <v>595085</v>
      </c>
      <c r="O176" s="254">
        <f>SUM(O171:O175)</f>
        <v>585046</v>
      </c>
      <c r="P176" s="254">
        <f>SUM(P171:P175)</f>
        <v>348938</v>
      </c>
      <c r="Q176" s="254">
        <f>SUM(Q171:Q175)</f>
        <v>404229.354</v>
      </c>
      <c r="R176" s="139"/>
    </row>
    <row r="177" spans="1:18" ht="12.75">
      <c r="A177" s="332" t="s">
        <v>291</v>
      </c>
      <c r="B177" s="325"/>
      <c r="C177" s="325"/>
      <c r="D177" s="325"/>
      <c r="E177" s="325"/>
      <c r="F177" s="325"/>
      <c r="G177" s="325"/>
      <c r="H177" s="325"/>
      <c r="I177" s="325"/>
      <c r="J177" s="325"/>
      <c r="K177" s="325"/>
      <c r="L177" s="325"/>
      <c r="M177" s="325"/>
      <c r="N177" s="325"/>
      <c r="O177" s="325"/>
      <c r="P177" s="325"/>
      <c r="Q177" s="325"/>
      <c r="R177" s="139"/>
    </row>
    <row r="178" spans="1:18" ht="15">
      <c r="A178" s="410"/>
      <c r="B178" s="326"/>
      <c r="C178" s="326"/>
      <c r="D178" s="326"/>
      <c r="E178" s="326"/>
      <c r="F178" s="326"/>
      <c r="G178" s="326"/>
      <c r="H178" s="326"/>
      <c r="I178" s="326"/>
      <c r="J178" s="326"/>
      <c r="K178" s="326"/>
      <c r="L178" s="326"/>
      <c r="M178" s="326"/>
      <c r="N178" s="326"/>
      <c r="O178" s="326"/>
      <c r="P178" s="326"/>
      <c r="Q178" s="326"/>
      <c r="R178" s="326"/>
    </row>
    <row r="179" spans="1:18" ht="15">
      <c r="A179" s="410" t="s">
        <v>19</v>
      </c>
      <c r="B179" s="326"/>
      <c r="C179" s="326"/>
      <c r="D179" s="326"/>
      <c r="E179" s="326"/>
      <c r="F179" s="326"/>
      <c r="G179" s="326"/>
      <c r="H179" s="326"/>
      <c r="I179" s="326"/>
      <c r="J179" s="326"/>
      <c r="K179" s="326"/>
      <c r="L179" s="326"/>
      <c r="M179" s="326"/>
      <c r="N179" s="326"/>
      <c r="O179" s="326"/>
      <c r="P179" s="326"/>
      <c r="Q179" s="326"/>
      <c r="R179" s="326"/>
    </row>
    <row r="180" spans="1:18" ht="26.25">
      <c r="A180" s="410" t="s">
        <v>343</v>
      </c>
      <c r="B180" s="208" t="str">
        <f aca="true" t="shared" si="52" ref="B180:P180">B4</f>
        <v>Summary 
2001 to 2005*</v>
      </c>
      <c r="C180" s="208" t="str">
        <f>C4</f>
        <v>Summary 
2006 to 2010*</v>
      </c>
      <c r="D180" s="147">
        <f t="shared" si="52"/>
        <v>2001</v>
      </c>
      <c r="E180" s="147">
        <f t="shared" si="52"/>
        <v>2002</v>
      </c>
      <c r="F180" s="147">
        <f t="shared" si="52"/>
        <v>2003</v>
      </c>
      <c r="G180" s="147">
        <f t="shared" si="52"/>
        <v>2004</v>
      </c>
      <c r="H180" s="147">
        <f t="shared" si="52"/>
        <v>2005</v>
      </c>
      <c r="I180" s="147">
        <f t="shared" si="52"/>
        <v>2006</v>
      </c>
      <c r="J180" s="147">
        <f t="shared" si="52"/>
        <v>2007</v>
      </c>
      <c r="K180" s="147">
        <f t="shared" si="52"/>
        <v>2008</v>
      </c>
      <c r="L180" s="147">
        <f t="shared" si="52"/>
        <v>2009</v>
      </c>
      <c r="M180" s="147">
        <f t="shared" si="52"/>
        <v>2010</v>
      </c>
      <c r="N180" s="147">
        <f t="shared" si="52"/>
        <v>2011</v>
      </c>
      <c r="O180" s="208" t="str">
        <f t="shared" si="52"/>
        <v>(18 month)1
2012-2013</v>
      </c>
      <c r="P180" s="208" t="str">
        <f t="shared" si="52"/>
        <v>FY2014</v>
      </c>
      <c r="Q180" s="208" t="str">
        <f>Q4</f>
        <v>FY2015</v>
      </c>
      <c r="R180" s="208"/>
    </row>
    <row r="181" spans="1:18" ht="12.75">
      <c r="A181" s="75" t="s">
        <v>62</v>
      </c>
      <c r="B181" s="88" t="s">
        <v>11</v>
      </c>
      <c r="C181" s="88" t="s">
        <v>11</v>
      </c>
      <c r="D181" s="88" t="s">
        <v>11</v>
      </c>
      <c r="E181" s="88" t="s">
        <v>11</v>
      </c>
      <c r="F181" s="88" t="s">
        <v>11</v>
      </c>
      <c r="G181" s="88" t="s">
        <v>11</v>
      </c>
      <c r="H181" s="88" t="s">
        <v>11</v>
      </c>
      <c r="I181" s="88" t="s">
        <v>11</v>
      </c>
      <c r="J181" s="88" t="s">
        <v>11</v>
      </c>
      <c r="K181" s="88" t="s">
        <v>11</v>
      </c>
      <c r="L181" s="88" t="s">
        <v>11</v>
      </c>
      <c r="M181" s="88" t="s">
        <v>11</v>
      </c>
      <c r="N181" s="88" t="s">
        <v>11</v>
      </c>
      <c r="O181" s="88" t="s">
        <v>11</v>
      </c>
      <c r="P181" s="88" t="s">
        <v>11</v>
      </c>
      <c r="Q181" s="88" t="s">
        <v>11</v>
      </c>
      <c r="R181" s="58"/>
    </row>
    <row r="182" spans="1:18" ht="12.75">
      <c r="A182" s="230" t="s">
        <v>67</v>
      </c>
      <c r="B182" s="256">
        <f aca="true" t="shared" si="53" ref="B182:B191">SUM(D182:H182)</f>
        <v>2005176</v>
      </c>
      <c r="C182" s="256">
        <f aca="true" t="shared" si="54" ref="C182:C191">SUM(I182:M182)</f>
        <v>1532076</v>
      </c>
      <c r="D182" s="256">
        <f>RNC!D47</f>
        <v>100752</v>
      </c>
      <c r="E182" s="256">
        <f>RNC!E47</f>
        <v>616850</v>
      </c>
      <c r="F182" s="256">
        <f>RNC!F47</f>
        <v>606325</v>
      </c>
      <c r="G182" s="256">
        <f>RNC!G47</f>
        <v>130804</v>
      </c>
      <c r="H182" s="256">
        <f>RNC!H47</f>
        <v>550445</v>
      </c>
      <c r="I182" s="256">
        <f>RNC!I47</f>
        <v>631039</v>
      </c>
      <c r="J182" s="256">
        <f>RNC!J47</f>
        <v>155595</v>
      </c>
      <c r="K182" s="256">
        <f>RNC!K47</f>
        <v>312728</v>
      </c>
      <c r="L182" s="256">
        <f>RNC!L47</f>
        <v>241849</v>
      </c>
      <c r="M182" s="256">
        <f>RNC!M47</f>
        <v>190865</v>
      </c>
      <c r="N182" s="256">
        <f>RNC!N47</f>
        <v>74876</v>
      </c>
      <c r="O182" s="256">
        <f>RNC!O47</f>
        <v>224799</v>
      </c>
      <c r="P182" s="256">
        <f>RNC!P47</f>
        <v>93852</v>
      </c>
      <c r="Q182" s="256">
        <f>RNC!Q47</f>
        <v>99821.58151735271</v>
      </c>
      <c r="R182" s="97"/>
    </row>
    <row r="183" spans="1:18" ht="12.75">
      <c r="A183" s="230" t="s">
        <v>158</v>
      </c>
      <c r="B183" s="256">
        <f t="shared" si="53"/>
        <v>0</v>
      </c>
      <c r="C183" s="256">
        <f t="shared" si="54"/>
        <v>0</v>
      </c>
      <c r="D183" s="256"/>
      <c r="E183" s="256"/>
      <c r="F183" s="256"/>
      <c r="G183" s="256"/>
      <c r="H183" s="256"/>
      <c r="I183" s="256"/>
      <c r="J183" s="256"/>
      <c r="K183" s="256"/>
      <c r="L183" s="256"/>
      <c r="M183" s="256"/>
      <c r="N183" s="480"/>
      <c r="O183" s="480"/>
      <c r="P183" s="256">
        <f>'Home Perf'!J48</f>
        <v>4258</v>
      </c>
      <c r="Q183" s="256">
        <f>'Home Perf'!K48</f>
        <v>59058.316920943136</v>
      </c>
      <c r="R183" s="97"/>
    </row>
    <row r="184" spans="1:18" ht="12.75">
      <c r="A184" s="230" t="s">
        <v>74</v>
      </c>
      <c r="B184" s="256">
        <f t="shared" si="53"/>
        <v>380387</v>
      </c>
      <c r="C184" s="256">
        <f t="shared" si="54"/>
        <v>684561</v>
      </c>
      <c r="D184" s="256">
        <f>'C&amp;I'!D105</f>
        <v>0</v>
      </c>
      <c r="E184" s="256">
        <f>'C&amp;I'!E105</f>
        <v>31802</v>
      </c>
      <c r="F184" s="256">
        <f>'C&amp;I'!F105</f>
        <v>27617</v>
      </c>
      <c r="G184" s="256">
        <f>'C&amp;I'!G105</f>
        <v>153518</v>
      </c>
      <c r="H184" s="256">
        <f>'C&amp;I'!H105</f>
        <v>167450</v>
      </c>
      <c r="I184" s="256">
        <f>'C&amp;I'!I105</f>
        <v>58760</v>
      </c>
      <c r="J184" s="256">
        <f>'C&amp;I'!J105</f>
        <v>57759</v>
      </c>
      <c r="K184" s="256">
        <f>'C&amp;I'!K105</f>
        <v>218136</v>
      </c>
      <c r="L184" s="256">
        <f>'C&amp;I'!L105</f>
        <v>266738</v>
      </c>
      <c r="M184" s="256">
        <f>'C&amp;I'!M105</f>
        <v>83168</v>
      </c>
      <c r="N184" s="256">
        <f>'C&amp;I'!N105</f>
        <v>256360</v>
      </c>
      <c r="O184" s="256">
        <f>'C&amp;I'!O105</f>
        <v>85490</v>
      </c>
      <c r="P184" s="256">
        <f>'C&amp;I'!P105</f>
        <v>113236</v>
      </c>
      <c r="Q184" s="256">
        <f>'C&amp;I'!Q105</f>
        <v>112599</v>
      </c>
      <c r="R184" s="97"/>
    </row>
    <row r="185" spans="1:18" ht="12.75">
      <c r="A185" s="180" t="s">
        <v>236</v>
      </c>
      <c r="B185" s="256">
        <f t="shared" si="53"/>
        <v>0</v>
      </c>
      <c r="C185" s="256">
        <f t="shared" si="54"/>
        <v>105152</v>
      </c>
      <c r="D185" s="256"/>
      <c r="E185" s="256"/>
      <c r="F185" s="256"/>
      <c r="G185" s="256"/>
      <c r="H185" s="256"/>
      <c r="I185" s="256"/>
      <c r="J185" s="256"/>
      <c r="K185" s="256"/>
      <c r="L185" s="256"/>
      <c r="M185" s="256">
        <f>'P4P '!J89</f>
        <v>105152</v>
      </c>
      <c r="N185" s="256">
        <f>'P4P '!K89</f>
        <v>270852</v>
      </c>
      <c r="O185" s="256">
        <f>'P4P '!L87</f>
        <v>291973</v>
      </c>
      <c r="P185" s="256">
        <f>'P4P '!M87</f>
        <v>176810</v>
      </c>
      <c r="Q185" s="256">
        <f>'P4P '!N87</f>
        <v>177422</v>
      </c>
      <c r="R185" s="97"/>
    </row>
    <row r="186" spans="1:18" ht="12.75">
      <c r="A186" s="180" t="s">
        <v>340</v>
      </c>
      <c r="B186" s="256">
        <f t="shared" si="53"/>
        <v>0</v>
      </c>
      <c r="C186" s="256">
        <f t="shared" si="54"/>
        <v>0</v>
      </c>
      <c r="D186" s="256"/>
      <c r="E186" s="256"/>
      <c r="F186" s="256"/>
      <c r="G186" s="256"/>
      <c r="H186" s="256"/>
      <c r="I186" s="256"/>
      <c r="J186" s="256"/>
      <c r="K186" s="256"/>
      <c r="L186" s="256"/>
      <c r="M186" s="256"/>
      <c r="N186" s="480"/>
      <c r="O186" s="256">
        <f>'P4P '!L88</f>
        <v>35318</v>
      </c>
      <c r="P186" s="256">
        <f>'P4P '!M88</f>
        <v>0</v>
      </c>
      <c r="Q186" s="256">
        <f>'P4P '!N88</f>
        <v>0</v>
      </c>
      <c r="R186" s="97"/>
    </row>
    <row r="187" spans="1:18" ht="12.75">
      <c r="A187" s="180" t="s">
        <v>237</v>
      </c>
      <c r="B187" s="256">
        <f t="shared" si="53"/>
        <v>0</v>
      </c>
      <c r="C187" s="256">
        <f t="shared" si="54"/>
        <v>0</v>
      </c>
      <c r="D187" s="256"/>
      <c r="E187" s="256"/>
      <c r="F187" s="256"/>
      <c r="G187" s="256"/>
      <c r="H187" s="256"/>
      <c r="I187" s="256"/>
      <c r="J187" s="256"/>
      <c r="K187" s="256"/>
      <c r="L187" s="256"/>
      <c r="M187" s="256">
        <f>'P4P NC'!B50</f>
        <v>0</v>
      </c>
      <c r="N187" s="256">
        <f>'P4P NC'!C50</f>
        <v>7716</v>
      </c>
      <c r="O187" s="256">
        <f>'P4P NC'!D50</f>
        <v>9247</v>
      </c>
      <c r="P187" s="256">
        <f>'P4P NC'!E50</f>
        <v>113</v>
      </c>
      <c r="Q187" s="256">
        <f>'P4P NC'!F50</f>
        <v>46954</v>
      </c>
      <c r="R187" s="97"/>
    </row>
    <row r="188" spans="1:18" ht="12.75">
      <c r="A188" s="180" t="s">
        <v>183</v>
      </c>
      <c r="B188" s="256">
        <f t="shared" si="53"/>
        <v>0</v>
      </c>
      <c r="C188" s="256">
        <f t="shared" si="54"/>
        <v>5011</v>
      </c>
      <c r="D188" s="256"/>
      <c r="E188" s="256"/>
      <c r="F188" s="256"/>
      <c r="G188" s="256"/>
      <c r="H188" s="256"/>
      <c r="I188" s="256"/>
      <c r="J188" s="256"/>
      <c r="K188" s="256"/>
      <c r="L188" s="256"/>
      <c r="M188" s="256">
        <f>'Direct Install'!D45</f>
        <v>5011</v>
      </c>
      <c r="N188" s="256">
        <f>'Direct Install'!E45</f>
        <v>59801</v>
      </c>
      <c r="O188" s="256">
        <f>'Direct Install'!F45</f>
        <v>63986</v>
      </c>
      <c r="P188" s="256">
        <f>'Direct Install'!G45</f>
        <v>50783</v>
      </c>
      <c r="Q188" s="256">
        <f>'Direct Install'!H45</f>
        <v>41643</v>
      </c>
      <c r="R188" s="97"/>
    </row>
    <row r="189" spans="1:18" ht="12.75">
      <c r="A189" s="180" t="s">
        <v>341</v>
      </c>
      <c r="B189" s="256">
        <f t="shared" si="53"/>
        <v>0</v>
      </c>
      <c r="C189" s="256">
        <f t="shared" si="54"/>
        <v>0</v>
      </c>
      <c r="D189" s="256"/>
      <c r="E189" s="256"/>
      <c r="F189" s="256"/>
      <c r="G189" s="256"/>
      <c r="H189" s="256"/>
      <c r="I189" s="256"/>
      <c r="J189" s="256"/>
      <c r="K189" s="256"/>
      <c r="L189" s="256"/>
      <c r="M189" s="256"/>
      <c r="N189" s="480"/>
      <c r="O189" s="256">
        <f>LEUP!C45</f>
        <v>125717</v>
      </c>
      <c r="P189" s="256">
        <f>LEUP!D45</f>
        <v>29455</v>
      </c>
      <c r="Q189" s="256">
        <f>LEUP!E45</f>
        <v>31554</v>
      </c>
      <c r="R189" s="97"/>
    </row>
    <row r="190" spans="1:18" ht="12.75">
      <c r="A190" s="230" t="s">
        <v>357</v>
      </c>
      <c r="B190" s="256">
        <f t="shared" si="53"/>
        <v>0</v>
      </c>
      <c r="C190" s="256">
        <f t="shared" si="54"/>
        <v>3055920</v>
      </c>
      <c r="D190" s="256"/>
      <c r="E190" s="256"/>
      <c r="F190" s="256"/>
      <c r="G190" s="256"/>
      <c r="H190" s="256"/>
      <c r="I190" s="256"/>
      <c r="J190" s="256">
        <f>'CHP-FuelCell_Lrg-Small'!J106</f>
        <v>603845</v>
      </c>
      <c r="K190" s="256">
        <f>'CHP-FuelCell_Lrg-Small'!K106</f>
        <v>1254210</v>
      </c>
      <c r="L190" s="256">
        <f>'CHP-FuelCell_Lrg-Small'!L106</f>
        <v>962446</v>
      </c>
      <c r="M190" s="256">
        <f>'CHP-FuelCell_Lrg-Small'!M106</f>
        <v>235419</v>
      </c>
      <c r="N190" s="256">
        <f>'CHP-FuelCell_Lrg-Small'!N106</f>
        <v>5202</v>
      </c>
      <c r="O190" s="256">
        <f>'CHP-FuelCell_Lrg-Small'!O106</f>
        <v>624278</v>
      </c>
      <c r="P190" s="256">
        <f>'CHP-FuelCell_Lrg-Small'!P106</f>
        <v>90526</v>
      </c>
      <c r="Q190" s="256">
        <f>'CHP-FuelCell_Lrg-Small'!Q106</f>
        <v>341417</v>
      </c>
      <c r="R190" s="97"/>
    </row>
    <row r="191" spans="1:18" ht="12.75">
      <c r="A191" s="29" t="s">
        <v>391</v>
      </c>
      <c r="B191" s="267">
        <f t="shared" si="53"/>
        <v>2385563</v>
      </c>
      <c r="C191" s="267">
        <f t="shared" si="54"/>
        <v>5382720</v>
      </c>
      <c r="D191" s="267">
        <f>SUM(D182:D190)</f>
        <v>100752</v>
      </c>
      <c r="E191" s="267">
        <f aca="true" t="shared" si="55" ref="E191:K191">SUM(E182:E190)</f>
        <v>648652</v>
      </c>
      <c r="F191" s="267">
        <f t="shared" si="55"/>
        <v>633942</v>
      </c>
      <c r="G191" s="267">
        <f t="shared" si="55"/>
        <v>284322</v>
      </c>
      <c r="H191" s="267">
        <f t="shared" si="55"/>
        <v>717895</v>
      </c>
      <c r="I191" s="267">
        <f t="shared" si="55"/>
        <v>689799</v>
      </c>
      <c r="J191" s="267">
        <f t="shared" si="55"/>
        <v>817199</v>
      </c>
      <c r="K191" s="267">
        <f t="shared" si="55"/>
        <v>1785074</v>
      </c>
      <c r="L191" s="267">
        <f aca="true" t="shared" si="56" ref="L191:Q191">SUM(L182:L190)</f>
        <v>1471033</v>
      </c>
      <c r="M191" s="267">
        <f t="shared" si="56"/>
        <v>619615</v>
      </c>
      <c r="N191" s="267">
        <f t="shared" si="56"/>
        <v>674807</v>
      </c>
      <c r="O191" s="267">
        <f t="shared" si="56"/>
        <v>1460808</v>
      </c>
      <c r="P191" s="267">
        <f t="shared" si="56"/>
        <v>559033</v>
      </c>
      <c r="Q191" s="267">
        <f t="shared" si="56"/>
        <v>910468.8984382958</v>
      </c>
      <c r="R191" s="97"/>
    </row>
    <row r="192" ht="12.75">
      <c r="A192" s="136" t="str">
        <f>A125</f>
        <v>* These columns/years have been hidden in this worksheet for viewing &amp; printing purposes</v>
      </c>
    </row>
    <row r="193" ht="12.75">
      <c r="A193" s="357" t="s">
        <v>350</v>
      </c>
    </row>
  </sheetData>
  <sheetProtection/>
  <mergeCells count="2">
    <mergeCell ref="A1:R1"/>
    <mergeCell ref="A2:R2"/>
  </mergeCells>
  <printOptions/>
  <pageMargins left="0.17" right="0.17" top="0.4" bottom="0.6" header="0.24" footer="0.24"/>
  <pageSetup fitToHeight="4" horizontalDpi="600" verticalDpi="600" orientation="landscape" scale="79" r:id="rId1"/>
  <headerFooter scaleWithDoc="0" alignWithMargins="0">
    <oddFooter>&amp;L&amp;6&amp;A - Results by Program Year&amp;R&amp;6printed &amp;D at &amp;T</oddFooter>
  </headerFooter>
  <rowBreaks count="4" manualBreakCount="4">
    <brk id="50" max="15" man="1"/>
    <brk id="99" max="15" man="1"/>
    <brk id="125" max="14" man="1"/>
    <brk id="177" max="15" man="1"/>
  </rowBreaks>
</worksheet>
</file>

<file path=xl/worksheets/sheet6.xml><?xml version="1.0" encoding="utf-8"?>
<worksheet xmlns="http://schemas.openxmlformats.org/spreadsheetml/2006/main" xmlns:r="http://schemas.openxmlformats.org/officeDocument/2006/relationships">
  <sheetPr>
    <tabColor theme="6"/>
    <outlinePr summaryRight="0"/>
  </sheetPr>
  <dimension ref="A1:W115"/>
  <sheetViews>
    <sheetView showGridLines="0" zoomScale="85" zoomScaleNormal="85" zoomScalePageLayoutView="0" workbookViewId="0" topLeftCell="A69">
      <selection activeCell="A1" sqref="A1:R1"/>
    </sheetView>
  </sheetViews>
  <sheetFormatPr defaultColWidth="9.140625" defaultRowHeight="12.75" outlineLevelCol="1"/>
  <cols>
    <col min="1" max="1" width="37.8515625" style="0" customWidth="1"/>
    <col min="2" max="2" width="12.7109375" style="0" bestFit="1" customWidth="1"/>
    <col min="3" max="3" width="12.7109375" style="0" bestFit="1" customWidth="1" collapsed="1"/>
    <col min="4" max="4" width="10.57421875" style="0" hidden="1" customWidth="1" outlineLevel="1"/>
    <col min="5" max="6" width="11.57421875" style="0" hidden="1" customWidth="1" outlineLevel="1"/>
    <col min="7" max="7" width="10.57421875" style="0" hidden="1" customWidth="1" outlineLevel="1"/>
    <col min="8" max="8" width="11.57421875" style="0" hidden="1" customWidth="1" outlineLevel="1"/>
    <col min="9" max="9" width="10.57421875" style="0" hidden="1" customWidth="1" outlineLevel="1"/>
    <col min="10" max="13" width="10.8515625" style="0" hidden="1" customWidth="1" outlineLevel="1"/>
    <col min="14" max="14" width="11.57421875" style="0" bestFit="1" customWidth="1"/>
    <col min="15" max="15" width="12.140625" style="136" bestFit="1" customWidth="1"/>
    <col min="16" max="16" width="10.8515625" style="136" bestFit="1" customWidth="1"/>
    <col min="17" max="17" width="11.57421875" style="136" bestFit="1" customWidth="1"/>
    <col min="18" max="18" width="13.7109375" style="0" bestFit="1" customWidth="1"/>
    <col min="19" max="19" width="10.140625" style="0" bestFit="1" customWidth="1"/>
  </cols>
  <sheetData>
    <row r="1" spans="1:18" ht="12.75">
      <c r="A1" s="482" t="s">
        <v>393</v>
      </c>
      <c r="B1" s="482"/>
      <c r="C1" s="482"/>
      <c r="D1" s="482"/>
      <c r="E1" s="482"/>
      <c r="F1" s="482"/>
      <c r="G1" s="482"/>
      <c r="H1" s="482"/>
      <c r="I1" s="482"/>
      <c r="J1" s="482"/>
      <c r="K1" s="482"/>
      <c r="L1" s="482"/>
      <c r="M1" s="482"/>
      <c r="N1" s="482"/>
      <c r="O1" s="482"/>
      <c r="P1" s="482"/>
      <c r="Q1" s="482"/>
      <c r="R1" s="482"/>
    </row>
    <row r="2" spans="1:18" ht="12.75">
      <c r="A2" s="482" t="s">
        <v>395</v>
      </c>
      <c r="B2" s="482"/>
      <c r="C2" s="482"/>
      <c r="D2" s="482"/>
      <c r="E2" s="482"/>
      <c r="F2" s="482"/>
      <c r="G2" s="482"/>
      <c r="H2" s="482"/>
      <c r="I2" s="482"/>
      <c r="J2" s="482"/>
      <c r="K2" s="482"/>
      <c r="L2" s="482"/>
      <c r="M2" s="482"/>
      <c r="N2" s="482"/>
      <c r="O2" s="482"/>
      <c r="P2" s="482"/>
      <c r="Q2" s="482"/>
      <c r="R2" s="482"/>
    </row>
    <row r="3" spans="1:18" ht="15">
      <c r="A3" s="410" t="s">
        <v>388</v>
      </c>
      <c r="B3" s="397"/>
      <c r="C3" s="397"/>
      <c r="D3" s="397"/>
      <c r="E3" s="397"/>
      <c r="F3" s="397"/>
      <c r="G3" s="397"/>
      <c r="H3" s="397"/>
      <c r="I3" s="397"/>
      <c r="J3" s="397"/>
      <c r="K3" s="397"/>
      <c r="L3" s="397"/>
      <c r="M3" s="397"/>
      <c r="N3" s="397"/>
      <c r="O3" s="397"/>
      <c r="P3" s="397"/>
      <c r="Q3" s="397"/>
      <c r="R3" s="397"/>
    </row>
    <row r="4" spans="1:18" ht="27.75">
      <c r="A4" s="410" t="s">
        <v>344</v>
      </c>
      <c r="B4" s="81" t="s">
        <v>289</v>
      </c>
      <c r="C4" s="81" t="s">
        <v>461</v>
      </c>
      <c r="D4" s="25">
        <v>2001</v>
      </c>
      <c r="E4" s="25">
        <v>2002</v>
      </c>
      <c r="F4" s="25">
        <v>2003</v>
      </c>
      <c r="G4" s="25">
        <v>2004</v>
      </c>
      <c r="H4" s="25">
        <v>2005</v>
      </c>
      <c r="I4" s="25">
        <v>2006</v>
      </c>
      <c r="J4" s="25">
        <v>2007</v>
      </c>
      <c r="K4" s="25">
        <v>2008</v>
      </c>
      <c r="L4" s="25">
        <v>2009</v>
      </c>
      <c r="M4" s="25">
        <v>2010</v>
      </c>
      <c r="N4" s="25">
        <v>2011</v>
      </c>
      <c r="O4" s="208" t="s">
        <v>348</v>
      </c>
      <c r="P4" s="208" t="s">
        <v>351</v>
      </c>
      <c r="Q4" s="208" t="s">
        <v>440</v>
      </c>
      <c r="R4" s="81" t="str">
        <f>"Total "&amp;CHAR(10)&amp;D4&amp;" ~ "&amp;Q4</f>
        <v>Total 
2001 ~ FY2015</v>
      </c>
    </row>
    <row r="5" spans="1:18" ht="12.75">
      <c r="A5" s="1" t="s">
        <v>381</v>
      </c>
      <c r="B5" s="26" t="s">
        <v>8</v>
      </c>
      <c r="C5" s="26" t="s">
        <v>8</v>
      </c>
      <c r="D5" s="26" t="s">
        <v>8</v>
      </c>
      <c r="E5" s="26" t="s">
        <v>8</v>
      </c>
      <c r="F5" s="26" t="s">
        <v>8</v>
      </c>
      <c r="G5" s="26" t="s">
        <v>8</v>
      </c>
      <c r="H5" s="26" t="s">
        <v>8</v>
      </c>
      <c r="I5" s="26" t="s">
        <v>8</v>
      </c>
      <c r="J5" s="26" t="s">
        <v>8</v>
      </c>
      <c r="K5" s="26" t="s">
        <v>8</v>
      </c>
      <c r="L5" s="26" t="s">
        <v>8</v>
      </c>
      <c r="M5" s="26" t="s">
        <v>8</v>
      </c>
      <c r="N5" s="26" t="s">
        <v>8</v>
      </c>
      <c r="O5" s="26" t="s">
        <v>8</v>
      </c>
      <c r="P5" s="26" t="s">
        <v>8</v>
      </c>
      <c r="Q5" s="26" t="s">
        <v>8</v>
      </c>
      <c r="R5" s="26" t="s">
        <v>8</v>
      </c>
    </row>
    <row r="6" spans="1:18" ht="12.75">
      <c r="A6" s="207" t="s">
        <v>66</v>
      </c>
      <c r="B6" s="250">
        <f>SUM(D6:H6)</f>
        <v>1095661</v>
      </c>
      <c r="C6" s="250">
        <f>SUM(I6:M6)</f>
        <v>675765</v>
      </c>
      <c r="D6" s="250">
        <f>'Res HVAC'!D28</f>
        <v>183354</v>
      </c>
      <c r="E6" s="250">
        <f>'Res HVAC'!E28</f>
        <v>235546</v>
      </c>
      <c r="F6" s="250">
        <f>'Res HVAC'!F28</f>
        <v>219320</v>
      </c>
      <c r="G6" s="250">
        <f>'Res HVAC'!G28</f>
        <v>232484</v>
      </c>
      <c r="H6" s="250">
        <f>'Res HVAC'!H28</f>
        <v>224957</v>
      </c>
      <c r="I6" s="250">
        <f>'Res HVAC'!I28</f>
        <v>173181</v>
      </c>
      <c r="J6" s="250">
        <f>'Res HVAC'!J28</f>
        <v>199843</v>
      </c>
      <c r="K6" s="250">
        <f>'Res HVAC'!K28</f>
        <v>83068</v>
      </c>
      <c r="L6" s="250">
        <f>'Res HVAC'!L28</f>
        <v>83807</v>
      </c>
      <c r="M6" s="250">
        <f>'Res HVAC'!M28</f>
        <v>135866</v>
      </c>
      <c r="N6" s="250">
        <f>'Res HVAC'!N28</f>
        <v>210355</v>
      </c>
      <c r="O6" s="252">
        <f>'Res HVAC'!O28</f>
        <v>227057</v>
      </c>
      <c r="P6" s="252">
        <f>'Res HVAC'!P28</f>
        <v>95679</v>
      </c>
      <c r="Q6" s="252">
        <f>'Res HVAC'!Q28</f>
        <v>78340.28871100003</v>
      </c>
      <c r="R6" s="250">
        <f>SUM(D6:Q6)</f>
        <v>2382857.2887110002</v>
      </c>
    </row>
    <row r="7" spans="1:18" ht="12.75">
      <c r="A7" s="207" t="s">
        <v>67</v>
      </c>
      <c r="B7" s="250">
        <f>SUM(D7:H7)</f>
        <v>376554</v>
      </c>
      <c r="C7" s="250">
        <f>SUM(I7:M7)</f>
        <v>408446</v>
      </c>
      <c r="D7" s="250">
        <f>RNC!D26</f>
        <v>2376</v>
      </c>
      <c r="E7" s="250">
        <f>RNC!E26</f>
        <v>65231</v>
      </c>
      <c r="F7" s="250">
        <f>RNC!F26</f>
        <v>95460</v>
      </c>
      <c r="G7" s="250">
        <f>RNC!G26</f>
        <v>91026</v>
      </c>
      <c r="H7" s="250">
        <f>RNC!H26</f>
        <v>122461</v>
      </c>
      <c r="I7" s="250">
        <f>RNC!I26</f>
        <v>93829</v>
      </c>
      <c r="J7" s="250">
        <f>RNC!J26</f>
        <v>107137</v>
      </c>
      <c r="K7" s="250">
        <f>RNC!K26</f>
        <v>66860</v>
      </c>
      <c r="L7" s="250">
        <f>RNC!L26</f>
        <v>53040</v>
      </c>
      <c r="M7" s="250">
        <f>RNC!M26</f>
        <v>87580</v>
      </c>
      <c r="N7" s="250">
        <f>RNC!N26</f>
        <v>91240</v>
      </c>
      <c r="O7" s="252">
        <f>RNC!O26</f>
        <v>105487</v>
      </c>
      <c r="P7" s="252">
        <f>RNC!P26</f>
        <v>97685</v>
      </c>
      <c r="Q7" s="252">
        <f>RNC!Q26</f>
        <v>75478</v>
      </c>
      <c r="R7" s="250">
        <f>SUM(D7:Q7)</f>
        <v>1154890</v>
      </c>
    </row>
    <row r="8" spans="1:18" ht="12.75">
      <c r="A8" s="207" t="s">
        <v>68</v>
      </c>
      <c r="B8" s="284"/>
      <c r="C8" s="284"/>
      <c r="D8" s="262"/>
      <c r="E8" s="262"/>
      <c r="F8" s="262"/>
      <c r="G8" s="262"/>
      <c r="H8" s="262"/>
      <c r="I8" s="262"/>
      <c r="J8" s="262"/>
      <c r="K8" s="262"/>
      <c r="L8" s="262"/>
      <c r="M8" s="262"/>
      <c r="N8" s="324"/>
      <c r="O8" s="324"/>
      <c r="P8" s="324"/>
      <c r="Q8" s="324"/>
      <c r="R8" s="310"/>
    </row>
    <row r="9" spans="1:23" ht="12.75">
      <c r="A9" s="228" t="s">
        <v>326</v>
      </c>
      <c r="B9" s="250">
        <f aca="true" t="shared" si="0" ref="B9:B19">SUM(D9:H9)</f>
        <v>37299</v>
      </c>
      <c r="C9" s="250">
        <f aca="true" t="shared" si="1" ref="C9:C18">SUM(I9:M9)</f>
        <v>31444</v>
      </c>
      <c r="D9" s="250">
        <f>'Energy Star'!D63</f>
        <v>0</v>
      </c>
      <c r="E9" s="250">
        <f>'Energy Star'!E63</f>
        <v>0</v>
      </c>
      <c r="F9" s="250">
        <f>'Energy Star'!F63</f>
        <v>14318</v>
      </c>
      <c r="G9" s="250">
        <f>'Energy Star'!G63</f>
        <v>13773</v>
      </c>
      <c r="H9" s="250">
        <f>'Energy Star'!H63</f>
        <v>9208</v>
      </c>
      <c r="I9" s="250">
        <f>'Energy Star'!I63</f>
        <v>5418</v>
      </c>
      <c r="J9" s="250">
        <f>'Energy Star'!J63</f>
        <v>7672</v>
      </c>
      <c r="K9" s="250">
        <f>'Energy Star'!K63</f>
        <v>7722</v>
      </c>
      <c r="L9" s="250">
        <f>'Energy Star'!L63</f>
        <v>4246</v>
      </c>
      <c r="M9" s="250">
        <f>'Energy Star'!M63</f>
        <v>6386</v>
      </c>
      <c r="N9" s="252">
        <f>'Energy Star'!N63</f>
        <v>129.7</v>
      </c>
      <c r="O9" s="316"/>
      <c r="P9" s="316"/>
      <c r="Q9" s="316"/>
      <c r="R9" s="250">
        <f aca="true" t="shared" si="2" ref="R9:R19">SUM(D9:Q9)</f>
        <v>68872.7</v>
      </c>
      <c r="S9" s="136"/>
      <c r="T9" s="136"/>
      <c r="U9" s="136"/>
      <c r="V9" s="136"/>
      <c r="W9" s="136"/>
    </row>
    <row r="10" spans="1:23" ht="12.75">
      <c r="A10" s="228" t="s">
        <v>171</v>
      </c>
      <c r="B10" s="250">
        <f t="shared" si="0"/>
        <v>1677956</v>
      </c>
      <c r="C10" s="250">
        <f t="shared" si="1"/>
        <v>5460267</v>
      </c>
      <c r="D10" s="250">
        <f>'Energy Star'!D62</f>
        <v>0</v>
      </c>
      <c r="E10" s="250">
        <f>'Energy Star'!E62</f>
        <v>0</v>
      </c>
      <c r="F10" s="250">
        <f>'Energy Star'!F62</f>
        <v>359018</v>
      </c>
      <c r="G10" s="250">
        <f>'Energy Star'!G62</f>
        <v>790151</v>
      </c>
      <c r="H10" s="250">
        <f>'Energy Star'!H62</f>
        <v>528787</v>
      </c>
      <c r="I10" s="250">
        <f>'Energy Star'!I62</f>
        <v>0</v>
      </c>
      <c r="J10" s="250">
        <f>'Energy Star'!J62</f>
        <v>742908</v>
      </c>
      <c r="K10" s="250">
        <f>'Energy Star'!K62</f>
        <v>1368138</v>
      </c>
      <c r="L10" s="250">
        <f>'Energy Star'!L62</f>
        <v>2217915</v>
      </c>
      <c r="M10" s="250">
        <f>'Energy Star'!M62</f>
        <v>1131306</v>
      </c>
      <c r="N10" s="252">
        <f>'Energy Star'!N62</f>
        <v>1461053.1</v>
      </c>
      <c r="O10" s="252">
        <f>'Energy Star'!O62</f>
        <v>2241371.2</v>
      </c>
      <c r="P10" s="252">
        <f>'Energy Star'!P62</f>
        <v>2216737</v>
      </c>
      <c r="Q10" s="252">
        <f>'Energy Star'!Q62</f>
        <v>1848765.5904660018</v>
      </c>
      <c r="R10" s="250">
        <f t="shared" si="2"/>
        <v>14906149.890466003</v>
      </c>
      <c r="S10" s="138"/>
      <c r="T10" s="136"/>
      <c r="U10" s="136"/>
      <c r="V10" s="136"/>
      <c r="W10" s="136"/>
    </row>
    <row r="11" spans="1:19" ht="12.75">
      <c r="A11" s="229" t="s">
        <v>327</v>
      </c>
      <c r="B11" s="250">
        <f t="shared" si="0"/>
        <v>0</v>
      </c>
      <c r="C11" s="250">
        <f t="shared" si="1"/>
        <v>182489</v>
      </c>
      <c r="D11" s="316"/>
      <c r="E11" s="316"/>
      <c r="F11" s="316"/>
      <c r="G11" s="316"/>
      <c r="H11" s="316"/>
      <c r="I11" s="316"/>
      <c r="J11" s="316"/>
      <c r="K11" s="250">
        <f>'Energy Star'!K64</f>
        <v>42549</v>
      </c>
      <c r="L11" s="250">
        <f>'Energy Star'!L64</f>
        <v>64961</v>
      </c>
      <c r="M11" s="250">
        <f>'Energy Star'!M64</f>
        <v>74979</v>
      </c>
      <c r="N11" s="252">
        <f>'Energy Star'!N64</f>
        <v>75176.9</v>
      </c>
      <c r="O11" s="252">
        <f>'Energy Star'!O64</f>
        <v>70273.70000000001</v>
      </c>
      <c r="P11" s="252">
        <f>'Energy Star'!P64</f>
        <v>62984</v>
      </c>
      <c r="Q11" s="252">
        <f>'Energy Star'!Q64</f>
        <v>32820.479999999996</v>
      </c>
      <c r="R11" s="250">
        <f t="shared" si="2"/>
        <v>423744.07999999996</v>
      </c>
      <c r="S11" s="23"/>
    </row>
    <row r="12" spans="1:19" ht="12.75">
      <c r="A12" s="229" t="s">
        <v>467</v>
      </c>
      <c r="B12" s="250">
        <f>SUM(D12:H12)</f>
        <v>0</v>
      </c>
      <c r="C12" s="250">
        <f>SUM(I12:M12)</f>
        <v>0</v>
      </c>
      <c r="D12" s="316"/>
      <c r="E12" s="316"/>
      <c r="F12" s="316"/>
      <c r="G12" s="316"/>
      <c r="H12" s="316"/>
      <c r="I12" s="316"/>
      <c r="J12" s="316"/>
      <c r="K12" s="250">
        <f>'Energy Star'!K65</f>
        <v>0</v>
      </c>
      <c r="L12" s="250">
        <f>'Energy Star'!L65</f>
        <v>0</v>
      </c>
      <c r="M12" s="250">
        <f>'Energy Star'!M65</f>
        <v>0</v>
      </c>
      <c r="N12" s="252">
        <f>'Energy Star'!N65</f>
        <v>0</v>
      </c>
      <c r="O12" s="252">
        <f>'Energy Star'!O65</f>
        <v>0</v>
      </c>
      <c r="P12" s="252">
        <f>'Energy Star'!P65</f>
        <v>0</v>
      </c>
      <c r="Q12" s="252">
        <f>'Energy Star'!Q65</f>
        <v>897.6</v>
      </c>
      <c r="R12" s="250">
        <f>SUM(D12:Q12)</f>
        <v>897.6</v>
      </c>
      <c r="S12" s="23"/>
    </row>
    <row r="13" spans="1:19" ht="12.75">
      <c r="A13" s="229" t="s">
        <v>328</v>
      </c>
      <c r="B13" s="250">
        <f t="shared" si="0"/>
        <v>0</v>
      </c>
      <c r="C13" s="250">
        <f t="shared" si="1"/>
        <v>14635</v>
      </c>
      <c r="D13" s="316"/>
      <c r="E13" s="316"/>
      <c r="F13" s="316"/>
      <c r="G13" s="316"/>
      <c r="H13" s="316"/>
      <c r="I13" s="316"/>
      <c r="J13" s="316"/>
      <c r="K13" s="250">
        <f>'Energy Star'!K66</f>
        <v>3820</v>
      </c>
      <c r="L13" s="250">
        <f>'Energy Star'!L66</f>
        <v>6261</v>
      </c>
      <c r="M13" s="250">
        <f>'Energy Star'!M66</f>
        <v>4554</v>
      </c>
      <c r="N13" s="252">
        <f>'Energy Star'!N66</f>
        <v>307.7</v>
      </c>
      <c r="O13" s="316"/>
      <c r="P13" s="316"/>
      <c r="Q13" s="316"/>
      <c r="R13" s="250">
        <f t="shared" si="2"/>
        <v>14942.7</v>
      </c>
      <c r="S13" s="23"/>
    </row>
    <row r="14" spans="1:19" ht="12.75">
      <c r="A14" s="229" t="s">
        <v>329</v>
      </c>
      <c r="B14" s="250">
        <f t="shared" si="0"/>
        <v>0</v>
      </c>
      <c r="C14" s="250">
        <f t="shared" si="1"/>
        <v>168228.4</v>
      </c>
      <c r="D14" s="316"/>
      <c r="E14" s="316"/>
      <c r="F14" s="316"/>
      <c r="G14" s="316"/>
      <c r="H14" s="316"/>
      <c r="I14" s="316"/>
      <c r="J14" s="316"/>
      <c r="K14" s="316"/>
      <c r="L14" s="250">
        <f>'Energy Star'!L68</f>
        <v>44319</v>
      </c>
      <c r="M14" s="250">
        <f>'Energy Star'!M68</f>
        <v>123909.4</v>
      </c>
      <c r="N14" s="252">
        <f>'Energy Star'!N68</f>
        <v>124487.2</v>
      </c>
      <c r="O14" s="252">
        <f>'Energy Star'!O68</f>
        <v>141268.3</v>
      </c>
      <c r="P14" s="252">
        <f>'Energy Star'!P68</f>
        <v>87931</v>
      </c>
      <c r="Q14" s="252">
        <f>'Energy Star'!Q68</f>
        <v>84798.48960001618</v>
      </c>
      <c r="R14" s="250">
        <f t="shared" si="2"/>
        <v>606713.3896000162</v>
      </c>
      <c r="S14" s="23"/>
    </row>
    <row r="15" spans="1:19" ht="12.75">
      <c r="A15" s="229" t="s">
        <v>330</v>
      </c>
      <c r="B15" s="250">
        <f t="shared" si="0"/>
        <v>0</v>
      </c>
      <c r="C15" s="250">
        <f t="shared" si="1"/>
        <v>30564.8</v>
      </c>
      <c r="D15" s="316"/>
      <c r="E15" s="316"/>
      <c r="F15" s="316"/>
      <c r="G15" s="316"/>
      <c r="H15" s="316"/>
      <c r="I15" s="316"/>
      <c r="J15" s="316"/>
      <c r="K15" s="316"/>
      <c r="L15" s="316"/>
      <c r="M15" s="250">
        <f>'Energy Star'!M69</f>
        <v>30564.8</v>
      </c>
      <c r="N15" s="252">
        <f>'Energy Star'!N69</f>
        <v>35317.7</v>
      </c>
      <c r="O15" s="252">
        <f>'Energy Star'!O69</f>
        <v>32329.3</v>
      </c>
      <c r="P15" s="252">
        <f>'Energy Star'!P69</f>
        <v>12032</v>
      </c>
      <c r="Q15" s="252">
        <f>'Energy Star'!Q69</f>
        <v>12206.088</v>
      </c>
      <c r="R15" s="250">
        <f t="shared" si="2"/>
        <v>122449.888</v>
      </c>
      <c r="S15" s="23"/>
    </row>
    <row r="16" spans="1:19" ht="12.75">
      <c r="A16" s="229" t="s">
        <v>331</v>
      </c>
      <c r="B16" s="250">
        <f t="shared" si="0"/>
        <v>0</v>
      </c>
      <c r="C16" s="250">
        <f t="shared" si="1"/>
        <v>0</v>
      </c>
      <c r="D16" s="316"/>
      <c r="E16" s="316"/>
      <c r="F16" s="316"/>
      <c r="G16" s="316"/>
      <c r="H16" s="316"/>
      <c r="I16" s="316"/>
      <c r="J16" s="316"/>
      <c r="K16" s="316"/>
      <c r="L16" s="316"/>
      <c r="M16" s="316"/>
      <c r="N16" s="252">
        <f>'Energy Star'!N67</f>
        <v>8769.9</v>
      </c>
      <c r="O16" s="252">
        <f>'Energy Star'!O67</f>
        <v>643.7</v>
      </c>
      <c r="P16" s="252">
        <f>'Energy Star'!P67</f>
        <v>12282</v>
      </c>
      <c r="Q16" s="252">
        <f>'Energy Star'!Q67</f>
        <v>9666.228</v>
      </c>
      <c r="R16" s="250">
        <f t="shared" si="2"/>
        <v>31361.827999999998</v>
      </c>
      <c r="S16" s="23"/>
    </row>
    <row r="17" spans="1:19" ht="12.75">
      <c r="A17" s="229" t="s">
        <v>332</v>
      </c>
      <c r="B17" s="250">
        <f t="shared" si="0"/>
        <v>0</v>
      </c>
      <c r="C17" s="250">
        <f t="shared" si="1"/>
        <v>0</v>
      </c>
      <c r="D17" s="316"/>
      <c r="E17" s="316"/>
      <c r="F17" s="316"/>
      <c r="G17" s="316"/>
      <c r="H17" s="316"/>
      <c r="I17" s="316"/>
      <c r="J17" s="316"/>
      <c r="K17" s="316"/>
      <c r="L17" s="316"/>
      <c r="M17" s="316"/>
      <c r="N17" s="252">
        <f>'Energy Star'!N70</f>
        <v>1535.1</v>
      </c>
      <c r="O17" s="316"/>
      <c r="P17" s="316"/>
      <c r="Q17" s="316"/>
      <c r="R17" s="250">
        <f t="shared" si="2"/>
        <v>1535.1</v>
      </c>
      <c r="S17" s="23"/>
    </row>
    <row r="18" spans="1:19" ht="12.75">
      <c r="A18" s="207" t="s">
        <v>158</v>
      </c>
      <c r="B18" s="250">
        <f t="shared" si="0"/>
        <v>0</v>
      </c>
      <c r="C18" s="250">
        <f t="shared" si="1"/>
        <v>41191</v>
      </c>
      <c r="D18" s="316"/>
      <c r="E18" s="316"/>
      <c r="F18" s="316"/>
      <c r="G18" s="316"/>
      <c r="H18" s="316"/>
      <c r="I18" s="250">
        <f>'Home Perf'!C28</f>
        <v>26</v>
      </c>
      <c r="J18" s="250">
        <f>'Home Perf'!D28</f>
        <v>442</v>
      </c>
      <c r="K18" s="250">
        <f>'Home Perf'!E28</f>
        <v>1456</v>
      </c>
      <c r="L18" s="250">
        <f>'Home Perf'!F28</f>
        <v>18378</v>
      </c>
      <c r="M18" s="250">
        <f>'Home Perf'!G28</f>
        <v>20889</v>
      </c>
      <c r="N18" s="252">
        <f>'Home Perf'!H28</f>
        <v>38314</v>
      </c>
      <c r="O18" s="252">
        <f>'Home Perf'!I28</f>
        <v>56224</v>
      </c>
      <c r="P18" s="252">
        <f>'Home Perf'!J28</f>
        <v>76998</v>
      </c>
      <c r="Q18" s="252">
        <f>'Home Perf'!K28</f>
        <v>79266</v>
      </c>
      <c r="R18" s="250">
        <f t="shared" si="2"/>
        <v>291993</v>
      </c>
      <c r="S18" s="23"/>
    </row>
    <row r="19" spans="1:19" ht="12.75">
      <c r="A19" s="29" t="s">
        <v>73</v>
      </c>
      <c r="B19" s="263">
        <f t="shared" si="0"/>
        <v>3187470</v>
      </c>
      <c r="C19" s="263">
        <f>SUM(I19:M19)</f>
        <v>7013030.2</v>
      </c>
      <c r="D19" s="263">
        <f aca="true" t="shared" si="3" ref="D19:O19">SUM(D6:D18)</f>
        <v>185730</v>
      </c>
      <c r="E19" s="263">
        <f t="shared" si="3"/>
        <v>300777</v>
      </c>
      <c r="F19" s="263">
        <f t="shared" si="3"/>
        <v>688116</v>
      </c>
      <c r="G19" s="263">
        <f t="shared" si="3"/>
        <v>1127434</v>
      </c>
      <c r="H19" s="263">
        <f t="shared" si="3"/>
        <v>885413</v>
      </c>
      <c r="I19" s="263">
        <f t="shared" si="3"/>
        <v>272454</v>
      </c>
      <c r="J19" s="263">
        <f t="shared" si="3"/>
        <v>1058002</v>
      </c>
      <c r="K19" s="263">
        <f t="shared" si="3"/>
        <v>1573613</v>
      </c>
      <c r="L19" s="263">
        <f t="shared" si="3"/>
        <v>2492927</v>
      </c>
      <c r="M19" s="263">
        <f t="shared" si="3"/>
        <v>1616034.2</v>
      </c>
      <c r="N19" s="263">
        <f t="shared" si="3"/>
        <v>2046686.2999999998</v>
      </c>
      <c r="O19" s="254">
        <f t="shared" si="3"/>
        <v>2874654.2</v>
      </c>
      <c r="P19" s="254">
        <f>SUM(P6:P18)</f>
        <v>2662328</v>
      </c>
      <c r="Q19" s="254">
        <f>SUM(Q6:Q18)</f>
        <v>2222238.764777018</v>
      </c>
      <c r="R19" s="263">
        <f t="shared" si="2"/>
        <v>20006407.46477702</v>
      </c>
      <c r="S19" s="23"/>
    </row>
    <row r="20" spans="1:19" ht="12.75">
      <c r="A20" s="418"/>
      <c r="B20" s="80"/>
      <c r="C20" s="80"/>
      <c r="D20" s="80"/>
      <c r="E20" s="80"/>
      <c r="F20" s="80"/>
      <c r="G20" s="80"/>
      <c r="H20" s="80"/>
      <c r="I20" s="80"/>
      <c r="J20" s="80"/>
      <c r="K20" s="80"/>
      <c r="L20" s="80"/>
      <c r="M20" s="80"/>
      <c r="N20" s="80"/>
      <c r="O20" s="152"/>
      <c r="P20" s="152"/>
      <c r="Q20" s="152"/>
      <c r="R20" s="421"/>
      <c r="S20" s="23"/>
    </row>
    <row r="21" spans="1:19" ht="12.75">
      <c r="A21" s="417" t="s">
        <v>2</v>
      </c>
      <c r="B21" s="263">
        <f>SUM(D21:H21)</f>
        <v>550945</v>
      </c>
      <c r="C21" s="263">
        <f>SUM(I21:M21)</f>
        <v>569179</v>
      </c>
      <c r="D21" s="263">
        <f>'Low-income'!D34</f>
        <v>147716</v>
      </c>
      <c r="E21" s="263">
        <f>'Low-income'!E34</f>
        <v>83203</v>
      </c>
      <c r="F21" s="263">
        <f>'Low-income'!F34</f>
        <v>106522</v>
      </c>
      <c r="G21" s="263">
        <f>'Low-income'!G34</f>
        <v>119538</v>
      </c>
      <c r="H21" s="263">
        <f>'Low-income'!H34</f>
        <v>93966</v>
      </c>
      <c r="I21" s="263">
        <f>'Low-income'!I34</f>
        <v>177208</v>
      </c>
      <c r="J21" s="263">
        <f>'Low-income'!J34</f>
        <v>191930</v>
      </c>
      <c r="K21" s="263">
        <f>'Low-income'!K34</f>
        <v>66525</v>
      </c>
      <c r="L21" s="263">
        <f>'Low-income'!L34</f>
        <v>68712</v>
      </c>
      <c r="M21" s="263">
        <f>'Low-income'!M34</f>
        <v>64804</v>
      </c>
      <c r="N21" s="263">
        <f>'Low-income'!N34</f>
        <v>89465</v>
      </c>
      <c r="O21" s="254">
        <f>'Low-income'!O34</f>
        <v>103693</v>
      </c>
      <c r="P21" s="254">
        <f>'Low-income'!P34</f>
        <v>47362</v>
      </c>
      <c r="Q21" s="254">
        <f>'Low-income'!Q34</f>
        <v>41046.35</v>
      </c>
      <c r="R21" s="263">
        <f>SUM(D21:Q21)</f>
        <v>1401690.35</v>
      </c>
      <c r="S21" s="23"/>
    </row>
    <row r="22" spans="1:19" ht="12.75">
      <c r="A22" s="422"/>
      <c r="B22" s="209"/>
      <c r="C22" s="209"/>
      <c r="D22" s="209"/>
      <c r="E22" s="209"/>
      <c r="F22" s="209"/>
      <c r="G22" s="209"/>
      <c r="H22" s="209"/>
      <c r="I22" s="209"/>
      <c r="J22" s="209"/>
      <c r="K22" s="209"/>
      <c r="L22" s="209"/>
      <c r="M22" s="209"/>
      <c r="N22" s="209"/>
      <c r="O22" s="322"/>
      <c r="P22" s="322"/>
      <c r="Q22" s="322"/>
      <c r="R22" s="423"/>
      <c r="S22" s="23"/>
    </row>
    <row r="23" spans="1:19" ht="12.75">
      <c r="A23" s="227" t="s">
        <v>49</v>
      </c>
      <c r="B23" s="250">
        <f aca="true" t="shared" si="4" ref="B23:B35">SUM(D23:H23)</f>
        <v>680834</v>
      </c>
      <c r="C23" s="250">
        <f aca="true" t="shared" si="5" ref="C23:C35">SUM(I23:M23)</f>
        <v>805243</v>
      </c>
      <c r="D23" s="316"/>
      <c r="E23" s="316"/>
      <c r="F23" s="316"/>
      <c r="G23" s="250">
        <f>'C&amp;I'!G56</f>
        <v>473065</v>
      </c>
      <c r="H23" s="250">
        <f>'C&amp;I'!H56</f>
        <v>207769</v>
      </c>
      <c r="I23" s="250">
        <f>'C&amp;I'!I56</f>
        <v>260265</v>
      </c>
      <c r="J23" s="250">
        <f>'C&amp;I'!J56</f>
        <v>101184</v>
      </c>
      <c r="K23" s="250">
        <f>'C&amp;I'!K56</f>
        <v>109975</v>
      </c>
      <c r="L23" s="250">
        <f>'C&amp;I'!L56</f>
        <v>225004</v>
      </c>
      <c r="M23" s="250">
        <f>'C&amp;I'!M56</f>
        <v>108815</v>
      </c>
      <c r="N23" s="250">
        <f>'C&amp;I'!N56</f>
        <v>264120</v>
      </c>
      <c r="O23" s="252">
        <f>'C&amp;I'!O56</f>
        <v>115970</v>
      </c>
      <c r="P23" s="252">
        <f>'C&amp;I'!P56</f>
        <v>22375</v>
      </c>
      <c r="Q23" s="252">
        <f>'C&amp;I'!Q56</f>
        <v>150978</v>
      </c>
      <c r="R23" s="250">
        <f aca="true" t="shared" si="6" ref="R23:R35">SUM(D23:Q23)</f>
        <v>2039520</v>
      </c>
      <c r="S23" s="23"/>
    </row>
    <row r="24" spans="1:19" ht="12.75">
      <c r="A24" s="181" t="s">
        <v>52</v>
      </c>
      <c r="B24" s="250">
        <f t="shared" si="4"/>
        <v>4266377</v>
      </c>
      <c r="C24" s="250">
        <f t="shared" si="5"/>
        <v>6434124</v>
      </c>
      <c r="D24" s="316"/>
      <c r="E24" s="316"/>
      <c r="F24" s="316"/>
      <c r="G24" s="250">
        <f>'C&amp;I'!G57</f>
        <v>2454112</v>
      </c>
      <c r="H24" s="250">
        <f>'C&amp;I'!H57</f>
        <v>1812265</v>
      </c>
      <c r="I24" s="250">
        <f>'C&amp;I'!I57</f>
        <v>1172904</v>
      </c>
      <c r="J24" s="250">
        <f>'C&amp;I'!J57</f>
        <v>1252717</v>
      </c>
      <c r="K24" s="250">
        <f>'C&amp;I'!K57</f>
        <v>1349840</v>
      </c>
      <c r="L24" s="250">
        <f>'C&amp;I'!L57</f>
        <v>1141755</v>
      </c>
      <c r="M24" s="250">
        <f>'C&amp;I'!M57</f>
        <v>1516908</v>
      </c>
      <c r="N24" s="250">
        <f>'C&amp;I'!N57</f>
        <v>1642577</v>
      </c>
      <c r="O24" s="252">
        <f>'C&amp;I'!O57</f>
        <v>2379957</v>
      </c>
      <c r="P24" s="252">
        <f>'C&amp;I'!P57</f>
        <v>1675718</v>
      </c>
      <c r="Q24" s="252">
        <f>'C&amp;I'!Q57</f>
        <v>2866744</v>
      </c>
      <c r="R24" s="250">
        <f t="shared" si="6"/>
        <v>19265497</v>
      </c>
      <c r="S24" s="23"/>
    </row>
    <row r="25" spans="1:19" ht="12.75">
      <c r="A25" s="181" t="s">
        <v>316</v>
      </c>
      <c r="B25" s="250">
        <f t="shared" si="4"/>
        <v>338360</v>
      </c>
      <c r="C25" s="250">
        <f t="shared" si="5"/>
        <v>164630</v>
      </c>
      <c r="D25" s="316"/>
      <c r="E25" s="316"/>
      <c r="F25" s="316"/>
      <c r="G25" s="250">
        <f>'C&amp;I'!G58</f>
        <v>134622</v>
      </c>
      <c r="H25" s="250">
        <f>'C&amp;I'!H58</f>
        <v>203738</v>
      </c>
      <c r="I25" s="250">
        <f>'C&amp;I'!I58</f>
        <v>42480</v>
      </c>
      <c r="J25" s="250">
        <f>'C&amp;I'!J58</f>
        <v>31536</v>
      </c>
      <c r="K25" s="250">
        <f>'C&amp;I'!K58</f>
        <v>46637</v>
      </c>
      <c r="L25" s="250">
        <f>'C&amp;I'!L58</f>
        <v>43977</v>
      </c>
      <c r="M25" s="316"/>
      <c r="N25" s="316"/>
      <c r="O25" s="316"/>
      <c r="P25" s="316"/>
      <c r="Q25" s="316"/>
      <c r="R25" s="250">
        <f t="shared" si="6"/>
        <v>502990</v>
      </c>
      <c r="S25" s="23"/>
    </row>
    <row r="26" spans="1:19" ht="12.75">
      <c r="A26" s="181" t="s">
        <v>236</v>
      </c>
      <c r="B26" s="250">
        <f t="shared" si="4"/>
        <v>0</v>
      </c>
      <c r="C26" s="250">
        <f t="shared" si="5"/>
        <v>8757</v>
      </c>
      <c r="D26" s="316"/>
      <c r="E26" s="316"/>
      <c r="F26" s="316"/>
      <c r="G26" s="316"/>
      <c r="H26" s="316"/>
      <c r="I26" s="316"/>
      <c r="J26" s="316"/>
      <c r="K26" s="316"/>
      <c r="L26" s="316"/>
      <c r="M26" s="250">
        <f>'P4P '!J32</f>
        <v>8757</v>
      </c>
      <c r="N26" s="252">
        <f>'P4P '!K32</f>
        <v>216562</v>
      </c>
      <c r="O26" s="252">
        <f>'P4P '!L30</f>
        <v>485339</v>
      </c>
      <c r="P26" s="252">
        <f>'P4P '!M30</f>
        <v>555474</v>
      </c>
      <c r="Q26" s="252">
        <f>'P4P '!N30</f>
        <v>352912</v>
      </c>
      <c r="R26" s="250">
        <f t="shared" si="6"/>
        <v>1619044</v>
      </c>
      <c r="S26" s="23"/>
    </row>
    <row r="27" spans="1:19" ht="12.75">
      <c r="A27" s="181" t="s">
        <v>340</v>
      </c>
      <c r="B27" s="250">
        <f t="shared" si="4"/>
        <v>0</v>
      </c>
      <c r="C27" s="250">
        <f t="shared" si="5"/>
        <v>0</v>
      </c>
      <c r="D27" s="316"/>
      <c r="E27" s="316"/>
      <c r="F27" s="316"/>
      <c r="G27" s="316"/>
      <c r="H27" s="316"/>
      <c r="I27" s="316"/>
      <c r="J27" s="316"/>
      <c r="K27" s="316"/>
      <c r="L27" s="316"/>
      <c r="M27" s="316"/>
      <c r="N27" s="316"/>
      <c r="O27" s="252">
        <f>'P4P '!L31</f>
        <v>0</v>
      </c>
      <c r="P27" s="252">
        <f>'P4P '!M31</f>
        <v>0</v>
      </c>
      <c r="Q27" s="252">
        <f>'P4P '!N31</f>
        <v>0</v>
      </c>
      <c r="R27" s="250">
        <f t="shared" si="6"/>
        <v>0</v>
      </c>
      <c r="S27" s="23"/>
    </row>
    <row r="28" spans="1:19" ht="12.75">
      <c r="A28" s="181" t="s">
        <v>237</v>
      </c>
      <c r="B28" s="250">
        <f t="shared" si="4"/>
        <v>0</v>
      </c>
      <c r="C28" s="250">
        <f t="shared" si="5"/>
        <v>0</v>
      </c>
      <c r="D28" s="316"/>
      <c r="E28" s="316"/>
      <c r="F28" s="316"/>
      <c r="G28" s="316"/>
      <c r="H28" s="316"/>
      <c r="I28" s="316"/>
      <c r="J28" s="316"/>
      <c r="K28" s="316"/>
      <c r="L28" s="316"/>
      <c r="M28" s="250">
        <f>'P4P NC'!B27</f>
        <v>0</v>
      </c>
      <c r="N28" s="252">
        <f>'P4P NC'!C27</f>
        <v>0</v>
      </c>
      <c r="O28" s="252">
        <f>'P4P NC'!D27</f>
        <v>0</v>
      </c>
      <c r="P28" s="252">
        <f>'P4P NC'!E27</f>
        <v>23486</v>
      </c>
      <c r="Q28" s="252">
        <f>'P4P NC'!F27</f>
        <v>89509</v>
      </c>
      <c r="R28" s="250">
        <f t="shared" si="6"/>
        <v>112995</v>
      </c>
      <c r="S28" s="23"/>
    </row>
    <row r="29" spans="1:19" ht="12.75">
      <c r="A29" s="181" t="s">
        <v>183</v>
      </c>
      <c r="B29" s="250">
        <f t="shared" si="4"/>
        <v>0</v>
      </c>
      <c r="C29" s="250">
        <f t="shared" si="5"/>
        <v>75032</v>
      </c>
      <c r="D29" s="316"/>
      <c r="E29" s="316"/>
      <c r="F29" s="316"/>
      <c r="G29" s="316"/>
      <c r="H29" s="316"/>
      <c r="I29" s="316"/>
      <c r="J29" s="316"/>
      <c r="K29" s="316"/>
      <c r="L29" s="316"/>
      <c r="M29" s="250">
        <f>'Direct Install'!D23</f>
        <v>75032</v>
      </c>
      <c r="N29" s="250">
        <f>'Direct Install'!E23</f>
        <v>621575</v>
      </c>
      <c r="O29" s="252">
        <f>'Direct Install'!F23</f>
        <v>869610</v>
      </c>
      <c r="P29" s="252">
        <f>'Direct Install'!G23</f>
        <v>548554</v>
      </c>
      <c r="Q29" s="252">
        <f>'Direct Install'!H23</f>
        <v>683425</v>
      </c>
      <c r="R29" s="250">
        <f t="shared" si="6"/>
        <v>2798196</v>
      </c>
      <c r="S29" s="23"/>
    </row>
    <row r="30" spans="1:19" ht="12.75">
      <c r="A30" s="181" t="s">
        <v>341</v>
      </c>
      <c r="B30" s="250">
        <f t="shared" si="4"/>
        <v>0</v>
      </c>
      <c r="C30" s="250">
        <f t="shared" si="5"/>
        <v>0</v>
      </c>
      <c r="D30" s="316"/>
      <c r="E30" s="316"/>
      <c r="F30" s="316"/>
      <c r="G30" s="316"/>
      <c r="H30" s="316"/>
      <c r="I30" s="316"/>
      <c r="J30" s="316"/>
      <c r="K30" s="316"/>
      <c r="L30" s="316"/>
      <c r="M30" s="316"/>
      <c r="N30" s="316"/>
      <c r="O30" s="252">
        <f>LEUP!C23</f>
        <v>1247</v>
      </c>
      <c r="P30" s="252">
        <f>LEUP!D23</f>
        <v>505024</v>
      </c>
      <c r="Q30" s="252">
        <f>LEUP!E23</f>
        <v>230819</v>
      </c>
      <c r="R30" s="250">
        <f t="shared" si="6"/>
        <v>737090</v>
      </c>
      <c r="S30" s="23"/>
    </row>
    <row r="31" spans="1:19" ht="12.75">
      <c r="A31" s="181" t="s">
        <v>357</v>
      </c>
      <c r="B31" s="250">
        <f t="shared" si="4"/>
        <v>0</v>
      </c>
      <c r="C31" s="250">
        <f t="shared" si="5"/>
        <v>26120</v>
      </c>
      <c r="D31" s="316"/>
      <c r="E31" s="316"/>
      <c r="F31" s="316"/>
      <c r="G31" s="316"/>
      <c r="H31" s="316"/>
      <c r="I31" s="316"/>
      <c r="J31" s="316"/>
      <c r="K31" s="250">
        <f>'CHP-FuelCell_Lrg-Small'!K33</f>
        <v>2119</v>
      </c>
      <c r="L31" s="250">
        <f>'CHP-FuelCell_Lrg-Small'!L33</f>
        <v>0</v>
      </c>
      <c r="M31" s="250">
        <f>'CHP-FuelCell_Lrg-Small'!M33</f>
        <v>24001</v>
      </c>
      <c r="N31" s="250">
        <f>'CHP-FuelCell_Lrg-Small'!N33</f>
        <v>0</v>
      </c>
      <c r="O31" s="252">
        <f>'CHP-FuelCell_Lrg-Small'!O33</f>
        <v>0</v>
      </c>
      <c r="P31" s="252">
        <f>'CHP-FuelCell_Lrg-Small'!P33</f>
        <v>0</v>
      </c>
      <c r="Q31" s="252">
        <f>'CHP-FuelCell_Lrg-Small'!Q33</f>
        <v>0</v>
      </c>
      <c r="R31" s="250">
        <f t="shared" si="6"/>
        <v>26120</v>
      </c>
      <c r="S31" s="23"/>
    </row>
    <row r="32" spans="1:18" ht="12.75">
      <c r="A32" s="59" t="s">
        <v>304</v>
      </c>
      <c r="B32" s="263">
        <f t="shared" si="4"/>
        <v>10858893</v>
      </c>
      <c r="C32" s="263">
        <f t="shared" si="5"/>
        <v>7513906</v>
      </c>
      <c r="D32" s="263">
        <f>'C&amp;I'!D59</f>
        <v>464149</v>
      </c>
      <c r="E32" s="263">
        <f>'C&amp;I'!E59</f>
        <v>2164648</v>
      </c>
      <c r="F32" s="263">
        <f>'C&amp;I'!F59</f>
        <v>2944525</v>
      </c>
      <c r="G32" s="263">
        <f>'C&amp;I'!G59</f>
        <v>3061799</v>
      </c>
      <c r="H32" s="263">
        <f aca="true" t="shared" si="7" ref="H32:M32">SUM(H23:H31)</f>
        <v>2223772</v>
      </c>
      <c r="I32" s="263">
        <f t="shared" si="7"/>
        <v>1475649</v>
      </c>
      <c r="J32" s="263">
        <f t="shared" si="7"/>
        <v>1385437</v>
      </c>
      <c r="K32" s="263">
        <f t="shared" si="7"/>
        <v>1508571</v>
      </c>
      <c r="L32" s="263">
        <f t="shared" si="7"/>
        <v>1410736</v>
      </c>
      <c r="M32" s="263">
        <f t="shared" si="7"/>
        <v>1733513</v>
      </c>
      <c r="N32" s="263">
        <f>SUM(N23:N31)</f>
        <v>2744834</v>
      </c>
      <c r="O32" s="254">
        <f>SUM(O23:O31)</f>
        <v>3852123</v>
      </c>
      <c r="P32" s="254">
        <f>SUM(P23:P31)</f>
        <v>3330631</v>
      </c>
      <c r="Q32" s="254">
        <f>SUM(Q23:Q31)</f>
        <v>4374387</v>
      </c>
      <c r="R32" s="263">
        <f t="shared" si="6"/>
        <v>32674774</v>
      </c>
    </row>
    <row r="33" spans="1:18" ht="12.75">
      <c r="A33" s="207" t="s">
        <v>122</v>
      </c>
      <c r="B33" s="250">
        <f t="shared" si="4"/>
        <v>279403</v>
      </c>
      <c r="C33" s="250">
        <f t="shared" si="5"/>
        <v>46489</v>
      </c>
      <c r="D33" s="316"/>
      <c r="E33" s="316"/>
      <c r="F33" s="316"/>
      <c r="G33" s="316"/>
      <c r="H33" s="250">
        <v>279403</v>
      </c>
      <c r="I33" s="250">
        <f>'Cool Cities'!E22</f>
        <v>10479</v>
      </c>
      <c r="J33" s="250">
        <f>'Cool Cities'!F22</f>
        <v>10334</v>
      </c>
      <c r="K33" s="250">
        <f>'Cool Cities'!G22</f>
        <v>11570</v>
      </c>
      <c r="L33" s="250">
        <f>'Cool Cities'!H22</f>
        <v>14106</v>
      </c>
      <c r="M33" s="316"/>
      <c r="N33" s="316"/>
      <c r="O33" s="316"/>
      <c r="P33" s="316"/>
      <c r="Q33" s="316"/>
      <c r="R33" s="250">
        <f t="shared" si="6"/>
        <v>325892</v>
      </c>
    </row>
    <row r="34" spans="1:18" ht="12.75">
      <c r="A34" s="59" t="s">
        <v>126</v>
      </c>
      <c r="B34" s="263">
        <f t="shared" si="4"/>
        <v>11138296</v>
      </c>
      <c r="C34" s="263">
        <f t="shared" si="5"/>
        <v>7560395</v>
      </c>
      <c r="D34" s="263">
        <f aca="true" t="shared" si="8" ref="D34:I34">D33+D32</f>
        <v>464149</v>
      </c>
      <c r="E34" s="263">
        <f t="shared" si="8"/>
        <v>2164648</v>
      </c>
      <c r="F34" s="263">
        <f t="shared" si="8"/>
        <v>2944525</v>
      </c>
      <c r="G34" s="263">
        <f t="shared" si="8"/>
        <v>3061799</v>
      </c>
      <c r="H34" s="263">
        <f t="shared" si="8"/>
        <v>2503175</v>
      </c>
      <c r="I34" s="263">
        <f t="shared" si="8"/>
        <v>1486128</v>
      </c>
      <c r="J34" s="263">
        <f aca="true" t="shared" si="9" ref="J34:O34">J33+J32</f>
        <v>1395771</v>
      </c>
      <c r="K34" s="263">
        <f t="shared" si="9"/>
        <v>1520141</v>
      </c>
      <c r="L34" s="263">
        <f t="shared" si="9"/>
        <v>1424842</v>
      </c>
      <c r="M34" s="263">
        <f t="shared" si="9"/>
        <v>1733513</v>
      </c>
      <c r="N34" s="263">
        <f t="shared" si="9"/>
        <v>2744834</v>
      </c>
      <c r="O34" s="254">
        <f t="shared" si="9"/>
        <v>3852123</v>
      </c>
      <c r="P34" s="254">
        <f>P33+P32</f>
        <v>3330631</v>
      </c>
      <c r="Q34" s="254">
        <f>Q33+Q32</f>
        <v>4374387</v>
      </c>
      <c r="R34" s="263">
        <f t="shared" si="6"/>
        <v>33000666</v>
      </c>
    </row>
    <row r="35" spans="1:19" ht="12.75">
      <c r="A35" s="29" t="s">
        <v>396</v>
      </c>
      <c r="B35" s="263">
        <f t="shared" si="4"/>
        <v>14876711</v>
      </c>
      <c r="C35" s="263">
        <f t="shared" si="5"/>
        <v>15142604.2</v>
      </c>
      <c r="D35" s="263">
        <f aca="true" t="shared" si="10" ref="D35:P35">D34+D21+D19</f>
        <v>797595</v>
      </c>
      <c r="E35" s="263">
        <f t="shared" si="10"/>
        <v>2548628</v>
      </c>
      <c r="F35" s="263">
        <f t="shared" si="10"/>
        <v>3739163</v>
      </c>
      <c r="G35" s="263">
        <f t="shared" si="10"/>
        <v>4308771</v>
      </c>
      <c r="H35" s="263">
        <f t="shared" si="10"/>
        <v>3482554</v>
      </c>
      <c r="I35" s="263">
        <f t="shared" si="10"/>
        <v>1935790</v>
      </c>
      <c r="J35" s="263">
        <f t="shared" si="10"/>
        <v>2645703</v>
      </c>
      <c r="K35" s="263">
        <f t="shared" si="10"/>
        <v>3160279</v>
      </c>
      <c r="L35" s="263">
        <f t="shared" si="10"/>
        <v>3986481</v>
      </c>
      <c r="M35" s="263">
        <f t="shared" si="10"/>
        <v>3414351.2</v>
      </c>
      <c r="N35" s="263">
        <f t="shared" si="10"/>
        <v>4880985.3</v>
      </c>
      <c r="O35" s="254">
        <f t="shared" si="10"/>
        <v>6830470.2</v>
      </c>
      <c r="P35" s="254">
        <f t="shared" si="10"/>
        <v>6040321</v>
      </c>
      <c r="Q35" s="254">
        <f>Q34+Q21+Q19</f>
        <v>6637672.114777017</v>
      </c>
      <c r="R35" s="263">
        <f t="shared" si="6"/>
        <v>54408763.81477702</v>
      </c>
      <c r="S35" s="23"/>
    </row>
    <row r="36" spans="1:20" ht="12.75">
      <c r="A36" s="30"/>
      <c r="B36" s="35"/>
      <c r="C36" s="35"/>
      <c r="D36" s="35"/>
      <c r="E36" s="35"/>
      <c r="F36" s="35"/>
      <c r="G36" s="35"/>
      <c r="H36" s="35"/>
      <c r="I36" s="35"/>
      <c r="J36" s="35"/>
      <c r="K36" s="35"/>
      <c r="L36" s="35"/>
      <c r="M36" s="139"/>
      <c r="N36" s="139"/>
      <c r="O36" s="139"/>
      <c r="P36" s="139"/>
      <c r="Q36" s="139"/>
      <c r="R36" s="139"/>
      <c r="S36" s="138"/>
      <c r="T36" s="136"/>
    </row>
    <row r="37" spans="1:20" ht="12.75">
      <c r="A37" s="30" t="s">
        <v>166</v>
      </c>
      <c r="B37" s="122"/>
      <c r="C37" s="122"/>
      <c r="D37" s="122"/>
      <c r="E37" s="122"/>
      <c r="F37" s="122"/>
      <c r="G37" s="122"/>
      <c r="H37" s="122"/>
      <c r="I37" s="45"/>
      <c r="J37" s="45"/>
      <c r="K37" s="45"/>
      <c r="L37" s="45"/>
      <c r="M37" s="148"/>
      <c r="N37" s="148"/>
      <c r="O37" s="148"/>
      <c r="P37" s="148"/>
      <c r="Q37" s="148"/>
      <c r="R37" s="87"/>
      <c r="S37" s="138"/>
      <c r="T37" s="136"/>
    </row>
    <row r="38" spans="1:20" ht="12.75">
      <c r="A38" s="181" t="s">
        <v>340</v>
      </c>
      <c r="B38" s="320">
        <f>SUM(D38:H38)</f>
        <v>0</v>
      </c>
      <c r="C38" s="320">
        <f>SUM(I38:M38)</f>
        <v>0</v>
      </c>
      <c r="D38" s="477"/>
      <c r="E38" s="477"/>
      <c r="F38" s="477"/>
      <c r="G38" s="477"/>
      <c r="H38" s="477"/>
      <c r="I38" s="477"/>
      <c r="J38" s="477"/>
      <c r="K38" s="477"/>
      <c r="L38" s="477"/>
      <c r="M38" s="477"/>
      <c r="N38" s="477"/>
      <c r="O38" s="253">
        <f>'P4P '!L42</f>
        <v>210240</v>
      </c>
      <c r="P38" s="253">
        <f>'P4P '!M42</f>
        <v>99059</v>
      </c>
      <c r="Q38" s="253">
        <f>'P4P '!N42</f>
        <v>0</v>
      </c>
      <c r="R38" s="321"/>
      <c r="S38" s="138"/>
      <c r="T38" s="136"/>
    </row>
    <row r="39" spans="1:20" ht="12.75">
      <c r="A39" s="181" t="s">
        <v>50</v>
      </c>
      <c r="B39" s="320">
        <f>SUM(D39:H39)</f>
        <v>0</v>
      </c>
      <c r="C39" s="320">
        <f>SUM(I39:M39)</f>
        <v>0</v>
      </c>
      <c r="D39" s="477"/>
      <c r="E39" s="477"/>
      <c r="F39" s="477"/>
      <c r="G39" s="477"/>
      <c r="H39" s="477"/>
      <c r="I39" s="477"/>
      <c r="J39" s="477"/>
      <c r="K39" s="477"/>
      <c r="L39" s="477"/>
      <c r="M39" s="477"/>
      <c r="N39" s="477"/>
      <c r="O39" s="253">
        <f>'CHP-FuelCell_Lrg-Small'!O49</f>
        <v>0</v>
      </c>
      <c r="P39" s="253">
        <f>'CHP-FuelCell_Lrg-Small'!P49</f>
        <v>13850</v>
      </c>
      <c r="Q39" s="253">
        <f>'CHP-FuelCell_Lrg-Small'!Q49</f>
        <v>496417</v>
      </c>
      <c r="R39" s="321"/>
      <c r="S39" s="138"/>
      <c r="T39" s="136"/>
    </row>
    <row r="40" spans="1:19" ht="12.75">
      <c r="A40" s="16" t="s">
        <v>1</v>
      </c>
      <c r="B40" s="263">
        <f>SUM(D40:H40)</f>
        <v>11498</v>
      </c>
      <c r="C40" s="263">
        <f>SUM(I40:M40)</f>
        <v>2395505</v>
      </c>
      <c r="D40" s="263">
        <f>'CHP-FuelCell_Lrg-Small'!D49</f>
        <v>0</v>
      </c>
      <c r="E40" s="263">
        <f>'CHP-FuelCell_Lrg-Small'!E49</f>
        <v>0</v>
      </c>
      <c r="F40" s="263">
        <f>'CHP-FuelCell_Lrg-Small'!F49</f>
        <v>0</v>
      </c>
      <c r="G40" s="263">
        <f>'CHP-FuelCell_Lrg-Small'!G49</f>
        <v>0</v>
      </c>
      <c r="H40" s="263">
        <f>'CHP-FuelCell_Lrg-Small'!H49</f>
        <v>11498</v>
      </c>
      <c r="I40" s="263">
        <f>'CHP-FuelCell_Lrg-Small'!I49</f>
        <v>112759</v>
      </c>
      <c r="J40" s="263">
        <f>'CHP-FuelCell_Lrg-Small'!J49</f>
        <v>1225505</v>
      </c>
      <c r="K40" s="263">
        <f>'CHP-FuelCell_Lrg-Small'!K49</f>
        <v>109364</v>
      </c>
      <c r="L40" s="263">
        <f>'CHP-FuelCell_Lrg-Small'!L49</f>
        <v>423802</v>
      </c>
      <c r="M40" s="263">
        <f>'CHP-FuelCell_Lrg-Small'!M49</f>
        <v>524075</v>
      </c>
      <c r="N40" s="263">
        <f>'CHP-FuelCell_Lrg-Small'!N49</f>
        <v>0</v>
      </c>
      <c r="O40" s="254">
        <f>SUM(O38:O39)</f>
        <v>210240</v>
      </c>
      <c r="P40" s="254">
        <f>SUM(P38:P39)</f>
        <v>112909</v>
      </c>
      <c r="Q40" s="254">
        <f>SUM(Q38:Q39)</f>
        <v>496417</v>
      </c>
      <c r="R40" s="263">
        <f>SUM(D40:Q40)</f>
        <v>3226569</v>
      </c>
      <c r="S40" s="23"/>
    </row>
    <row r="41" spans="2:20" ht="12.75">
      <c r="B41" s="81"/>
      <c r="C41" s="81"/>
      <c r="D41" s="25"/>
      <c r="E41" s="25"/>
      <c r="F41" s="25"/>
      <c r="G41" s="25"/>
      <c r="H41" s="25"/>
      <c r="I41" s="25"/>
      <c r="J41" s="25"/>
      <c r="K41" s="25"/>
      <c r="L41" s="25"/>
      <c r="M41" s="147"/>
      <c r="N41" s="147"/>
      <c r="O41" s="208"/>
      <c r="P41" s="208"/>
      <c r="Q41" s="208"/>
      <c r="R41" s="208"/>
      <c r="S41" s="136"/>
      <c r="T41" s="136"/>
    </row>
    <row r="42" spans="1:20" ht="12.75">
      <c r="A42" s="30" t="s">
        <v>61</v>
      </c>
      <c r="B42" s="26"/>
      <c r="C42" s="26"/>
      <c r="D42" s="45"/>
      <c r="E42" s="45"/>
      <c r="F42" s="45"/>
      <c r="G42" s="45"/>
      <c r="H42" s="45"/>
      <c r="I42" s="45"/>
      <c r="J42" s="26"/>
      <c r="K42" s="26"/>
      <c r="L42" s="26"/>
      <c r="M42" s="148"/>
      <c r="N42" s="148"/>
      <c r="O42" s="148"/>
      <c r="P42" s="148"/>
      <c r="Q42" s="148"/>
      <c r="R42" s="87"/>
      <c r="S42" s="136"/>
      <c r="T42" s="136"/>
    </row>
    <row r="43" spans="1:20" ht="12.75">
      <c r="A43" s="181" t="s">
        <v>93</v>
      </c>
      <c r="B43" s="250">
        <f aca="true" t="shared" si="11" ref="B43:B48">SUM(D43:H43)</f>
        <v>600659</v>
      </c>
      <c r="C43" s="250">
        <f aca="true" t="shared" si="12" ref="C43:C48">SUM(I43:M43)</f>
        <v>1963580</v>
      </c>
      <c r="D43" s="250">
        <f>CORE!C24</f>
        <v>173</v>
      </c>
      <c r="E43" s="250">
        <f>CORE!D24</f>
        <v>56330</v>
      </c>
      <c r="F43" s="250">
        <f>CORE!E24</f>
        <v>109981</v>
      </c>
      <c r="G43" s="250">
        <f>CORE!F24</f>
        <v>82996</v>
      </c>
      <c r="H43" s="250">
        <f>CORE!G24</f>
        <v>351179</v>
      </c>
      <c r="I43" s="250">
        <f>CORE!H24</f>
        <v>449400</v>
      </c>
      <c r="J43" s="250">
        <f>CORE!I24</f>
        <v>487379</v>
      </c>
      <c r="K43" s="250">
        <f>CORE!J24</f>
        <v>354528</v>
      </c>
      <c r="L43" s="250">
        <f>CORE!K24</f>
        <v>308648</v>
      </c>
      <c r="M43" s="252">
        <f>CORE!L24</f>
        <v>363625</v>
      </c>
      <c r="N43" s="252">
        <f>CORE!M24</f>
        <v>139211</v>
      </c>
      <c r="O43" s="252">
        <f>CORE!N24</f>
        <v>72638</v>
      </c>
      <c r="P43" s="316"/>
      <c r="Q43" s="316"/>
      <c r="R43" s="253">
        <f aca="true" t="shared" si="13" ref="R43:R48">SUM(D43:Q43)</f>
        <v>2776088</v>
      </c>
      <c r="S43" s="138"/>
      <c r="T43" s="136"/>
    </row>
    <row r="44" spans="1:20" ht="12.75">
      <c r="A44" s="225" t="s">
        <v>201</v>
      </c>
      <c r="B44" s="250">
        <f t="shared" si="11"/>
        <v>0</v>
      </c>
      <c r="C44" s="250">
        <f t="shared" si="12"/>
        <v>438624</v>
      </c>
      <c r="D44" s="316"/>
      <c r="E44" s="316"/>
      <c r="F44" s="316"/>
      <c r="G44" s="316"/>
      <c r="H44" s="316"/>
      <c r="I44" s="316"/>
      <c r="J44" s="316"/>
      <c r="K44" s="316"/>
      <c r="L44" s="250">
        <f>REIP!B23</f>
        <v>51565</v>
      </c>
      <c r="M44" s="252">
        <f>REIP!C23</f>
        <v>387059</v>
      </c>
      <c r="N44" s="252">
        <f>REIP!D23</f>
        <v>428211</v>
      </c>
      <c r="O44" s="252">
        <f>REIP!E23</f>
        <v>54040</v>
      </c>
      <c r="P44" s="252">
        <f>REIP!F23</f>
        <v>32696</v>
      </c>
      <c r="Q44" s="252">
        <f>REIP!G23</f>
        <v>0</v>
      </c>
      <c r="R44" s="253">
        <f t="shared" si="13"/>
        <v>953571</v>
      </c>
      <c r="S44" s="138"/>
      <c r="T44" s="136"/>
    </row>
    <row r="45" spans="1:20" ht="12.75">
      <c r="A45" s="225" t="s">
        <v>333</v>
      </c>
      <c r="B45" s="250">
        <f t="shared" si="11"/>
        <v>0</v>
      </c>
      <c r="C45" s="250">
        <f t="shared" si="12"/>
        <v>4523565</v>
      </c>
      <c r="D45" s="316"/>
      <c r="E45" s="316"/>
      <c r="F45" s="316"/>
      <c r="G45" s="316"/>
      <c r="H45" s="316"/>
      <c r="I45" s="316"/>
      <c r="J45" s="250">
        <f>REC!B20</f>
        <v>312</v>
      </c>
      <c r="K45" s="250">
        <f>REC!C20</f>
        <v>202392</v>
      </c>
      <c r="L45" s="250">
        <f>REC!D20</f>
        <v>822467</v>
      </c>
      <c r="M45" s="252">
        <f>REC!E20</f>
        <v>3498394</v>
      </c>
      <c r="N45" s="252">
        <f>REC!F20</f>
        <v>7073890</v>
      </c>
      <c r="O45" s="252">
        <f>REC!G20</f>
        <v>12686040</v>
      </c>
      <c r="P45" s="252">
        <f>REC!H20</f>
        <v>4922020</v>
      </c>
      <c r="Q45" s="252">
        <f>REC!I20</f>
        <v>4357200</v>
      </c>
      <c r="R45" s="253">
        <f t="shared" si="13"/>
        <v>33562715</v>
      </c>
      <c r="S45" s="138"/>
      <c r="T45" s="136"/>
    </row>
    <row r="46" spans="1:20" ht="12.75">
      <c r="A46" s="181" t="s">
        <v>250</v>
      </c>
      <c r="B46" s="250">
        <f t="shared" si="11"/>
        <v>0</v>
      </c>
      <c r="C46" s="250">
        <f t="shared" si="12"/>
        <v>0</v>
      </c>
      <c r="D46" s="316"/>
      <c r="E46" s="316"/>
      <c r="F46" s="316"/>
      <c r="G46" s="316"/>
      <c r="H46" s="316"/>
      <c r="I46" s="316"/>
      <c r="J46" s="316"/>
      <c r="K46" s="316"/>
      <c r="L46" s="250">
        <f>'RE Grid Connected'!B20</f>
        <v>0</v>
      </c>
      <c r="M46" s="252">
        <f>'RE Grid Connected'!C20</f>
        <v>0</v>
      </c>
      <c r="N46" s="252">
        <f>'RE Grid Connected'!D20</f>
        <v>0</v>
      </c>
      <c r="O46" s="252">
        <f>'RE Grid Connected'!E20</f>
        <v>0</v>
      </c>
      <c r="P46" s="252">
        <f>'RE Grid Connected'!F20</f>
        <v>278480</v>
      </c>
      <c r="Q46" s="252">
        <f>'RE Grid Connected'!G20</f>
        <v>0</v>
      </c>
      <c r="R46" s="253">
        <f t="shared" si="13"/>
        <v>278480</v>
      </c>
      <c r="S46" s="138"/>
      <c r="T46" s="136"/>
    </row>
    <row r="47" spans="1:20" ht="12.75">
      <c r="A47" s="225" t="s">
        <v>320</v>
      </c>
      <c r="B47" s="250">
        <f t="shared" si="11"/>
        <v>187740</v>
      </c>
      <c r="C47" s="250">
        <f t="shared" si="12"/>
        <v>2692799</v>
      </c>
      <c r="D47" s="250">
        <v>0</v>
      </c>
      <c r="E47" s="250">
        <v>0</v>
      </c>
      <c r="F47" s="250">
        <v>0</v>
      </c>
      <c r="G47" s="250">
        <f>'RE Grants and Financing'!E36</f>
        <v>0</v>
      </c>
      <c r="H47" s="250">
        <f>'RE Grants and Financing'!F36</f>
        <v>187740</v>
      </c>
      <c r="I47" s="250">
        <f>'RE Grants and Financing'!G36</f>
        <v>0</v>
      </c>
      <c r="J47" s="250">
        <f>'RE Grants and Financing'!H36</f>
        <v>478464</v>
      </c>
      <c r="K47" s="250">
        <f>'RE Grants and Financing'!I36</f>
        <v>1438040</v>
      </c>
      <c r="L47" s="250">
        <f>'RE Grants and Financing'!J36</f>
        <v>174240</v>
      </c>
      <c r="M47" s="252">
        <f>'RE Grants and Financing'!K36</f>
        <v>602055</v>
      </c>
      <c r="N47" s="316"/>
      <c r="O47" s="316"/>
      <c r="P47" s="316"/>
      <c r="Q47" s="316"/>
      <c r="R47" s="253">
        <f t="shared" si="13"/>
        <v>2880539</v>
      </c>
      <c r="S47" s="146"/>
      <c r="T47" s="136"/>
    </row>
    <row r="48" spans="1:20" ht="12.75">
      <c r="A48" s="14" t="s">
        <v>1</v>
      </c>
      <c r="B48" s="263">
        <f t="shared" si="11"/>
        <v>788399</v>
      </c>
      <c r="C48" s="263">
        <f t="shared" si="12"/>
        <v>9618568</v>
      </c>
      <c r="D48" s="263">
        <f aca="true" t="shared" si="14" ref="D48:I48">SUM(D43:D47)</f>
        <v>173</v>
      </c>
      <c r="E48" s="263">
        <f t="shared" si="14"/>
        <v>56330</v>
      </c>
      <c r="F48" s="263">
        <f t="shared" si="14"/>
        <v>109981</v>
      </c>
      <c r="G48" s="263">
        <f t="shared" si="14"/>
        <v>82996</v>
      </c>
      <c r="H48" s="263">
        <f t="shared" si="14"/>
        <v>538919</v>
      </c>
      <c r="I48" s="263">
        <f t="shared" si="14"/>
        <v>449400</v>
      </c>
      <c r="J48" s="263">
        <f aca="true" t="shared" si="15" ref="J48:O48">SUM(J43:J47)</f>
        <v>966155</v>
      </c>
      <c r="K48" s="263">
        <f t="shared" si="15"/>
        <v>1994960</v>
      </c>
      <c r="L48" s="263">
        <f t="shared" si="15"/>
        <v>1356920</v>
      </c>
      <c r="M48" s="254">
        <f t="shared" si="15"/>
        <v>4851133</v>
      </c>
      <c r="N48" s="254">
        <f t="shared" si="15"/>
        <v>7641312</v>
      </c>
      <c r="O48" s="254">
        <f t="shared" si="15"/>
        <v>12812718</v>
      </c>
      <c r="P48" s="254">
        <f>SUM(P43:P47)</f>
        <v>5233196</v>
      </c>
      <c r="Q48" s="254">
        <f>SUM(Q43:Q47)</f>
        <v>4357200</v>
      </c>
      <c r="R48" s="254">
        <f t="shared" si="13"/>
        <v>40451393</v>
      </c>
      <c r="S48" s="138"/>
      <c r="T48" s="136"/>
    </row>
    <row r="49" spans="1:20" ht="12.75">
      <c r="A49" s="2" t="s">
        <v>291</v>
      </c>
      <c r="B49" s="265"/>
      <c r="C49" s="265"/>
      <c r="D49" s="265"/>
      <c r="E49" s="265"/>
      <c r="F49" s="265"/>
      <c r="G49" s="265"/>
      <c r="H49" s="265"/>
      <c r="I49" s="265"/>
      <c r="J49" s="265"/>
      <c r="K49" s="265"/>
      <c r="L49" s="265"/>
      <c r="M49" s="325"/>
      <c r="N49" s="325"/>
      <c r="O49" s="325"/>
      <c r="P49" s="325"/>
      <c r="Q49" s="325"/>
      <c r="R49" s="325"/>
      <c r="S49" s="138"/>
      <c r="T49" s="136"/>
    </row>
    <row r="50" spans="1:20" ht="12.75">
      <c r="A50" s="30"/>
      <c r="B50" s="265"/>
      <c r="C50" s="265"/>
      <c r="D50" s="265"/>
      <c r="E50" s="265"/>
      <c r="F50" s="265"/>
      <c r="G50" s="265"/>
      <c r="H50" s="265"/>
      <c r="I50" s="265"/>
      <c r="J50" s="265"/>
      <c r="K50" s="265"/>
      <c r="L50" s="265"/>
      <c r="M50" s="325"/>
      <c r="N50" s="325"/>
      <c r="O50" s="325"/>
      <c r="P50" s="325"/>
      <c r="Q50" s="325"/>
      <c r="R50" s="325"/>
      <c r="S50" s="138"/>
      <c r="T50" s="136"/>
    </row>
    <row r="51" spans="1:20" ht="15">
      <c r="A51" s="410" t="str">
        <f>A3</f>
        <v>Installed</v>
      </c>
      <c r="B51" s="397"/>
      <c r="C51" s="397"/>
      <c r="D51" s="397"/>
      <c r="E51" s="397"/>
      <c r="F51" s="397"/>
      <c r="G51" s="397"/>
      <c r="H51" s="397"/>
      <c r="I51" s="397"/>
      <c r="J51" s="397"/>
      <c r="K51" s="397"/>
      <c r="L51" s="397"/>
      <c r="M51" s="397"/>
      <c r="N51" s="397"/>
      <c r="O51" s="397"/>
      <c r="P51" s="397"/>
      <c r="Q51" s="397"/>
      <c r="R51" s="397"/>
      <c r="S51" s="138"/>
      <c r="T51" s="136"/>
    </row>
    <row r="52" spans="1:18" ht="26.25">
      <c r="A52" s="410" t="str">
        <f aca="true" t="shared" si="16" ref="A52:R52">A4</f>
        <v>Lifetime</v>
      </c>
      <c r="B52" s="81" t="str">
        <f t="shared" si="16"/>
        <v>Summary 
2001 to 2005*</v>
      </c>
      <c r="C52" s="81" t="str">
        <f>C4</f>
        <v>Summary 
2006 to 2010*</v>
      </c>
      <c r="D52" s="25">
        <f t="shared" si="16"/>
        <v>2001</v>
      </c>
      <c r="E52" s="25">
        <f t="shared" si="16"/>
        <v>2002</v>
      </c>
      <c r="F52" s="25">
        <f t="shared" si="16"/>
        <v>2003</v>
      </c>
      <c r="G52" s="25">
        <f t="shared" si="16"/>
        <v>2004</v>
      </c>
      <c r="H52" s="25">
        <f t="shared" si="16"/>
        <v>2005</v>
      </c>
      <c r="I52" s="25">
        <f t="shared" si="16"/>
        <v>2006</v>
      </c>
      <c r="J52" s="25">
        <f t="shared" si="16"/>
        <v>2007</v>
      </c>
      <c r="K52" s="25">
        <f t="shared" si="16"/>
        <v>2008</v>
      </c>
      <c r="L52" s="25">
        <f t="shared" si="16"/>
        <v>2009</v>
      </c>
      <c r="M52" s="25">
        <f t="shared" si="16"/>
        <v>2010</v>
      </c>
      <c r="N52" s="25">
        <f t="shared" si="16"/>
        <v>2011</v>
      </c>
      <c r="O52" s="208" t="str">
        <f t="shared" si="16"/>
        <v>(18 month)1
2012-2013</v>
      </c>
      <c r="P52" s="208" t="str">
        <f t="shared" si="16"/>
        <v>FY2014</v>
      </c>
      <c r="Q52" s="208" t="str">
        <f>Q4</f>
        <v>FY2015</v>
      </c>
      <c r="R52" s="81" t="str">
        <f t="shared" si="16"/>
        <v>Total 
2001 ~ FY2015</v>
      </c>
    </row>
    <row r="53" spans="1:18" ht="12.75">
      <c r="A53" s="1" t="s">
        <v>62</v>
      </c>
      <c r="B53" s="26" t="s">
        <v>11</v>
      </c>
      <c r="C53" s="26" t="s">
        <v>11</v>
      </c>
      <c r="D53" s="26" t="s">
        <v>11</v>
      </c>
      <c r="E53" s="26" t="s">
        <v>11</v>
      </c>
      <c r="F53" s="26" t="s">
        <v>11</v>
      </c>
      <c r="G53" s="26" t="s">
        <v>11</v>
      </c>
      <c r="H53" s="26" t="s">
        <v>11</v>
      </c>
      <c r="I53" s="26" t="s">
        <v>11</v>
      </c>
      <c r="J53" s="26" t="s">
        <v>11</v>
      </c>
      <c r="K53" s="26" t="s">
        <v>11</v>
      </c>
      <c r="L53" s="26" t="s">
        <v>11</v>
      </c>
      <c r="M53" s="26" t="s">
        <v>11</v>
      </c>
      <c r="N53" s="26" t="s">
        <v>11</v>
      </c>
      <c r="O53" s="148" t="s">
        <v>11</v>
      </c>
      <c r="P53" s="148" t="s">
        <v>11</v>
      </c>
      <c r="Q53" s="148" t="s">
        <v>11</v>
      </c>
      <c r="R53" s="26" t="s">
        <v>11</v>
      </c>
    </row>
    <row r="54" spans="1:19" ht="12.75">
      <c r="A54" s="207" t="s">
        <v>66</v>
      </c>
      <c r="B54" s="250">
        <f>SUM(D54:H54)</f>
        <v>12328739</v>
      </c>
      <c r="C54" s="250">
        <f>SUM(I54:M54)</f>
        <v>19259227</v>
      </c>
      <c r="D54" s="250">
        <f>'Res HVAC'!D35</f>
        <v>2344252</v>
      </c>
      <c r="E54" s="250">
        <f>'Res HVAC'!E35</f>
        <v>2886917</v>
      </c>
      <c r="F54" s="250">
        <f>'Res HVAC'!F35</f>
        <v>2172633</v>
      </c>
      <c r="G54" s="250">
        <f>'Res HVAC'!G35</f>
        <v>2431125</v>
      </c>
      <c r="H54" s="250">
        <f>'Res HVAC'!H35</f>
        <v>2493812</v>
      </c>
      <c r="I54" s="250">
        <f>'Res HVAC'!I35</f>
        <v>3095022</v>
      </c>
      <c r="J54" s="250">
        <f>'Res HVAC'!J35</f>
        <v>3830587</v>
      </c>
      <c r="K54" s="250">
        <f>'Res HVAC'!K35</f>
        <v>3285309</v>
      </c>
      <c r="L54" s="250">
        <f>'Res HVAC'!L35</f>
        <v>3952255</v>
      </c>
      <c r="M54" s="250">
        <f>'Res HVAC'!M35</f>
        <v>5096054</v>
      </c>
      <c r="N54" s="250">
        <f>'Res HVAC'!N35</f>
        <v>6779179</v>
      </c>
      <c r="O54" s="252">
        <f>'Res HVAC'!O35</f>
        <v>6728822</v>
      </c>
      <c r="P54" s="252">
        <f>'Res HVAC'!P35</f>
        <v>2120558</v>
      </c>
      <c r="Q54" s="252">
        <f>'Res HVAC'!Q35</f>
        <v>3816525.118600032</v>
      </c>
      <c r="R54" s="250">
        <f>SUM(D54:Q54)</f>
        <v>51033050.11860003</v>
      </c>
      <c r="S54" s="23"/>
    </row>
    <row r="55" spans="1:18" ht="12.75">
      <c r="A55" s="207" t="s">
        <v>67</v>
      </c>
      <c r="B55" s="250">
        <f>SUM(D55:H55)</f>
        <v>12883376</v>
      </c>
      <c r="C55" s="250">
        <f>SUM(I55:M55)</f>
        <v>9433040</v>
      </c>
      <c r="D55" s="250">
        <f>RNC!D33</f>
        <v>7120</v>
      </c>
      <c r="E55" s="250">
        <f>RNC!E33</f>
        <v>1672762</v>
      </c>
      <c r="F55" s="250">
        <f>RNC!F33</f>
        <v>2738286</v>
      </c>
      <c r="G55" s="250">
        <f>RNC!G33</f>
        <v>3673856</v>
      </c>
      <c r="H55" s="250">
        <f>RNC!H33</f>
        <v>4791352</v>
      </c>
      <c r="I55" s="250">
        <f>RNC!I33</f>
        <v>2191094</v>
      </c>
      <c r="J55" s="250">
        <f>RNC!J33</f>
        <v>1937986</v>
      </c>
      <c r="K55" s="250">
        <f>RNC!K33</f>
        <v>2184460</v>
      </c>
      <c r="L55" s="250">
        <f>RNC!L33</f>
        <v>1535940</v>
      </c>
      <c r="M55" s="250">
        <f>RNC!M33</f>
        <v>1583560</v>
      </c>
      <c r="N55" s="250">
        <f>RNC!N33</f>
        <v>1214660</v>
      </c>
      <c r="O55" s="252">
        <f>RNC!O33</f>
        <v>1487097</v>
      </c>
      <c r="P55" s="252">
        <f>RNC!P33</f>
        <v>1017268</v>
      </c>
      <c r="Q55" s="252">
        <f>RNC!Q33</f>
        <v>744757</v>
      </c>
      <c r="R55" s="250">
        <f>SUM(D55:Q55)</f>
        <v>26780198</v>
      </c>
    </row>
    <row r="56" spans="1:18" ht="12.75">
      <c r="A56" s="207" t="s">
        <v>68</v>
      </c>
      <c r="B56" s="250">
        <f>SUM(D56:H56)</f>
        <v>0</v>
      </c>
      <c r="C56" s="250">
        <f>SUM(I56:M56)</f>
        <v>1307168</v>
      </c>
      <c r="D56" s="250">
        <v>0</v>
      </c>
      <c r="E56" s="250">
        <v>0</v>
      </c>
      <c r="F56" s="250">
        <v>0</v>
      </c>
      <c r="G56" s="250">
        <v>0</v>
      </c>
      <c r="H56" s="250">
        <v>0</v>
      </c>
      <c r="I56" s="250">
        <v>0</v>
      </c>
      <c r="J56" s="250">
        <f>'Energy Star'!J97</f>
        <v>19430</v>
      </c>
      <c r="K56" s="250">
        <f>'Energy Star'!K97</f>
        <v>300087</v>
      </c>
      <c r="L56" s="250">
        <f>'Energy Star'!L97</f>
        <v>456858</v>
      </c>
      <c r="M56" s="250">
        <f>'Energy Star'!M97</f>
        <v>530793</v>
      </c>
      <c r="N56" s="250">
        <f>'Energy Star'!N97</f>
        <v>538665</v>
      </c>
      <c r="O56" s="252">
        <f>'Energy Star'!O97</f>
        <v>495126</v>
      </c>
      <c r="P56" s="252">
        <f>'Energy Star'!P97</f>
        <v>442854</v>
      </c>
      <c r="Q56" s="252">
        <f>'Energy Star'!Q97</f>
        <v>232921.8</v>
      </c>
      <c r="R56" s="250">
        <f>SUM(D56:Q56)</f>
        <v>3016734.8</v>
      </c>
    </row>
    <row r="57" spans="1:18" ht="12.75">
      <c r="A57" s="207" t="s">
        <v>158</v>
      </c>
      <c r="B57" s="250">
        <f>SUM(D57:H57)</f>
        <v>0</v>
      </c>
      <c r="C57" s="250">
        <f>SUM(I57:M57)</f>
        <v>2282308</v>
      </c>
      <c r="D57" s="316"/>
      <c r="E57" s="316"/>
      <c r="F57" s="316"/>
      <c r="G57" s="316"/>
      <c r="H57" s="316"/>
      <c r="I57" s="250">
        <f>'Home Perf'!C35</f>
        <v>2152</v>
      </c>
      <c r="J57" s="250">
        <f>'Home Perf'!D35</f>
        <v>19299</v>
      </c>
      <c r="K57" s="250">
        <f>'Home Perf'!E35</f>
        <v>88013</v>
      </c>
      <c r="L57" s="250">
        <f>'Home Perf'!F35</f>
        <v>537652</v>
      </c>
      <c r="M57" s="250">
        <f>'Home Perf'!G35</f>
        <v>1635192</v>
      </c>
      <c r="N57" s="250">
        <f>'Home Perf'!H35</f>
        <v>2058386.84</v>
      </c>
      <c r="O57" s="252">
        <f>'Home Perf'!I35</f>
        <v>2972663</v>
      </c>
      <c r="P57" s="252">
        <f>'Home Perf'!J35</f>
        <v>2005100</v>
      </c>
      <c r="Q57" s="252">
        <f>'Home Perf'!K35</f>
        <v>2957155</v>
      </c>
      <c r="R57" s="250">
        <f>SUM(D57:Q57)</f>
        <v>12275612.84</v>
      </c>
    </row>
    <row r="58" spans="1:19" ht="12.75">
      <c r="A58" s="29" t="s">
        <v>73</v>
      </c>
      <c r="B58" s="263">
        <f>SUM(D58:H58)</f>
        <v>25212115</v>
      </c>
      <c r="C58" s="263">
        <f>SUM(I58:M58)</f>
        <v>32281743</v>
      </c>
      <c r="D58" s="263">
        <f aca="true" t="shared" si="17" ref="D58:L58">SUM(D54:D57)</f>
        <v>2351372</v>
      </c>
      <c r="E58" s="263">
        <f t="shared" si="17"/>
        <v>4559679</v>
      </c>
      <c r="F58" s="263">
        <f t="shared" si="17"/>
        <v>4910919</v>
      </c>
      <c r="G58" s="263">
        <f t="shared" si="17"/>
        <v>6104981</v>
      </c>
      <c r="H58" s="263">
        <f t="shared" si="17"/>
        <v>7285164</v>
      </c>
      <c r="I58" s="263">
        <f t="shared" si="17"/>
        <v>5288268</v>
      </c>
      <c r="J58" s="263">
        <f t="shared" si="17"/>
        <v>5807302</v>
      </c>
      <c r="K58" s="263">
        <f t="shared" si="17"/>
        <v>5857869</v>
      </c>
      <c r="L58" s="263">
        <f t="shared" si="17"/>
        <v>6482705</v>
      </c>
      <c r="M58" s="263">
        <f>SUM(M54:M57)</f>
        <v>8845599</v>
      </c>
      <c r="N58" s="263">
        <f>SUM(N54:N57)</f>
        <v>10590890.84</v>
      </c>
      <c r="O58" s="254">
        <f>SUM(O54:O57)</f>
        <v>11683708</v>
      </c>
      <c r="P58" s="254">
        <f>SUM(P54:P57)</f>
        <v>5585780</v>
      </c>
      <c r="Q58" s="254">
        <f>SUM(Q54:Q57)</f>
        <v>7751358.918600031</v>
      </c>
      <c r="R58" s="263">
        <f>SUM(D58:Q58)</f>
        <v>93105595.75860004</v>
      </c>
      <c r="S58" s="23"/>
    </row>
    <row r="59" spans="1:19" ht="12.75">
      <c r="A59" s="34"/>
      <c r="B59" s="80"/>
      <c r="C59" s="80"/>
      <c r="D59" s="79"/>
      <c r="E59" s="79"/>
      <c r="F59" s="79"/>
      <c r="G59" s="79"/>
      <c r="H59" s="79"/>
      <c r="I59" s="79"/>
      <c r="J59" s="80"/>
      <c r="K59" s="80"/>
      <c r="L59" s="80"/>
      <c r="M59" s="80"/>
      <c r="N59" s="80"/>
      <c r="O59" s="152"/>
      <c r="P59" s="152"/>
      <c r="Q59" s="152"/>
      <c r="R59" s="80"/>
      <c r="S59" s="23"/>
    </row>
    <row r="60" spans="1:20" ht="12.75">
      <c r="A60" s="417" t="s">
        <v>2</v>
      </c>
      <c r="B60" s="263">
        <f>SUM(D60:H60)</f>
        <v>6729837</v>
      </c>
      <c r="C60" s="263">
        <f>SUM(I60:M60)</f>
        <v>4678586</v>
      </c>
      <c r="D60" s="263">
        <f>'Low-income'!D41</f>
        <v>1835511</v>
      </c>
      <c r="E60" s="263">
        <f>'Low-income'!E41</f>
        <v>1470460</v>
      </c>
      <c r="F60" s="263">
        <f>'Low-income'!F41</f>
        <v>1284711</v>
      </c>
      <c r="G60" s="263">
        <f>'Low-income'!G41</f>
        <v>1183165</v>
      </c>
      <c r="H60" s="263">
        <f>'Low-income'!H41</f>
        <v>955990</v>
      </c>
      <c r="I60" s="263">
        <f>'Low-income'!I41</f>
        <v>703101</v>
      </c>
      <c r="J60" s="263">
        <f>'Low-income'!J41</f>
        <v>932511</v>
      </c>
      <c r="K60" s="263">
        <f>'Low-income'!K41</f>
        <v>1054201</v>
      </c>
      <c r="L60" s="263">
        <f>'Low-income'!L41</f>
        <v>1105591</v>
      </c>
      <c r="M60" s="254">
        <f>'Low-income'!M41</f>
        <v>883182</v>
      </c>
      <c r="N60" s="254">
        <f>'Low-income'!N41</f>
        <v>1264890</v>
      </c>
      <c r="O60" s="254">
        <f>'Low-income'!O41</f>
        <v>1111649</v>
      </c>
      <c r="P60" s="254">
        <f>'Low-income'!P41</f>
        <v>738319</v>
      </c>
      <c r="Q60" s="254">
        <f>'Low-income'!Q41</f>
        <v>644604.56</v>
      </c>
      <c r="R60" s="254">
        <f>SUM(D60:Q60)</f>
        <v>15167885.56</v>
      </c>
      <c r="S60" s="138"/>
      <c r="T60" s="136"/>
    </row>
    <row r="61" spans="1:20" ht="12.75">
      <c r="A61" s="231"/>
      <c r="B61" s="264"/>
      <c r="C61" s="264"/>
      <c r="D61" s="264"/>
      <c r="E61" s="264"/>
      <c r="F61" s="264"/>
      <c r="G61" s="264"/>
      <c r="H61" s="264"/>
      <c r="I61" s="264"/>
      <c r="J61" s="264"/>
      <c r="K61" s="264"/>
      <c r="L61" s="264"/>
      <c r="M61" s="268"/>
      <c r="N61" s="268"/>
      <c r="O61" s="268"/>
      <c r="P61" s="268"/>
      <c r="Q61" s="268"/>
      <c r="R61" s="268"/>
      <c r="S61" s="138"/>
      <c r="T61" s="136"/>
    </row>
    <row r="62" spans="1:20" ht="12.75">
      <c r="A62" s="227" t="s">
        <v>49</v>
      </c>
      <c r="B62" s="250">
        <f aca="true" t="shared" si="18" ref="B62:B72">SUM(D62:H62)</f>
        <v>310993</v>
      </c>
      <c r="C62" s="250">
        <f aca="true" t="shared" si="19" ref="C62:C72">SUM(I62:M62)</f>
        <v>2279693</v>
      </c>
      <c r="D62" s="316"/>
      <c r="E62" s="316"/>
      <c r="F62" s="316"/>
      <c r="G62" s="250">
        <f>'C&amp;I'!G74</f>
        <v>68637</v>
      </c>
      <c r="H62" s="250">
        <f>'C&amp;I'!H74</f>
        <v>242356</v>
      </c>
      <c r="I62" s="250">
        <f>'C&amp;I'!I74</f>
        <v>44603</v>
      </c>
      <c r="J62" s="250">
        <f>'C&amp;I'!J74</f>
        <v>99355</v>
      </c>
      <c r="K62" s="250">
        <f>'C&amp;I'!K74</f>
        <v>230222</v>
      </c>
      <c r="L62" s="250">
        <f>'C&amp;I'!L74</f>
        <v>13529</v>
      </c>
      <c r="M62" s="252">
        <f>'C&amp;I'!M74</f>
        <v>1891984</v>
      </c>
      <c r="N62" s="252">
        <f>'C&amp;I'!N74</f>
        <v>67666</v>
      </c>
      <c r="O62" s="252">
        <f>'C&amp;I'!O74</f>
        <v>68120</v>
      </c>
      <c r="P62" s="252">
        <f>'C&amp;I'!P74</f>
        <v>347</v>
      </c>
      <c r="Q62" s="252">
        <f>'C&amp;I'!Q74</f>
        <v>72614</v>
      </c>
      <c r="R62" s="252">
        <f aca="true" t="shared" si="20" ref="R62:R72">SUM(D62:Q62)</f>
        <v>2799433</v>
      </c>
      <c r="S62" s="138"/>
      <c r="T62" s="136"/>
    </row>
    <row r="63" spans="1:20" ht="12.75">
      <c r="A63" s="181" t="s">
        <v>52</v>
      </c>
      <c r="B63" s="250">
        <f t="shared" si="18"/>
        <v>3768859</v>
      </c>
      <c r="C63" s="250">
        <f t="shared" si="19"/>
        <v>7244697</v>
      </c>
      <c r="D63" s="316"/>
      <c r="E63" s="316"/>
      <c r="F63" s="316"/>
      <c r="G63" s="250">
        <f>'C&amp;I'!G75</f>
        <v>606584</v>
      </c>
      <c r="H63" s="250">
        <f>'C&amp;I'!H75</f>
        <v>3162275</v>
      </c>
      <c r="I63" s="250">
        <f>'C&amp;I'!I75</f>
        <v>2681281</v>
      </c>
      <c r="J63" s="250">
        <f>'C&amp;I'!J75</f>
        <v>535493</v>
      </c>
      <c r="K63" s="250">
        <f>'C&amp;I'!K75</f>
        <v>675862</v>
      </c>
      <c r="L63" s="250">
        <f>'C&amp;I'!L75</f>
        <v>628140</v>
      </c>
      <c r="M63" s="252">
        <f>'C&amp;I'!M75</f>
        <v>2723921</v>
      </c>
      <c r="N63" s="252">
        <f>'C&amp;I'!N75</f>
        <v>1026019</v>
      </c>
      <c r="O63" s="252">
        <f>'C&amp;I'!O75</f>
        <v>2541686</v>
      </c>
      <c r="P63" s="252">
        <f>'C&amp;I'!P75</f>
        <v>578990</v>
      </c>
      <c r="Q63" s="252">
        <f>'C&amp;I'!Q75</f>
        <v>1994045</v>
      </c>
      <c r="R63" s="252">
        <f t="shared" si="20"/>
        <v>17154296</v>
      </c>
      <c r="S63" s="138"/>
      <c r="T63" s="136"/>
    </row>
    <row r="64" spans="1:20" ht="12.75">
      <c r="A64" s="181" t="s">
        <v>316</v>
      </c>
      <c r="B64" s="250">
        <f t="shared" si="18"/>
        <v>176049</v>
      </c>
      <c r="C64" s="250">
        <f t="shared" si="19"/>
        <v>768217</v>
      </c>
      <c r="D64" s="316"/>
      <c r="E64" s="316"/>
      <c r="F64" s="316"/>
      <c r="G64" s="250">
        <f>'C&amp;I'!G76</f>
        <v>144434</v>
      </c>
      <c r="H64" s="250">
        <f>'C&amp;I'!H76</f>
        <v>31615</v>
      </c>
      <c r="I64" s="250">
        <f>'C&amp;I'!I76</f>
        <v>419977</v>
      </c>
      <c r="J64" s="250">
        <f>'C&amp;I'!J76</f>
        <v>44563</v>
      </c>
      <c r="K64" s="250">
        <f>'C&amp;I'!K76</f>
        <v>127836</v>
      </c>
      <c r="L64" s="250">
        <f>'C&amp;I'!L76</f>
        <v>175841</v>
      </c>
      <c r="M64" s="316"/>
      <c r="N64" s="316"/>
      <c r="O64" s="316"/>
      <c r="P64" s="316"/>
      <c r="Q64" s="316"/>
      <c r="R64" s="252">
        <f t="shared" si="20"/>
        <v>944266</v>
      </c>
      <c r="S64" s="146"/>
      <c r="T64" s="136"/>
    </row>
    <row r="65" spans="1:20" ht="12.75">
      <c r="A65" s="181" t="s">
        <v>236</v>
      </c>
      <c r="B65" s="250">
        <f t="shared" si="18"/>
        <v>0</v>
      </c>
      <c r="C65" s="250">
        <f t="shared" si="19"/>
        <v>0</v>
      </c>
      <c r="D65" s="316"/>
      <c r="E65" s="316"/>
      <c r="F65" s="316"/>
      <c r="G65" s="316"/>
      <c r="H65" s="316"/>
      <c r="I65" s="316"/>
      <c r="J65" s="316"/>
      <c r="K65" s="316"/>
      <c r="L65" s="316"/>
      <c r="M65" s="252">
        <f>'P4P '!J56</f>
        <v>0</v>
      </c>
      <c r="N65" s="252">
        <f>'P4P '!K56</f>
        <v>527074</v>
      </c>
      <c r="O65" s="252">
        <f>'P4P '!L54</f>
        <v>2224850</v>
      </c>
      <c r="P65" s="252">
        <f>'P4P '!M54</f>
        <v>4504875</v>
      </c>
      <c r="Q65" s="252">
        <f>'P4P '!N54</f>
        <v>2790653</v>
      </c>
      <c r="R65" s="252">
        <f t="shared" si="20"/>
        <v>10047452</v>
      </c>
      <c r="S65" s="138"/>
      <c r="T65" s="136"/>
    </row>
    <row r="66" spans="1:20" ht="12.75">
      <c r="A66" s="181" t="s">
        <v>340</v>
      </c>
      <c r="B66" s="250">
        <f t="shared" si="18"/>
        <v>0</v>
      </c>
      <c r="C66" s="250">
        <f t="shared" si="19"/>
        <v>0</v>
      </c>
      <c r="D66" s="316"/>
      <c r="E66" s="316"/>
      <c r="F66" s="316"/>
      <c r="G66" s="316"/>
      <c r="H66" s="316"/>
      <c r="I66" s="316"/>
      <c r="J66" s="316"/>
      <c r="K66" s="316"/>
      <c r="L66" s="316"/>
      <c r="M66" s="316"/>
      <c r="N66" s="316"/>
      <c r="O66" s="252">
        <f>'P4P '!L55</f>
        <v>999324</v>
      </c>
      <c r="P66" s="252">
        <f>'P4P '!M55</f>
        <v>449172</v>
      </c>
      <c r="Q66" s="252">
        <f>'P4P '!N55</f>
        <v>0</v>
      </c>
      <c r="R66" s="252">
        <f t="shared" si="20"/>
        <v>1448496</v>
      </c>
      <c r="S66" s="138"/>
      <c r="T66" s="136"/>
    </row>
    <row r="67" spans="1:20" ht="12.75">
      <c r="A67" s="181" t="s">
        <v>237</v>
      </c>
      <c r="B67" s="250">
        <f t="shared" si="18"/>
        <v>0</v>
      </c>
      <c r="C67" s="250">
        <f t="shared" si="19"/>
        <v>0</v>
      </c>
      <c r="D67" s="316"/>
      <c r="E67" s="316"/>
      <c r="F67" s="316"/>
      <c r="G67" s="316"/>
      <c r="H67" s="316"/>
      <c r="I67" s="316"/>
      <c r="J67" s="316"/>
      <c r="K67" s="316"/>
      <c r="L67" s="316"/>
      <c r="M67" s="252">
        <f>'P4P NC'!B35</f>
        <v>0</v>
      </c>
      <c r="N67" s="252">
        <f>'P4P NC'!C35</f>
        <v>0</v>
      </c>
      <c r="O67" s="252">
        <f>'P4P NC'!D35</f>
        <v>0</v>
      </c>
      <c r="P67" s="252">
        <f>'P4P NC'!E35</f>
        <v>15048</v>
      </c>
      <c r="Q67" s="252">
        <f>'P4P NC'!F35</f>
        <v>123131</v>
      </c>
      <c r="R67" s="252">
        <f t="shared" si="20"/>
        <v>138179</v>
      </c>
      <c r="S67" s="138"/>
      <c r="T67" s="136"/>
    </row>
    <row r="68" spans="1:20" ht="12.75">
      <c r="A68" s="181" t="s">
        <v>183</v>
      </c>
      <c r="B68" s="250">
        <f t="shared" si="18"/>
        <v>0</v>
      </c>
      <c r="C68" s="250">
        <f t="shared" si="19"/>
        <v>67968</v>
      </c>
      <c r="D68" s="316"/>
      <c r="E68" s="316"/>
      <c r="F68" s="316"/>
      <c r="G68" s="316"/>
      <c r="H68" s="316"/>
      <c r="I68" s="316"/>
      <c r="J68" s="316"/>
      <c r="K68" s="316"/>
      <c r="L68" s="316"/>
      <c r="M68" s="252">
        <f>'Direct Install'!D31</f>
        <v>67968</v>
      </c>
      <c r="N68" s="252">
        <f>'Direct Install'!E31</f>
        <v>1016634</v>
      </c>
      <c r="O68" s="252">
        <f>'Direct Install'!F31</f>
        <v>1198392</v>
      </c>
      <c r="P68" s="252">
        <f>'Direct Install'!G31</f>
        <v>1647942</v>
      </c>
      <c r="Q68" s="252">
        <f>'Direct Install'!H31</f>
        <v>1879664</v>
      </c>
      <c r="R68" s="252">
        <f t="shared" si="20"/>
        <v>5810600</v>
      </c>
      <c r="S68" s="138"/>
      <c r="T68" s="136"/>
    </row>
    <row r="69" spans="1:20" ht="12.75">
      <c r="A69" s="181" t="s">
        <v>341</v>
      </c>
      <c r="B69" s="250">
        <f t="shared" si="18"/>
        <v>0</v>
      </c>
      <c r="C69" s="250">
        <f t="shared" si="19"/>
        <v>0</v>
      </c>
      <c r="D69" s="316"/>
      <c r="E69" s="316"/>
      <c r="F69" s="316"/>
      <c r="G69" s="316"/>
      <c r="H69" s="316"/>
      <c r="I69" s="316"/>
      <c r="J69" s="316"/>
      <c r="K69" s="316"/>
      <c r="L69" s="316"/>
      <c r="M69" s="316"/>
      <c r="N69" s="316"/>
      <c r="O69" s="252">
        <f>LEUP!C31</f>
        <v>2615671</v>
      </c>
      <c r="P69" s="252">
        <f>LEUP!D31</f>
        <v>3036821</v>
      </c>
      <c r="Q69" s="252">
        <f>LEUP!E31</f>
        <v>0</v>
      </c>
      <c r="R69" s="252">
        <f t="shared" si="20"/>
        <v>5652492</v>
      </c>
      <c r="S69" s="138"/>
      <c r="T69" s="136"/>
    </row>
    <row r="70" spans="1:20" ht="12.75">
      <c r="A70" s="181" t="s">
        <v>357</v>
      </c>
      <c r="B70" s="251">
        <f t="shared" si="18"/>
        <v>0</v>
      </c>
      <c r="C70" s="251">
        <f t="shared" si="19"/>
        <v>11119822</v>
      </c>
      <c r="D70" s="478"/>
      <c r="E70" s="478"/>
      <c r="F70" s="478"/>
      <c r="G70" s="478"/>
      <c r="H70" s="478"/>
      <c r="I70" s="478"/>
      <c r="J70" s="251">
        <f>'CHP-FuelCell_Lrg-Small'!J65</f>
        <v>6313260</v>
      </c>
      <c r="K70" s="251">
        <f>'CHP-FuelCell_Lrg-Small'!K65</f>
        <v>625236</v>
      </c>
      <c r="L70" s="251">
        <f>'CHP-FuelCell_Lrg-Small'!L65</f>
        <v>2118252</v>
      </c>
      <c r="M70" s="253">
        <f>'CHP-FuelCell_Lrg-Small'!M65</f>
        <v>2063074</v>
      </c>
      <c r="N70" s="253">
        <f>'CHP-FuelCell_Lrg-Small'!N65</f>
        <v>0</v>
      </c>
      <c r="O70" s="253">
        <f>'CHP-FuelCell_Lrg-Small'!O65</f>
        <v>0</v>
      </c>
      <c r="P70" s="253">
        <f>'CHP-FuelCell_Lrg-Small'!P65</f>
        <v>100301</v>
      </c>
      <c r="Q70" s="253">
        <f>'CHP-FuelCell_Lrg-Small'!Q65</f>
        <v>1867493</v>
      </c>
      <c r="R70" s="252">
        <f t="shared" si="20"/>
        <v>13087616</v>
      </c>
      <c r="S70" s="138"/>
      <c r="T70" s="136"/>
    </row>
    <row r="71" spans="1:20" ht="12.75">
      <c r="A71" s="59" t="s">
        <v>313</v>
      </c>
      <c r="B71" s="263">
        <f t="shared" si="18"/>
        <v>6885363</v>
      </c>
      <c r="C71" s="263">
        <f t="shared" si="19"/>
        <v>21480397</v>
      </c>
      <c r="D71" s="263">
        <f>'C&amp;I'!D77</f>
        <v>616099</v>
      </c>
      <c r="E71" s="263">
        <f>'C&amp;I'!E77</f>
        <v>502563</v>
      </c>
      <c r="F71" s="263">
        <f>'C&amp;I'!F77</f>
        <v>1510800</v>
      </c>
      <c r="G71" s="263">
        <f>'C&amp;I'!G77</f>
        <v>819655</v>
      </c>
      <c r="H71" s="263">
        <f aca="true" t="shared" si="21" ref="H71:M71">SUM(H62:H70)</f>
        <v>3436246</v>
      </c>
      <c r="I71" s="263">
        <f t="shared" si="21"/>
        <v>3145861</v>
      </c>
      <c r="J71" s="263">
        <f t="shared" si="21"/>
        <v>6992671</v>
      </c>
      <c r="K71" s="263">
        <f t="shared" si="21"/>
        <v>1659156</v>
      </c>
      <c r="L71" s="263">
        <f t="shared" si="21"/>
        <v>2935762</v>
      </c>
      <c r="M71" s="254">
        <f t="shared" si="21"/>
        <v>6746947</v>
      </c>
      <c r="N71" s="254">
        <f>SUM(N62:N70)</f>
        <v>2637393</v>
      </c>
      <c r="O71" s="254">
        <f>SUM(O62:O70)</f>
        <v>9648043</v>
      </c>
      <c r="P71" s="254">
        <f>SUM(P62:P70)</f>
        <v>10333496</v>
      </c>
      <c r="Q71" s="254">
        <f>SUM(Q62:Q70)</f>
        <v>8727600</v>
      </c>
      <c r="R71" s="254">
        <f t="shared" si="20"/>
        <v>59712292</v>
      </c>
      <c r="S71" s="138"/>
      <c r="T71" s="136"/>
    </row>
    <row r="72" spans="1:20" ht="12.75">
      <c r="A72" s="29" t="s">
        <v>394</v>
      </c>
      <c r="B72" s="263">
        <f t="shared" si="18"/>
        <v>38827315</v>
      </c>
      <c r="C72" s="263">
        <f t="shared" si="19"/>
        <v>58440726</v>
      </c>
      <c r="D72" s="263">
        <f aca="true" t="shared" si="22" ref="D72:P72">D71+D60+D58</f>
        <v>4802982</v>
      </c>
      <c r="E72" s="263">
        <f t="shared" si="22"/>
        <v>6532702</v>
      </c>
      <c r="F72" s="263">
        <f t="shared" si="22"/>
        <v>7706430</v>
      </c>
      <c r="G72" s="263">
        <f t="shared" si="22"/>
        <v>8107801</v>
      </c>
      <c r="H72" s="263">
        <f t="shared" si="22"/>
        <v>11677400</v>
      </c>
      <c r="I72" s="263">
        <f t="shared" si="22"/>
        <v>9137230</v>
      </c>
      <c r="J72" s="263">
        <f t="shared" si="22"/>
        <v>13732484</v>
      </c>
      <c r="K72" s="263">
        <f t="shared" si="22"/>
        <v>8571226</v>
      </c>
      <c r="L72" s="263">
        <f t="shared" si="22"/>
        <v>10524058</v>
      </c>
      <c r="M72" s="254">
        <f t="shared" si="22"/>
        <v>16475728</v>
      </c>
      <c r="N72" s="254">
        <f t="shared" si="22"/>
        <v>14493173.84</v>
      </c>
      <c r="O72" s="254">
        <f t="shared" si="22"/>
        <v>22443400</v>
      </c>
      <c r="P72" s="254">
        <f t="shared" si="22"/>
        <v>16657595</v>
      </c>
      <c r="Q72" s="254">
        <f>Q71+Q60+Q58</f>
        <v>17123563.478600033</v>
      </c>
      <c r="R72" s="254">
        <f t="shared" si="20"/>
        <v>167985773.31860003</v>
      </c>
      <c r="S72" s="152"/>
      <c r="T72" s="136"/>
    </row>
    <row r="73" spans="1:20" ht="12.75">
      <c r="A73" s="2" t="s">
        <v>291</v>
      </c>
      <c r="B73" s="79"/>
      <c r="C73" s="79"/>
      <c r="D73" s="79"/>
      <c r="E73" s="79"/>
      <c r="F73" s="79"/>
      <c r="G73" s="79"/>
      <c r="H73" s="79"/>
      <c r="I73" s="79"/>
      <c r="J73" s="79"/>
      <c r="K73" s="79"/>
      <c r="L73" s="79"/>
      <c r="M73" s="153"/>
      <c r="N73" s="153"/>
      <c r="O73" s="153"/>
      <c r="P73" s="153"/>
      <c r="Q73" s="153"/>
      <c r="R73" s="153"/>
      <c r="S73" s="136"/>
      <c r="T73" s="136"/>
    </row>
    <row r="74" spans="1:18" ht="12.75">
      <c r="A74" s="30"/>
      <c r="B74" s="44"/>
      <c r="C74" s="44"/>
      <c r="D74" s="35"/>
      <c r="E74" s="35"/>
      <c r="F74" s="35"/>
      <c r="G74" s="35"/>
      <c r="H74" s="35"/>
      <c r="I74" s="35"/>
      <c r="J74" s="44"/>
      <c r="K74" s="44"/>
      <c r="L74" s="44"/>
      <c r="M74" s="44"/>
      <c r="N74" s="44"/>
      <c r="O74" s="58"/>
      <c r="P74" s="58"/>
      <c r="Q74" s="58"/>
      <c r="R74" s="35"/>
    </row>
    <row r="75" spans="1:18" ht="15">
      <c r="A75" s="410" t="s">
        <v>19</v>
      </c>
      <c r="B75" s="44"/>
      <c r="C75" s="44"/>
      <c r="D75" s="35"/>
      <c r="E75" s="35"/>
      <c r="F75" s="35"/>
      <c r="G75" s="35"/>
      <c r="H75" s="35"/>
      <c r="I75" s="35"/>
      <c r="J75" s="44"/>
      <c r="K75" s="44"/>
      <c r="L75" s="44"/>
      <c r="M75" s="44"/>
      <c r="N75" s="44"/>
      <c r="O75" s="58"/>
      <c r="P75" s="58"/>
      <c r="Q75" s="58"/>
      <c r="R75" s="35"/>
    </row>
    <row r="76" spans="1:18" ht="26.25">
      <c r="A76" s="410" t="s">
        <v>344</v>
      </c>
      <c r="B76" s="81" t="str">
        <f>B4</f>
        <v>Summary 
2001 to 2005*</v>
      </c>
      <c r="C76" s="81" t="str">
        <f>C4</f>
        <v>Summary 
2006 to 2010*</v>
      </c>
      <c r="D76" s="25">
        <v>2001</v>
      </c>
      <c r="E76" s="25">
        <v>2002</v>
      </c>
      <c r="F76" s="25">
        <v>2003</v>
      </c>
      <c r="G76" s="25">
        <v>2004</v>
      </c>
      <c r="H76" s="25">
        <v>2005</v>
      </c>
      <c r="I76" s="25">
        <v>2006</v>
      </c>
      <c r="J76" s="25">
        <v>2007</v>
      </c>
      <c r="K76" s="25">
        <v>2008</v>
      </c>
      <c r="L76" s="25">
        <v>2009</v>
      </c>
      <c r="M76" s="25">
        <v>2010</v>
      </c>
      <c r="N76" s="25">
        <v>2011</v>
      </c>
      <c r="O76" s="208" t="str">
        <f>O4</f>
        <v>(18 month)1
2012-2013</v>
      </c>
      <c r="P76" s="208" t="str">
        <f>P4</f>
        <v>FY2014</v>
      </c>
      <c r="Q76" s="208" t="str">
        <f>Q4</f>
        <v>FY2015</v>
      </c>
      <c r="R76" s="25"/>
    </row>
    <row r="77" spans="1:18" ht="12.75">
      <c r="A77" s="1" t="s">
        <v>381</v>
      </c>
      <c r="B77" s="26" t="s">
        <v>8</v>
      </c>
      <c r="C77" s="26" t="s">
        <v>8</v>
      </c>
      <c r="D77" s="26" t="s">
        <v>8</v>
      </c>
      <c r="E77" s="26" t="s">
        <v>8</v>
      </c>
      <c r="F77" s="26" t="s">
        <v>8</v>
      </c>
      <c r="G77" s="26" t="s">
        <v>8</v>
      </c>
      <c r="H77" s="26" t="s">
        <v>8</v>
      </c>
      <c r="I77" s="26" t="s">
        <v>8</v>
      </c>
      <c r="J77" s="26" t="s">
        <v>8</v>
      </c>
      <c r="K77" s="26" t="s">
        <v>8</v>
      </c>
      <c r="L77" s="26" t="s">
        <v>8</v>
      </c>
      <c r="M77" s="26" t="s">
        <v>8</v>
      </c>
      <c r="N77" s="26" t="s">
        <v>8</v>
      </c>
      <c r="O77" s="148" t="s">
        <v>8</v>
      </c>
      <c r="P77" s="148" t="s">
        <v>8</v>
      </c>
      <c r="Q77" s="148" t="s">
        <v>8</v>
      </c>
      <c r="R77" s="45"/>
    </row>
    <row r="78" spans="1:18" ht="12.75">
      <c r="A78" s="207" t="s">
        <v>67</v>
      </c>
      <c r="B78" s="250">
        <f aca="true" t="shared" si="23" ref="B78:C87">SUM(D78:H78)</f>
        <v>1521208</v>
      </c>
      <c r="C78" s="250">
        <f t="shared" si="23"/>
        <v>1737549</v>
      </c>
      <c r="D78" s="250">
        <f>RNC!D41</f>
        <v>131481</v>
      </c>
      <c r="E78" s="250">
        <f>RNC!E41</f>
        <v>504649</v>
      </c>
      <c r="F78" s="250">
        <f>RNC!F41</f>
        <v>440776</v>
      </c>
      <c r="G78" s="250">
        <f>RNC!G41</f>
        <v>79079</v>
      </c>
      <c r="H78" s="250">
        <f>RNC!H41</f>
        <v>365223</v>
      </c>
      <c r="I78" s="250">
        <f>RNC!I41</f>
        <v>347822</v>
      </c>
      <c r="J78" s="250">
        <f>RNC!J41</f>
        <v>165060</v>
      </c>
      <c r="K78" s="250">
        <f>RNC!K41</f>
        <v>223740</v>
      </c>
      <c r="L78" s="250">
        <f>RNC!L41</f>
        <v>92158</v>
      </c>
      <c r="M78" s="250">
        <f>RNC!M41</f>
        <v>77682</v>
      </c>
      <c r="N78" s="250">
        <f>RNC!N41</f>
        <v>41646</v>
      </c>
      <c r="O78" s="252">
        <f>RNC!O41</f>
        <v>295243</v>
      </c>
      <c r="P78" s="252">
        <f>RNC!P41</f>
        <v>183391</v>
      </c>
      <c r="Q78" s="252">
        <f>RNC!Q41</f>
        <v>203559.1097659403</v>
      </c>
      <c r="R78" s="35"/>
    </row>
    <row r="79" spans="1:18" ht="12.75">
      <c r="A79" s="207" t="s">
        <v>158</v>
      </c>
      <c r="B79" s="316"/>
      <c r="C79" s="316"/>
      <c r="D79" s="316"/>
      <c r="E79" s="316"/>
      <c r="F79" s="316"/>
      <c r="G79" s="316"/>
      <c r="H79" s="316"/>
      <c r="I79" s="316"/>
      <c r="J79" s="316"/>
      <c r="K79" s="316"/>
      <c r="L79" s="316"/>
      <c r="M79" s="316"/>
      <c r="N79" s="316"/>
      <c r="O79" s="316"/>
      <c r="P79" s="252">
        <f>'Home Perf'!J42</f>
        <v>3970</v>
      </c>
      <c r="Q79" s="252">
        <f>'Home Perf'!K42</f>
        <v>36994.464632454925</v>
      </c>
      <c r="R79" s="35"/>
    </row>
    <row r="80" spans="1:18" ht="12.75">
      <c r="A80" s="207" t="s">
        <v>74</v>
      </c>
      <c r="B80" s="250">
        <f t="shared" si="23"/>
        <v>7357979</v>
      </c>
      <c r="C80" s="250">
        <f t="shared" si="23"/>
        <v>7094512</v>
      </c>
      <c r="D80" s="250">
        <f>'C&amp;I'!D93</f>
        <v>937582</v>
      </c>
      <c r="E80" s="250">
        <f>'C&amp;I'!E93</f>
        <v>654800</v>
      </c>
      <c r="F80" s="250">
        <f>'C&amp;I'!F93</f>
        <v>2441633</v>
      </c>
      <c r="G80" s="250">
        <f>'C&amp;I'!G93</f>
        <v>1682736</v>
      </c>
      <c r="H80" s="250">
        <f>'C&amp;I'!H93</f>
        <v>1641228</v>
      </c>
      <c r="I80" s="250">
        <f>'C&amp;I'!I93</f>
        <v>674115</v>
      </c>
      <c r="J80" s="250">
        <f>'C&amp;I'!J93</f>
        <v>2563547</v>
      </c>
      <c r="K80" s="250">
        <f>'C&amp;I'!K93</f>
        <v>877194</v>
      </c>
      <c r="L80" s="250">
        <f>'C&amp;I'!L93</f>
        <v>1761322</v>
      </c>
      <c r="M80" s="250">
        <f>'C&amp;I'!M93</f>
        <v>1519290</v>
      </c>
      <c r="N80" s="250">
        <f>'C&amp;I'!N93</f>
        <v>2260079</v>
      </c>
      <c r="O80" s="252">
        <f>'C&amp;I'!O93</f>
        <v>1980992</v>
      </c>
      <c r="P80" s="252">
        <f>'C&amp;I'!P93</f>
        <v>2824777</v>
      </c>
      <c r="Q80" s="252">
        <f>'C&amp;I'!Q93</f>
        <v>2604261</v>
      </c>
      <c r="R80" s="35"/>
    </row>
    <row r="81" spans="1:18" ht="12.75">
      <c r="A81" s="181" t="s">
        <v>236</v>
      </c>
      <c r="B81" s="250">
        <f t="shared" si="23"/>
        <v>0</v>
      </c>
      <c r="C81" s="250">
        <f t="shared" si="23"/>
        <v>0</v>
      </c>
      <c r="D81" s="316"/>
      <c r="E81" s="316"/>
      <c r="F81" s="316"/>
      <c r="G81" s="316"/>
      <c r="H81" s="316"/>
      <c r="I81" s="316"/>
      <c r="J81" s="316"/>
      <c r="K81" s="316"/>
      <c r="L81" s="316"/>
      <c r="M81" s="250">
        <f>'P4P '!J70</f>
        <v>0</v>
      </c>
      <c r="N81" s="250">
        <f>'P4P '!K70</f>
        <v>847665</v>
      </c>
      <c r="O81" s="252">
        <f>'P4P '!L68</f>
        <v>793618</v>
      </c>
      <c r="P81" s="252">
        <f>'P4P '!M68</f>
        <v>427118</v>
      </c>
      <c r="Q81" s="252">
        <f>'P4P '!N68</f>
        <v>510871</v>
      </c>
      <c r="R81" s="35"/>
    </row>
    <row r="82" spans="1:18" ht="12.75">
      <c r="A82" s="181" t="s">
        <v>340</v>
      </c>
      <c r="B82" s="250">
        <f t="shared" si="23"/>
        <v>0</v>
      </c>
      <c r="C82" s="250">
        <f t="shared" si="23"/>
        <v>0</v>
      </c>
      <c r="D82" s="316"/>
      <c r="E82" s="316"/>
      <c r="F82" s="316"/>
      <c r="G82" s="316"/>
      <c r="H82" s="316"/>
      <c r="I82" s="316"/>
      <c r="J82" s="316"/>
      <c r="K82" s="316"/>
      <c r="L82" s="316"/>
      <c r="M82" s="316"/>
      <c r="N82" s="316"/>
      <c r="O82" s="252">
        <f>'P4P '!L69</f>
        <v>0</v>
      </c>
      <c r="P82" s="252">
        <f>'P4P '!M69</f>
        <v>0</v>
      </c>
      <c r="Q82" s="252">
        <f>'P4P '!N69</f>
        <v>0</v>
      </c>
      <c r="R82" s="35"/>
    </row>
    <row r="83" spans="1:18" ht="12.75">
      <c r="A83" s="181" t="s">
        <v>237</v>
      </c>
      <c r="B83" s="250">
        <f t="shared" si="23"/>
        <v>0</v>
      </c>
      <c r="C83" s="250">
        <f t="shared" si="23"/>
        <v>0</v>
      </c>
      <c r="D83" s="316"/>
      <c r="E83" s="316"/>
      <c r="F83" s="316"/>
      <c r="G83" s="316"/>
      <c r="H83" s="316"/>
      <c r="I83" s="316"/>
      <c r="J83" s="316"/>
      <c r="K83" s="316"/>
      <c r="L83" s="316"/>
      <c r="M83" s="250">
        <f>'P4P NC'!B43</f>
        <v>0</v>
      </c>
      <c r="N83" s="250">
        <f>'P4P NC'!C43</f>
        <v>112356</v>
      </c>
      <c r="O83" s="252">
        <f>'P4P NC'!D43</f>
        <v>33006</v>
      </c>
      <c r="P83" s="252">
        <f>'P4P NC'!E43</f>
        <v>6425</v>
      </c>
      <c r="Q83" s="252">
        <f>'P4P NC'!F43</f>
        <v>290747</v>
      </c>
      <c r="R83" s="35"/>
    </row>
    <row r="84" spans="1:18" ht="12.75">
      <c r="A84" s="181" t="s">
        <v>183</v>
      </c>
      <c r="B84" s="250">
        <f t="shared" si="23"/>
        <v>0</v>
      </c>
      <c r="C84" s="250">
        <f t="shared" si="23"/>
        <v>0</v>
      </c>
      <c r="D84" s="316"/>
      <c r="E84" s="316"/>
      <c r="F84" s="316"/>
      <c r="G84" s="316"/>
      <c r="H84" s="316"/>
      <c r="I84" s="316"/>
      <c r="J84" s="316"/>
      <c r="K84" s="316"/>
      <c r="L84" s="316"/>
      <c r="M84" s="250">
        <f>'Direct Install'!D39</f>
        <v>241683</v>
      </c>
      <c r="N84" s="250">
        <f>'Direct Install'!E39</f>
        <v>398064</v>
      </c>
      <c r="O84" s="252">
        <f>'Direct Install'!F39</f>
        <v>313871</v>
      </c>
      <c r="P84" s="252">
        <f>'Direct Install'!G39</f>
        <v>261178</v>
      </c>
      <c r="Q84" s="252">
        <f>'Direct Install'!H39</f>
        <v>265737</v>
      </c>
      <c r="R84" s="35"/>
    </row>
    <row r="85" spans="1:18" ht="12.75">
      <c r="A85" s="181" t="s">
        <v>341</v>
      </c>
      <c r="B85" s="250">
        <f t="shared" si="23"/>
        <v>0</v>
      </c>
      <c r="C85" s="250">
        <f t="shared" si="23"/>
        <v>0</v>
      </c>
      <c r="D85" s="316"/>
      <c r="E85" s="316"/>
      <c r="F85" s="316"/>
      <c r="G85" s="316"/>
      <c r="H85" s="316"/>
      <c r="I85" s="316"/>
      <c r="J85" s="316"/>
      <c r="K85" s="316"/>
      <c r="L85" s="316"/>
      <c r="M85" s="316"/>
      <c r="N85" s="316"/>
      <c r="O85" s="252">
        <f>LEUP!C39</f>
        <v>296162</v>
      </c>
      <c r="P85" s="252">
        <f>LEUP!D39</f>
        <v>147246</v>
      </c>
      <c r="Q85" s="252">
        <f>LEUP!E39</f>
        <v>753878</v>
      </c>
      <c r="R85" s="35"/>
    </row>
    <row r="86" spans="1:18" ht="12.75">
      <c r="A86" s="225" t="s">
        <v>357</v>
      </c>
      <c r="B86" s="250">
        <f t="shared" si="23"/>
        <v>0</v>
      </c>
      <c r="C86" s="250">
        <f t="shared" si="23"/>
        <v>0</v>
      </c>
      <c r="D86" s="316"/>
      <c r="E86" s="316"/>
      <c r="F86" s="316"/>
      <c r="G86" s="316"/>
      <c r="H86" s="316"/>
      <c r="I86" s="316"/>
      <c r="J86" s="316"/>
      <c r="K86" s="316"/>
      <c r="L86" s="250">
        <f>'CHP-FuelCell_Lrg-Small'!L79</f>
        <v>4245</v>
      </c>
      <c r="M86" s="250">
        <f>'CHP-FuelCell_Lrg-Small'!M79</f>
        <v>0</v>
      </c>
      <c r="N86" s="250">
        <f>'CHP-FuelCell_Lrg-Small'!N79</f>
        <v>0</v>
      </c>
      <c r="O86" s="252">
        <f>'CHP-FuelCell_Lrg-Small'!O79</f>
        <v>0</v>
      </c>
      <c r="P86" s="252">
        <f>'CHP-FuelCell_Lrg-Small'!P79</f>
        <v>0</v>
      </c>
      <c r="Q86" s="252">
        <f>'CHP-FuelCell_Lrg-Small'!Q79</f>
        <v>7578</v>
      </c>
      <c r="R86" s="35"/>
    </row>
    <row r="87" spans="1:19" ht="12.75">
      <c r="A87" s="29" t="s">
        <v>90</v>
      </c>
      <c r="B87" s="263">
        <f t="shared" si="23"/>
        <v>8879187</v>
      </c>
      <c r="C87" s="263">
        <f t="shared" si="23"/>
        <v>8832061</v>
      </c>
      <c r="D87" s="263">
        <f>SUM(D78:D86)</f>
        <v>1069063</v>
      </c>
      <c r="E87" s="263">
        <f aca="true" t="shared" si="24" ref="E87:L87">SUM(E78:E86)</f>
        <v>1159449</v>
      </c>
      <c r="F87" s="263">
        <f t="shared" si="24"/>
        <v>2882409</v>
      </c>
      <c r="G87" s="263">
        <f t="shared" si="24"/>
        <v>1761815</v>
      </c>
      <c r="H87" s="263">
        <f t="shared" si="24"/>
        <v>2006451</v>
      </c>
      <c r="I87" s="263">
        <f t="shared" si="24"/>
        <v>1021937</v>
      </c>
      <c r="J87" s="263">
        <f t="shared" si="24"/>
        <v>2728607</v>
      </c>
      <c r="K87" s="263">
        <f t="shared" si="24"/>
        <v>1100934</v>
      </c>
      <c r="L87" s="263">
        <f t="shared" si="24"/>
        <v>1857725</v>
      </c>
      <c r="M87" s="263">
        <f>SUM(M78:M86)</f>
        <v>1838655</v>
      </c>
      <c r="N87" s="263">
        <f>SUM(N78:N86)</f>
        <v>3659810</v>
      </c>
      <c r="O87" s="254">
        <f>SUM(O78:O86)</f>
        <v>3712892</v>
      </c>
      <c r="P87" s="254">
        <f>SUM(P78:P86)</f>
        <v>3854105</v>
      </c>
      <c r="Q87" s="254">
        <f>SUM(Q78:Q86)</f>
        <v>4673625.574398395</v>
      </c>
      <c r="R87" s="60"/>
      <c r="S87" s="23"/>
    </row>
    <row r="88" spans="1:19" ht="12.75">
      <c r="A88" s="34"/>
      <c r="B88" s="269"/>
      <c r="C88" s="269"/>
      <c r="D88" s="270"/>
      <c r="E88" s="270"/>
      <c r="F88" s="270"/>
      <c r="G88" s="270"/>
      <c r="H88" s="270"/>
      <c r="I88" s="270"/>
      <c r="J88" s="269"/>
      <c r="K88" s="269"/>
      <c r="L88" s="269"/>
      <c r="M88" s="269"/>
      <c r="N88" s="269"/>
      <c r="O88" s="323"/>
      <c r="P88" s="323"/>
      <c r="Q88" s="323"/>
      <c r="R88" s="60"/>
      <c r="S88" s="23"/>
    </row>
    <row r="89" spans="1:19" ht="12.75">
      <c r="A89" s="67" t="s">
        <v>166</v>
      </c>
      <c r="B89" s="269"/>
      <c r="C89" s="269"/>
      <c r="D89" s="270"/>
      <c r="E89" s="270"/>
      <c r="F89" s="270"/>
      <c r="G89" s="270"/>
      <c r="H89" s="270"/>
      <c r="I89" s="270"/>
      <c r="J89" s="269"/>
      <c r="K89" s="269"/>
      <c r="L89" s="269"/>
      <c r="M89" s="269"/>
      <c r="N89" s="269"/>
      <c r="O89" s="323"/>
      <c r="P89" s="323"/>
      <c r="Q89" s="323"/>
      <c r="R89" s="60"/>
      <c r="S89" s="23"/>
    </row>
    <row r="90" spans="1:19" ht="12.75">
      <c r="A90" s="181" t="s">
        <v>340</v>
      </c>
      <c r="B90" s="316"/>
      <c r="C90" s="316"/>
      <c r="D90" s="316"/>
      <c r="E90" s="316"/>
      <c r="F90" s="316"/>
      <c r="G90" s="316"/>
      <c r="H90" s="316"/>
      <c r="I90" s="316"/>
      <c r="J90" s="316"/>
      <c r="K90" s="316"/>
      <c r="L90" s="316"/>
      <c r="M90" s="316"/>
      <c r="N90" s="316"/>
      <c r="O90" s="252">
        <f>'P4P '!L80</f>
        <v>95419</v>
      </c>
      <c r="P90" s="252">
        <f>'P4P '!M80</f>
        <v>0</v>
      </c>
      <c r="Q90" s="252">
        <f>'P4P '!N80</f>
        <v>0</v>
      </c>
      <c r="R90" s="60"/>
      <c r="S90" s="23"/>
    </row>
    <row r="91" spans="1:19" ht="12.75">
      <c r="A91" s="181" t="s">
        <v>50</v>
      </c>
      <c r="B91" s="316"/>
      <c r="C91" s="316"/>
      <c r="D91" s="316"/>
      <c r="E91" s="316"/>
      <c r="F91" s="316"/>
      <c r="G91" s="316"/>
      <c r="H91" s="316"/>
      <c r="I91" s="316"/>
      <c r="J91" s="316"/>
      <c r="K91" s="316"/>
      <c r="L91" s="316"/>
      <c r="M91" s="316"/>
      <c r="N91" s="316"/>
      <c r="O91" s="252">
        <f>'CHP-FuelCell_Lrg-Small'!O95</f>
        <v>2568182</v>
      </c>
      <c r="P91" s="252">
        <f>'CHP-FuelCell_Lrg-Small'!P95</f>
        <v>440093</v>
      </c>
      <c r="Q91" s="252">
        <f>'CHP-FuelCell_Lrg-Small'!Q95</f>
        <v>1867908</v>
      </c>
      <c r="R91" s="60"/>
      <c r="S91" s="23"/>
    </row>
    <row r="92" spans="1:19" ht="12.75">
      <c r="A92" s="48" t="s">
        <v>1</v>
      </c>
      <c r="B92" s="263">
        <f>SUM(D92:H92)</f>
        <v>199875</v>
      </c>
      <c r="C92" s="263">
        <f>SUM(E92:I92)</f>
        <v>199875</v>
      </c>
      <c r="D92" s="263">
        <f>'CHP-FuelCell_Lrg-Small'!D95</f>
        <v>0</v>
      </c>
      <c r="E92" s="263">
        <f>'CHP-FuelCell_Lrg-Small'!E95</f>
        <v>0</v>
      </c>
      <c r="F92" s="263">
        <f>'CHP-FuelCell_Lrg-Small'!F95</f>
        <v>0</v>
      </c>
      <c r="G92" s="263">
        <f>'CHP-FuelCell_Lrg-Small'!G95</f>
        <v>0</v>
      </c>
      <c r="H92" s="263">
        <f>'CHP-FuelCell_Lrg-Small'!H95</f>
        <v>199875</v>
      </c>
      <c r="I92" s="263">
        <f>'CHP-FuelCell_Lrg-Small'!I95</f>
        <v>0</v>
      </c>
      <c r="J92" s="263">
        <f>'CHP-FuelCell_Lrg-Small'!J95</f>
        <v>1263019</v>
      </c>
      <c r="K92" s="263">
        <f>'CHP-FuelCell_Lrg-Small'!K95</f>
        <v>3705353</v>
      </c>
      <c r="L92" s="263">
        <f>'CHP-FuelCell_Lrg-Small'!L95</f>
        <v>1486741</v>
      </c>
      <c r="M92" s="263">
        <f>'CHP-FuelCell_Lrg-Small'!M95</f>
        <v>500620</v>
      </c>
      <c r="N92" s="263">
        <f>'CHP-FuelCell_Lrg-Small'!N95</f>
        <v>29465</v>
      </c>
      <c r="O92" s="254">
        <f>SUM(O90:O91)</f>
        <v>2663601</v>
      </c>
      <c r="P92" s="254">
        <f>SUM(P90:P91)</f>
        <v>440093</v>
      </c>
      <c r="Q92" s="254">
        <f>SUM(Q90:Q91)</f>
        <v>1867908</v>
      </c>
      <c r="R92" s="60"/>
      <c r="S92" s="23"/>
    </row>
    <row r="93" spans="2:21" ht="12.75">
      <c r="B93" s="58"/>
      <c r="C93" s="58"/>
      <c r="D93" s="139"/>
      <c r="E93" s="139"/>
      <c r="F93" s="139"/>
      <c r="G93" s="139"/>
      <c r="H93" s="139"/>
      <c r="I93" s="139"/>
      <c r="J93" s="58"/>
      <c r="K93" s="58"/>
      <c r="L93" s="58"/>
      <c r="M93" s="58"/>
      <c r="N93" s="58"/>
      <c r="O93" s="58"/>
      <c r="P93" s="58"/>
      <c r="Q93" s="58"/>
      <c r="R93" s="139"/>
      <c r="S93" s="136"/>
      <c r="T93" s="136"/>
      <c r="U93" s="136"/>
    </row>
    <row r="94" spans="1:21" ht="12.75">
      <c r="A94" s="30" t="s">
        <v>92</v>
      </c>
      <c r="B94" s="148"/>
      <c r="C94" s="148"/>
      <c r="D94" s="87"/>
      <c r="E94" s="87"/>
      <c r="F94" s="87"/>
      <c r="G94" s="87"/>
      <c r="H94" s="87"/>
      <c r="I94" s="87"/>
      <c r="J94" s="148"/>
      <c r="K94" s="148"/>
      <c r="L94" s="148"/>
      <c r="M94" s="148"/>
      <c r="N94" s="148"/>
      <c r="O94" s="148"/>
      <c r="P94" s="148"/>
      <c r="Q94" s="148"/>
      <c r="R94" s="87"/>
      <c r="S94" s="136"/>
      <c r="T94" s="136"/>
      <c r="U94" s="136"/>
    </row>
    <row r="95" spans="1:21" ht="12.75">
      <c r="A95" s="225" t="s">
        <v>93</v>
      </c>
      <c r="B95" s="252">
        <f aca="true" t="shared" si="25" ref="B95:C100">SUM(D95:H95)</f>
        <v>1488376</v>
      </c>
      <c r="C95" s="252">
        <f t="shared" si="25"/>
        <v>2194701</v>
      </c>
      <c r="D95" s="316"/>
      <c r="E95" s="316"/>
      <c r="F95" s="316"/>
      <c r="G95" s="316"/>
      <c r="H95" s="252">
        <f>CORE!G40</f>
        <v>1488376</v>
      </c>
      <c r="I95" s="252">
        <f>CORE!H40</f>
        <v>706325</v>
      </c>
      <c r="J95" s="252">
        <f>CORE!I40</f>
        <v>515130</v>
      </c>
      <c r="K95" s="252">
        <f>CORE!J40</f>
        <v>1285248</v>
      </c>
      <c r="L95" s="252">
        <f>CORE!K40</f>
        <v>969030</v>
      </c>
      <c r="M95" s="252">
        <f>CORE!L40</f>
        <v>328695</v>
      </c>
      <c r="N95" s="252">
        <f>CORE!M40</f>
        <v>104779</v>
      </c>
      <c r="O95" s="316">
        <f>CORE!N40</f>
        <v>0</v>
      </c>
      <c r="P95" s="316"/>
      <c r="Q95" s="316"/>
      <c r="R95" s="139"/>
      <c r="S95" s="136"/>
      <c r="T95" s="136"/>
      <c r="U95" s="136"/>
    </row>
    <row r="96" spans="1:21" ht="12.75">
      <c r="A96" s="225" t="s">
        <v>201</v>
      </c>
      <c r="B96" s="252">
        <f t="shared" si="25"/>
        <v>0</v>
      </c>
      <c r="C96" s="252">
        <f t="shared" si="25"/>
        <v>0</v>
      </c>
      <c r="D96" s="316"/>
      <c r="E96" s="316"/>
      <c r="F96" s="316"/>
      <c r="G96" s="316"/>
      <c r="H96" s="316"/>
      <c r="I96" s="316"/>
      <c r="J96" s="316"/>
      <c r="K96" s="316"/>
      <c r="L96" s="252">
        <f>REIP!B39</f>
        <v>508800</v>
      </c>
      <c r="M96" s="252">
        <f>REIP!C39</f>
        <v>665554</v>
      </c>
      <c r="N96" s="252">
        <f>REIP!D39</f>
        <v>140862</v>
      </c>
      <c r="O96" s="252">
        <f>REIP!E39</f>
        <v>496418</v>
      </c>
      <c r="P96" s="252">
        <f>REIP!F39</f>
        <v>497920</v>
      </c>
      <c r="Q96" s="252">
        <f>REIP!G39</f>
        <v>355660</v>
      </c>
      <c r="R96" s="139"/>
      <c r="S96" s="136"/>
      <c r="T96" s="136"/>
      <c r="U96" s="136"/>
    </row>
    <row r="97" spans="1:21" ht="12.75">
      <c r="A97" s="225" t="s">
        <v>333</v>
      </c>
      <c r="B97" s="252">
        <f t="shared" si="25"/>
        <v>0</v>
      </c>
      <c r="C97" s="252">
        <f t="shared" si="25"/>
        <v>0</v>
      </c>
      <c r="D97" s="316"/>
      <c r="E97" s="316"/>
      <c r="F97" s="316"/>
      <c r="G97" s="316"/>
      <c r="H97" s="316"/>
      <c r="I97" s="316"/>
      <c r="J97" s="316"/>
      <c r="K97" s="316"/>
      <c r="L97" s="252">
        <f>REC!D31</f>
        <v>1300036</v>
      </c>
      <c r="M97" s="252">
        <f>REC!E31</f>
        <v>4248971</v>
      </c>
      <c r="N97" s="252">
        <f>REC!F31</f>
        <v>13880410</v>
      </c>
      <c r="O97" s="252">
        <f>REC!G31</f>
        <v>13905460</v>
      </c>
      <c r="P97" s="252">
        <f>REC!H31</f>
        <v>8277080</v>
      </c>
      <c r="Q97" s="252">
        <f>REC!I31</f>
        <v>9631900</v>
      </c>
      <c r="R97" s="139"/>
      <c r="S97" s="136"/>
      <c r="T97" s="136"/>
      <c r="U97" s="136"/>
    </row>
    <row r="98" spans="1:21" ht="12.75">
      <c r="A98" s="181" t="s">
        <v>250</v>
      </c>
      <c r="B98" s="252">
        <f t="shared" si="25"/>
        <v>0</v>
      </c>
      <c r="C98" s="252">
        <f t="shared" si="25"/>
        <v>0</v>
      </c>
      <c r="D98" s="316"/>
      <c r="E98" s="316"/>
      <c r="F98" s="316"/>
      <c r="G98" s="316"/>
      <c r="H98" s="316"/>
      <c r="I98" s="316"/>
      <c r="J98" s="316"/>
      <c r="K98" s="316"/>
      <c r="L98" s="252">
        <f>'RE Grid Connected'!B29</f>
        <v>0</v>
      </c>
      <c r="M98" s="252">
        <f>'RE Grid Connected'!C29</f>
        <v>740720</v>
      </c>
      <c r="N98" s="252">
        <f>'RE Grid Connected'!D29</f>
        <v>528530</v>
      </c>
      <c r="O98" s="252">
        <f>'RE Grid Connected'!E29</f>
        <v>278480</v>
      </c>
      <c r="P98" s="252">
        <f>'RE Grid Connected'!F29</f>
        <v>0</v>
      </c>
      <c r="Q98" s="252">
        <f>'RE Grid Connected'!G29</f>
        <v>0</v>
      </c>
      <c r="R98" s="139"/>
      <c r="S98" s="136"/>
      <c r="T98" s="136"/>
      <c r="U98" s="136"/>
    </row>
    <row r="99" spans="1:21" ht="12.75">
      <c r="A99" s="225" t="s">
        <v>320</v>
      </c>
      <c r="B99" s="252">
        <f t="shared" si="25"/>
        <v>187740</v>
      </c>
      <c r="C99" s="252">
        <f t="shared" si="25"/>
        <v>385705</v>
      </c>
      <c r="D99" s="316"/>
      <c r="E99" s="316"/>
      <c r="F99" s="316"/>
      <c r="G99" s="316"/>
      <c r="H99" s="252">
        <f>'RE Grants and Financing'!F36</f>
        <v>187740</v>
      </c>
      <c r="I99" s="252">
        <f>'RE Grants and Financing'!G52</f>
        <v>197965</v>
      </c>
      <c r="J99" s="252">
        <f>'RE Grants and Financing'!H52</f>
        <v>864240</v>
      </c>
      <c r="K99" s="252">
        <f>'RE Grants and Financing'!I52</f>
        <v>174240</v>
      </c>
      <c r="L99" s="316"/>
      <c r="M99" s="316"/>
      <c r="N99" s="316"/>
      <c r="O99" s="316"/>
      <c r="P99" s="316"/>
      <c r="Q99" s="316"/>
      <c r="R99" s="146"/>
      <c r="S99" s="136"/>
      <c r="T99" s="136"/>
      <c r="U99" s="136"/>
    </row>
    <row r="100" spans="1:21" ht="12.75">
      <c r="A100" s="14" t="s">
        <v>1</v>
      </c>
      <c r="B100" s="254">
        <f t="shared" si="25"/>
        <v>1676116</v>
      </c>
      <c r="C100" s="254">
        <f t="shared" si="25"/>
        <v>2580406</v>
      </c>
      <c r="D100" s="478"/>
      <c r="E100" s="478"/>
      <c r="F100" s="478"/>
      <c r="G100" s="478"/>
      <c r="H100" s="254">
        <f aca="true" t="shared" si="26" ref="H100:M100">SUM(H95:H99)</f>
        <v>1676116</v>
      </c>
      <c r="I100" s="254">
        <f t="shared" si="26"/>
        <v>904290</v>
      </c>
      <c r="J100" s="254">
        <f t="shared" si="26"/>
        <v>1379370</v>
      </c>
      <c r="K100" s="254">
        <f t="shared" si="26"/>
        <v>1459488</v>
      </c>
      <c r="L100" s="254">
        <f t="shared" si="26"/>
        <v>2777866</v>
      </c>
      <c r="M100" s="254">
        <f t="shared" si="26"/>
        <v>5983940</v>
      </c>
      <c r="N100" s="254">
        <f>SUM(N95:N99)</f>
        <v>14654581</v>
      </c>
      <c r="O100" s="254">
        <f>SUM(O95:O99)</f>
        <v>14680358</v>
      </c>
      <c r="P100" s="254">
        <f>SUM(P95:P99)</f>
        <v>8775000</v>
      </c>
      <c r="Q100" s="254">
        <f>SUM(Q95:Q99)</f>
        <v>9987560</v>
      </c>
      <c r="R100" s="139"/>
      <c r="S100" s="138"/>
      <c r="T100" s="136"/>
      <c r="U100" s="136"/>
    </row>
    <row r="101" spans="1:18" ht="12.75">
      <c r="A101" s="34"/>
      <c r="B101" s="44"/>
      <c r="C101" s="44"/>
      <c r="D101" s="35"/>
      <c r="E101" s="35"/>
      <c r="F101" s="35"/>
      <c r="G101" s="35"/>
      <c r="H101" s="35"/>
      <c r="I101" s="35"/>
      <c r="J101" s="44"/>
      <c r="K101" s="44"/>
      <c r="L101" s="44"/>
      <c r="M101" s="44"/>
      <c r="N101" s="44"/>
      <c r="O101" s="58"/>
      <c r="P101" s="58"/>
      <c r="Q101" s="58"/>
      <c r="R101" s="35"/>
    </row>
    <row r="102" spans="1:18" ht="12.75">
      <c r="A102" s="1" t="s">
        <v>62</v>
      </c>
      <c r="B102" s="26" t="s">
        <v>11</v>
      </c>
      <c r="C102" s="26" t="s">
        <v>11</v>
      </c>
      <c r="D102" s="26" t="s">
        <v>11</v>
      </c>
      <c r="E102" s="26" t="s">
        <v>11</v>
      </c>
      <c r="F102" s="26" t="s">
        <v>11</v>
      </c>
      <c r="G102" s="26" t="s">
        <v>11</v>
      </c>
      <c r="H102" s="26" t="s">
        <v>11</v>
      </c>
      <c r="I102" s="26" t="s">
        <v>11</v>
      </c>
      <c r="J102" s="26" t="s">
        <v>11</v>
      </c>
      <c r="K102" s="26" t="s">
        <v>11</v>
      </c>
      <c r="L102" s="26" t="s">
        <v>11</v>
      </c>
      <c r="M102" s="26" t="s">
        <v>11</v>
      </c>
      <c r="N102" s="26" t="s">
        <v>11</v>
      </c>
      <c r="O102" s="148" t="s">
        <v>11</v>
      </c>
      <c r="P102" s="148" t="s">
        <v>11</v>
      </c>
      <c r="Q102" s="148" t="s">
        <v>11</v>
      </c>
      <c r="R102" s="45"/>
    </row>
    <row r="103" spans="1:18" ht="12.75">
      <c r="A103" s="207" t="s">
        <v>67</v>
      </c>
      <c r="B103" s="250">
        <f>SUM(D103:H103)</f>
        <v>40311527</v>
      </c>
      <c r="C103" s="250">
        <f>SUM(E103:I103)</f>
        <v>44235829</v>
      </c>
      <c r="D103" s="250">
        <f>RNC!D48</f>
        <v>2015046</v>
      </c>
      <c r="E103" s="250">
        <f>RNC!E48</f>
        <v>12337003</v>
      </c>
      <c r="F103" s="250">
        <f>RNC!F48</f>
        <v>12126506</v>
      </c>
      <c r="G103" s="250">
        <f>RNC!G48</f>
        <v>2824084</v>
      </c>
      <c r="H103" s="250">
        <f>RNC!H48</f>
        <v>11008888</v>
      </c>
      <c r="I103" s="250">
        <f>RNC!I48</f>
        <v>5939348</v>
      </c>
      <c r="J103" s="250">
        <f>RNC!J48</f>
        <v>3111900</v>
      </c>
      <c r="K103" s="250">
        <f>RNC!K48</f>
        <v>6254560</v>
      </c>
      <c r="L103" s="250">
        <f>RNC!L48</f>
        <v>4836980</v>
      </c>
      <c r="M103" s="250">
        <f>RNC!M48</f>
        <v>3817300</v>
      </c>
      <c r="N103" s="250">
        <f>RNC!N48</f>
        <v>1497520</v>
      </c>
      <c r="O103" s="252">
        <f>RNC!O48</f>
        <v>4495881</v>
      </c>
      <c r="P103" s="252">
        <f>RNC!P48</f>
        <v>1909789</v>
      </c>
      <c r="Q103" s="252">
        <f>RNC!Q48</f>
        <v>2008559.738095238</v>
      </c>
      <c r="R103" s="45"/>
    </row>
    <row r="104" spans="1:18" ht="12.75">
      <c r="A104" s="207" t="s">
        <v>158</v>
      </c>
      <c r="B104" s="316"/>
      <c r="C104" s="316"/>
      <c r="D104" s="316"/>
      <c r="E104" s="316"/>
      <c r="F104" s="316"/>
      <c r="G104" s="316"/>
      <c r="H104" s="316"/>
      <c r="I104" s="316"/>
      <c r="J104" s="316"/>
      <c r="K104" s="316"/>
      <c r="L104" s="316"/>
      <c r="M104" s="316"/>
      <c r="N104" s="316"/>
      <c r="O104" s="316"/>
      <c r="P104" s="252">
        <f>'Home Perf'!J49</f>
        <v>103386</v>
      </c>
      <c r="Q104" s="252">
        <f>'Home Perf'!K49</f>
        <v>1380142.3821081833</v>
      </c>
      <c r="R104" s="45"/>
    </row>
    <row r="105" spans="1:18" ht="12.75">
      <c r="A105" s="207" t="s">
        <v>74</v>
      </c>
      <c r="B105" s="250">
        <f aca="true" t="shared" si="27" ref="B105:B113">SUM(D105:H105)</f>
        <v>5822680</v>
      </c>
      <c r="C105" s="250">
        <f aca="true" t="shared" si="28" ref="C105:C113">SUM(E105:I105)</f>
        <v>6715960</v>
      </c>
      <c r="D105" s="250">
        <f>'C&amp;I'!D111</f>
        <v>0</v>
      </c>
      <c r="E105" s="250">
        <f>'C&amp;I'!E111</f>
        <v>477024</v>
      </c>
      <c r="F105" s="250">
        <f>'C&amp;I'!F111</f>
        <v>416360</v>
      </c>
      <c r="G105" s="250">
        <f>'C&amp;I'!G111</f>
        <v>2302770</v>
      </c>
      <c r="H105" s="250">
        <f>'C&amp;I'!H111</f>
        <v>2626526</v>
      </c>
      <c r="I105" s="250">
        <f>'C&amp;I'!I111</f>
        <v>893280</v>
      </c>
      <c r="J105" s="250">
        <f>'C&amp;I'!J111</f>
        <v>878576</v>
      </c>
      <c r="K105" s="250">
        <f>'C&amp;I'!K111</f>
        <v>1490894</v>
      </c>
      <c r="L105" s="250">
        <f>'C&amp;I'!L111</f>
        <v>4272952</v>
      </c>
      <c r="M105" s="250">
        <f>'C&amp;I'!M111</f>
        <v>1473683</v>
      </c>
      <c r="N105" s="250">
        <f>'C&amp;I'!N111</f>
        <v>4897510</v>
      </c>
      <c r="O105" s="252">
        <f>'C&amp;I'!O111</f>
        <v>1504326</v>
      </c>
      <c r="P105" s="252">
        <f>'C&amp;I'!P111</f>
        <v>2067557</v>
      </c>
      <c r="Q105" s="252">
        <f>'C&amp;I'!Q111</f>
        <v>1977939</v>
      </c>
      <c r="R105" s="62"/>
    </row>
    <row r="106" spans="1:21" ht="12.75">
      <c r="A106" s="181" t="s">
        <v>236</v>
      </c>
      <c r="B106" s="252">
        <f t="shared" si="27"/>
        <v>0</v>
      </c>
      <c r="C106" s="252">
        <f t="shared" si="28"/>
        <v>0</v>
      </c>
      <c r="D106" s="316"/>
      <c r="E106" s="316"/>
      <c r="F106" s="316"/>
      <c r="G106" s="316"/>
      <c r="H106" s="316"/>
      <c r="I106" s="316"/>
      <c r="J106" s="316"/>
      <c r="K106" s="316"/>
      <c r="L106" s="316"/>
      <c r="M106" s="252">
        <f>'P4P '!J94</f>
        <v>1738786</v>
      </c>
      <c r="N106" s="252">
        <f>'P4P '!K94</f>
        <v>4620736</v>
      </c>
      <c r="O106" s="252">
        <f>'P4P '!L92</f>
        <v>5426910</v>
      </c>
      <c r="P106" s="252">
        <f>'P4P '!M92</f>
        <v>3336062</v>
      </c>
      <c r="Q106" s="252">
        <f>'P4P '!N92</f>
        <v>3220261</v>
      </c>
      <c r="R106" s="97"/>
      <c r="S106" s="136"/>
      <c r="T106" s="136"/>
      <c r="U106" s="136"/>
    </row>
    <row r="107" spans="1:21" ht="12.75">
      <c r="A107" s="181" t="s">
        <v>340</v>
      </c>
      <c r="B107" s="252">
        <f t="shared" si="27"/>
        <v>0</v>
      </c>
      <c r="C107" s="252">
        <f t="shared" si="28"/>
        <v>0</v>
      </c>
      <c r="D107" s="316"/>
      <c r="E107" s="316"/>
      <c r="F107" s="316"/>
      <c r="G107" s="316"/>
      <c r="H107" s="316"/>
      <c r="I107" s="316"/>
      <c r="J107" s="316"/>
      <c r="K107" s="316"/>
      <c r="L107" s="316"/>
      <c r="M107" s="316"/>
      <c r="N107" s="316"/>
      <c r="O107" s="252">
        <f>'P4P '!L93</f>
        <v>423816</v>
      </c>
      <c r="P107" s="252">
        <f>'P4P '!M93</f>
        <v>0</v>
      </c>
      <c r="Q107" s="252">
        <f>'P4P '!N93</f>
        <v>0</v>
      </c>
      <c r="R107" s="97"/>
      <c r="S107" s="136"/>
      <c r="T107" s="136"/>
      <c r="U107" s="136"/>
    </row>
    <row r="108" spans="1:21" ht="12.75">
      <c r="A108" s="181" t="s">
        <v>237</v>
      </c>
      <c r="B108" s="252">
        <f t="shared" si="27"/>
        <v>0</v>
      </c>
      <c r="C108" s="252">
        <f t="shared" si="28"/>
        <v>0</v>
      </c>
      <c r="D108" s="316"/>
      <c r="E108" s="316"/>
      <c r="F108" s="316"/>
      <c r="G108" s="316"/>
      <c r="H108" s="316"/>
      <c r="I108" s="316"/>
      <c r="J108" s="316"/>
      <c r="K108" s="316"/>
      <c r="L108" s="316"/>
      <c r="M108" s="252">
        <f>'P4P NC'!B51</f>
        <v>0</v>
      </c>
      <c r="N108" s="252">
        <f>'P4P NC'!C51</f>
        <v>223315</v>
      </c>
      <c r="O108" s="252">
        <f>'P4P NC'!D51</f>
        <v>254619</v>
      </c>
      <c r="P108" s="252">
        <f>'P4P NC'!E51</f>
        <v>1631</v>
      </c>
      <c r="Q108" s="252">
        <f>'P4P NC'!F51</f>
        <v>820064</v>
      </c>
      <c r="R108" s="97"/>
      <c r="S108" s="136"/>
      <c r="T108" s="136"/>
      <c r="U108" s="136"/>
    </row>
    <row r="109" spans="1:21" ht="12.75">
      <c r="A109" s="181" t="s">
        <v>183</v>
      </c>
      <c r="B109" s="252">
        <f t="shared" si="27"/>
        <v>0</v>
      </c>
      <c r="C109" s="252">
        <f t="shared" si="28"/>
        <v>0</v>
      </c>
      <c r="D109" s="316"/>
      <c r="E109" s="316"/>
      <c r="F109" s="316"/>
      <c r="G109" s="316"/>
      <c r="H109" s="316"/>
      <c r="I109" s="316"/>
      <c r="J109" s="316"/>
      <c r="K109" s="316"/>
      <c r="L109" s="316"/>
      <c r="M109" s="252">
        <f>'Direct Install'!D46</f>
        <v>76641</v>
      </c>
      <c r="N109" s="252">
        <f>'Direct Install'!E46</f>
        <v>970820</v>
      </c>
      <c r="O109" s="252">
        <f>'Direct Install'!F46</f>
        <v>1068728</v>
      </c>
      <c r="P109" s="252">
        <f>'Direct Install'!G46</f>
        <v>811628</v>
      </c>
      <c r="Q109" s="252">
        <f>'Direct Install'!H46</f>
        <v>672928</v>
      </c>
      <c r="R109" s="97"/>
      <c r="S109" s="136"/>
      <c r="T109" s="136"/>
      <c r="U109" s="136"/>
    </row>
    <row r="110" spans="1:21" ht="12.75">
      <c r="A110" s="181" t="s">
        <v>341</v>
      </c>
      <c r="B110" s="252">
        <f t="shared" si="27"/>
        <v>0</v>
      </c>
      <c r="C110" s="252">
        <f t="shared" si="28"/>
        <v>0</v>
      </c>
      <c r="D110" s="316"/>
      <c r="E110" s="316"/>
      <c r="F110" s="316"/>
      <c r="G110" s="316"/>
      <c r="H110" s="316"/>
      <c r="I110" s="316"/>
      <c r="J110" s="316"/>
      <c r="K110" s="316"/>
      <c r="L110" s="316"/>
      <c r="M110" s="316"/>
      <c r="N110" s="316"/>
      <c r="O110" s="252">
        <f>LEUP!C46</f>
        <v>1920420</v>
      </c>
      <c r="P110" s="252">
        <f>LEUP!D46</f>
        <v>490811</v>
      </c>
      <c r="Q110" s="252">
        <f>LEUP!E46</f>
        <v>567963</v>
      </c>
      <c r="R110" s="97"/>
      <c r="S110" s="136"/>
      <c r="T110" s="136"/>
      <c r="U110" s="136"/>
    </row>
    <row r="111" spans="1:21" ht="12.75">
      <c r="A111" s="29" t="s">
        <v>391</v>
      </c>
      <c r="B111" s="271">
        <f t="shared" si="27"/>
        <v>46134207</v>
      </c>
      <c r="C111" s="271">
        <f t="shared" si="28"/>
        <v>50951789</v>
      </c>
      <c r="D111" s="271">
        <f>SUM(D103:D109)</f>
        <v>2015046</v>
      </c>
      <c r="E111" s="271">
        <f>SUM(E103:E109)</f>
        <v>12814027</v>
      </c>
      <c r="F111" s="271">
        <f>SUM(F103:F109)</f>
        <v>12542866</v>
      </c>
      <c r="G111" s="271">
        <f>SUM(G103:G109)</f>
        <v>5126854</v>
      </c>
      <c r="H111" s="271">
        <f>SUM(H103:H109)</f>
        <v>13635414</v>
      </c>
      <c r="I111" s="271">
        <f aca="true" t="shared" si="29" ref="I111:O111">SUM(I103:I110)</f>
        <v>6832628</v>
      </c>
      <c r="J111" s="271">
        <f t="shared" si="29"/>
        <v>3990476</v>
      </c>
      <c r="K111" s="271">
        <f t="shared" si="29"/>
        <v>7745454</v>
      </c>
      <c r="L111" s="271">
        <f t="shared" si="29"/>
        <v>9109932</v>
      </c>
      <c r="M111" s="271">
        <f t="shared" si="29"/>
        <v>7106410</v>
      </c>
      <c r="N111" s="271">
        <f t="shared" si="29"/>
        <v>12209901</v>
      </c>
      <c r="O111" s="271">
        <f t="shared" si="29"/>
        <v>15094700</v>
      </c>
      <c r="P111" s="271">
        <f>SUM(P103:P110)</f>
        <v>8720864</v>
      </c>
      <c r="Q111" s="271">
        <f>SUM(Q103:Q110)</f>
        <v>10647857.12020342</v>
      </c>
      <c r="R111" s="154"/>
      <c r="S111" s="138"/>
      <c r="T111" s="136"/>
      <c r="U111" s="136"/>
    </row>
    <row r="112" spans="1:21" ht="12.75">
      <c r="A112" s="181" t="s">
        <v>357</v>
      </c>
      <c r="B112" s="252">
        <f t="shared" si="27"/>
        <v>0</v>
      </c>
      <c r="C112" s="252">
        <f t="shared" si="28"/>
        <v>0</v>
      </c>
      <c r="D112" s="252"/>
      <c r="E112" s="252"/>
      <c r="F112" s="252"/>
      <c r="G112" s="252"/>
      <c r="H112" s="252"/>
      <c r="I112" s="252"/>
      <c r="J112" s="252">
        <f>'CHP-FuelCell_Lrg-Small'!J111</f>
        <v>7246151</v>
      </c>
      <c r="K112" s="252">
        <f>'CHP-FuelCell_Lrg-Small'!K111</f>
        <v>14391686</v>
      </c>
      <c r="L112" s="252">
        <f>'CHP-FuelCell_Lrg-Small'!L111</f>
        <v>11549352</v>
      </c>
      <c r="M112" s="252">
        <f>'CHP-FuelCell_Lrg-Small'!M111</f>
        <v>2825028</v>
      </c>
      <c r="N112" s="252">
        <f>'CHP-FuelCell_Lrg-Small'!N111</f>
        <v>62424</v>
      </c>
      <c r="O112" s="252">
        <f>'CHP-FuelCell_Lrg-Small'!O111</f>
        <v>14179660</v>
      </c>
      <c r="P112" s="252">
        <f>'CHP-FuelCell_Lrg-Small'!P111</f>
        <v>1298191</v>
      </c>
      <c r="Q112" s="252">
        <f>'CHP-FuelCell_Lrg-Small'!Q111</f>
        <v>6542911</v>
      </c>
      <c r="R112" s="97"/>
      <c r="S112" s="138"/>
      <c r="T112" s="136"/>
      <c r="U112" s="136"/>
    </row>
    <row r="113" spans="1:21" ht="12.75">
      <c r="A113" s="29" t="s">
        <v>398</v>
      </c>
      <c r="B113" s="254">
        <f t="shared" si="27"/>
        <v>46134207</v>
      </c>
      <c r="C113" s="254">
        <f t="shared" si="28"/>
        <v>50951789</v>
      </c>
      <c r="D113" s="254">
        <f aca="true" t="shared" si="30" ref="D113:P113">D112+D111</f>
        <v>2015046</v>
      </c>
      <c r="E113" s="254">
        <f t="shared" si="30"/>
        <v>12814027</v>
      </c>
      <c r="F113" s="254">
        <f t="shared" si="30"/>
        <v>12542866</v>
      </c>
      <c r="G113" s="254">
        <f t="shared" si="30"/>
        <v>5126854</v>
      </c>
      <c r="H113" s="254">
        <f t="shared" si="30"/>
        <v>13635414</v>
      </c>
      <c r="I113" s="254">
        <f t="shared" si="30"/>
        <v>6832628</v>
      </c>
      <c r="J113" s="254">
        <f t="shared" si="30"/>
        <v>11236627</v>
      </c>
      <c r="K113" s="254">
        <f t="shared" si="30"/>
        <v>22137140</v>
      </c>
      <c r="L113" s="254">
        <f t="shared" si="30"/>
        <v>20659284</v>
      </c>
      <c r="M113" s="254">
        <f t="shared" si="30"/>
        <v>9931438</v>
      </c>
      <c r="N113" s="254">
        <f t="shared" si="30"/>
        <v>12272325</v>
      </c>
      <c r="O113" s="254">
        <f t="shared" si="30"/>
        <v>29274360</v>
      </c>
      <c r="P113" s="254">
        <f t="shared" si="30"/>
        <v>10019055</v>
      </c>
      <c r="Q113" s="254">
        <f>Q112+Q111</f>
        <v>17190768.12020342</v>
      </c>
      <c r="R113" s="97"/>
      <c r="S113" s="138"/>
      <c r="T113" s="136"/>
      <c r="U113" s="136"/>
    </row>
    <row r="114" spans="1:21" ht="12.75">
      <c r="A114" s="2" t="s">
        <v>291</v>
      </c>
      <c r="D114" s="136"/>
      <c r="E114" s="136"/>
      <c r="F114" s="136"/>
      <c r="G114" s="136"/>
      <c r="H114" s="136"/>
      <c r="I114" s="136"/>
      <c r="J114" s="136"/>
      <c r="K114" s="136"/>
      <c r="L114" s="136"/>
      <c r="M114" s="136"/>
      <c r="N114" s="136"/>
      <c r="R114" s="74"/>
      <c r="S114" s="136"/>
      <c r="T114" s="136"/>
      <c r="U114" s="136"/>
    </row>
    <row r="115" spans="1:21" ht="12.75">
      <c r="A115" s="357" t="s">
        <v>350</v>
      </c>
      <c r="D115" s="136"/>
      <c r="E115" s="136"/>
      <c r="F115" s="136"/>
      <c r="G115" s="136"/>
      <c r="H115" s="136"/>
      <c r="I115" s="136"/>
      <c r="J115" s="136"/>
      <c r="K115" s="136"/>
      <c r="L115" s="136"/>
      <c r="M115" s="136"/>
      <c r="N115" s="136"/>
      <c r="R115" s="136"/>
      <c r="S115" s="136"/>
      <c r="T115" s="136"/>
      <c r="U115" s="136"/>
    </row>
  </sheetData>
  <sheetProtection/>
  <mergeCells count="2">
    <mergeCell ref="A2:R2"/>
    <mergeCell ref="A1:R1"/>
  </mergeCells>
  <printOptions/>
  <pageMargins left="0.17" right="0.17" top="0.4" bottom="0.6" header="0.247" footer="0.24"/>
  <pageSetup horizontalDpi="600" verticalDpi="600" orientation="landscape" scale="80" r:id="rId1"/>
  <headerFooter scaleWithDoc="0" alignWithMargins="0">
    <oddFooter>&amp;L&amp;6&amp;A - Results by Program Year&amp;R&amp;6printed &amp;D at &amp;T</oddFooter>
  </headerFooter>
  <rowBreaks count="2" manualBreakCount="2">
    <brk id="49" max="15" man="1"/>
    <brk id="73" max="15" man="1"/>
  </rowBreaks>
</worksheet>
</file>

<file path=xl/worksheets/sheet7.xml><?xml version="1.0" encoding="utf-8"?>
<worksheet xmlns="http://schemas.openxmlformats.org/spreadsheetml/2006/main" xmlns:r="http://schemas.openxmlformats.org/officeDocument/2006/relationships">
  <sheetPr>
    <tabColor theme="6"/>
    <outlinePr summaryRight="0"/>
    <pageSetUpPr fitToPage="1"/>
  </sheetPr>
  <dimension ref="A1:T60"/>
  <sheetViews>
    <sheetView showGridLines="0" zoomScalePageLayoutView="0" workbookViewId="0" topLeftCell="A1">
      <selection activeCell="A1" sqref="A1:R1"/>
    </sheetView>
  </sheetViews>
  <sheetFormatPr defaultColWidth="9.140625" defaultRowHeight="12.75" outlineLevelCol="1"/>
  <cols>
    <col min="1" max="1" width="35.7109375" style="0" customWidth="1"/>
    <col min="2" max="2" width="12.57421875" style="0" bestFit="1" customWidth="1"/>
    <col min="3" max="3" width="12.57421875" style="0" bestFit="1" customWidth="1" collapsed="1"/>
    <col min="4" max="13" width="9.7109375" style="0" hidden="1" customWidth="1" outlineLevel="1"/>
    <col min="14" max="17" width="9.7109375" style="0" customWidth="1"/>
    <col min="18" max="18" width="16.28125" style="0" bestFit="1" customWidth="1"/>
    <col min="19" max="19" width="12.00390625" style="0" customWidth="1"/>
  </cols>
  <sheetData>
    <row r="1" spans="1:18" ht="12.75">
      <c r="A1" s="483" t="s">
        <v>393</v>
      </c>
      <c r="B1" s="483"/>
      <c r="C1" s="483"/>
      <c r="D1" s="483"/>
      <c r="E1" s="483"/>
      <c r="F1" s="483"/>
      <c r="G1" s="483"/>
      <c r="H1" s="483"/>
      <c r="I1" s="483"/>
      <c r="J1" s="483"/>
      <c r="K1" s="483"/>
      <c r="L1" s="483"/>
      <c r="M1" s="483"/>
      <c r="N1" s="483"/>
      <c r="O1" s="483"/>
      <c r="P1" s="483"/>
      <c r="Q1" s="483"/>
      <c r="R1" s="483"/>
    </row>
    <row r="2" spans="1:18" ht="12.75">
      <c r="A2" s="483" t="s">
        <v>245</v>
      </c>
      <c r="B2" s="483"/>
      <c r="C2" s="483"/>
      <c r="D2" s="483"/>
      <c r="E2" s="483"/>
      <c r="F2" s="483"/>
      <c r="G2" s="483"/>
      <c r="H2" s="483"/>
      <c r="I2" s="483"/>
      <c r="J2" s="483"/>
      <c r="K2" s="483"/>
      <c r="L2" s="483"/>
      <c r="M2" s="483"/>
      <c r="N2" s="483"/>
      <c r="O2" s="483"/>
      <c r="P2" s="483"/>
      <c r="Q2" s="483"/>
      <c r="R2" s="483"/>
    </row>
    <row r="3" ht="15">
      <c r="A3" s="410" t="s">
        <v>388</v>
      </c>
    </row>
    <row r="4" spans="1:3" ht="15">
      <c r="A4" s="410"/>
      <c r="B4" s="110"/>
      <c r="C4" s="110"/>
    </row>
    <row r="5" spans="1:3" ht="15">
      <c r="A5" s="410" t="s">
        <v>343</v>
      </c>
      <c r="B5" s="110"/>
      <c r="C5" s="110"/>
    </row>
    <row r="6" spans="1:19" ht="25.5">
      <c r="A6" s="1" t="s">
        <v>169</v>
      </c>
      <c r="B6" s="81" t="s">
        <v>289</v>
      </c>
      <c r="C6" s="81" t="s">
        <v>461</v>
      </c>
      <c r="D6" s="25">
        <v>2001</v>
      </c>
      <c r="E6" s="25">
        <v>2002</v>
      </c>
      <c r="F6" s="25">
        <v>2003</v>
      </c>
      <c r="G6" s="25">
        <v>2004</v>
      </c>
      <c r="H6" s="25">
        <v>2005</v>
      </c>
      <c r="I6" s="25">
        <v>2006</v>
      </c>
      <c r="J6" s="25">
        <v>2007</v>
      </c>
      <c r="K6" s="25">
        <v>2008</v>
      </c>
      <c r="L6" s="25">
        <v>2009</v>
      </c>
      <c r="M6" s="25">
        <v>2010</v>
      </c>
      <c r="N6" s="25">
        <v>2011</v>
      </c>
      <c r="O6" s="126" t="s">
        <v>346</v>
      </c>
      <c r="P6" s="126" t="s">
        <v>351</v>
      </c>
      <c r="Q6" s="126" t="s">
        <v>440</v>
      </c>
      <c r="R6" s="81" t="str">
        <f>"Total "&amp;CHAR(10)&amp;D6&amp;" ~ "&amp;Q6</f>
        <v>Total 
2001 ~ FY2015</v>
      </c>
      <c r="S6" s="81"/>
    </row>
    <row r="7" spans="1:18" ht="12.75">
      <c r="A7" s="207" t="s">
        <v>66</v>
      </c>
      <c r="B7" s="250">
        <f>SUM(D7:H7)</f>
        <v>129021</v>
      </c>
      <c r="C7" s="250">
        <f>SUM(I7:M7)</f>
        <v>128754</v>
      </c>
      <c r="D7" s="250">
        <f>'Res HVAC'!D20</f>
        <v>23388</v>
      </c>
      <c r="E7" s="250">
        <f>'Res HVAC'!E20</f>
        <v>26992</v>
      </c>
      <c r="F7" s="250">
        <f>'Res HVAC'!F20</f>
        <v>24786</v>
      </c>
      <c r="G7" s="250">
        <f>'Res HVAC'!G20</f>
        <v>26345</v>
      </c>
      <c r="H7" s="250">
        <f>'Res HVAC'!H20</f>
        <v>27510</v>
      </c>
      <c r="I7" s="250">
        <f>'Res HVAC'!I20</f>
        <v>26379</v>
      </c>
      <c r="J7" s="250">
        <v>25740</v>
      </c>
      <c r="K7" s="250">
        <f>'Res HVAC'!K20</f>
        <v>24066</v>
      </c>
      <c r="L7" s="250">
        <f>'Res HVAC'!L20</f>
        <v>21282</v>
      </c>
      <c r="M7" s="250">
        <f>'Res HVAC'!M20</f>
        <v>31287</v>
      </c>
      <c r="N7" s="250">
        <f>'Res HVAC'!N20</f>
        <v>39960</v>
      </c>
      <c r="O7" s="250">
        <f>'Res HVAC'!O20</f>
        <v>40007</v>
      </c>
      <c r="P7" s="250">
        <f>'Res HVAC'!P20</f>
        <v>20619</v>
      </c>
      <c r="Q7" s="250">
        <f>'Res HVAC'!Q20</f>
        <v>18645</v>
      </c>
      <c r="R7" s="250">
        <f>SUM(D7:Q7)</f>
        <v>377006</v>
      </c>
    </row>
    <row r="8" spans="1:18" ht="12.75">
      <c r="A8" s="207" t="s">
        <v>67</v>
      </c>
      <c r="B8" s="250">
        <f aca="true" t="shared" si="0" ref="B8:B28">SUM(D8:H8)</f>
        <v>20800</v>
      </c>
      <c r="C8" s="250">
        <f>SUM(I8:M8)</f>
        <v>23374</v>
      </c>
      <c r="D8" s="250">
        <f>RNC!D16</f>
        <v>0</v>
      </c>
      <c r="E8" s="250">
        <f>RNC!E16</f>
        <v>1881</v>
      </c>
      <c r="F8" s="250">
        <f>RNC!F16</f>
        <v>4936</v>
      </c>
      <c r="G8" s="250">
        <f>RNC!G16</f>
        <v>5974</v>
      </c>
      <c r="H8" s="250">
        <f>RNC!H16</f>
        <v>8009</v>
      </c>
      <c r="I8" s="250">
        <f>RNC!I16</f>
        <v>5509</v>
      </c>
      <c r="J8" s="250">
        <f>RNC!J16</f>
        <v>6180</v>
      </c>
      <c r="K8" s="250">
        <f>RNC!K16</f>
        <v>4012</v>
      </c>
      <c r="L8" s="250">
        <f>RNC!L16</f>
        <v>3236</v>
      </c>
      <c r="M8" s="250">
        <f>RNC!M16</f>
        <v>4437</v>
      </c>
      <c r="N8" s="250">
        <f>RNC!N16</f>
        <v>3905</v>
      </c>
      <c r="O8" s="250">
        <f>RNC!O16</f>
        <v>4881</v>
      </c>
      <c r="P8" s="250">
        <f>RNC!P16</f>
        <v>3024</v>
      </c>
      <c r="Q8" s="250">
        <f>RNC!Q16</f>
        <v>4131</v>
      </c>
      <c r="R8" s="250">
        <f>SUM(D8:Q8)</f>
        <v>60115</v>
      </c>
    </row>
    <row r="9" spans="1:18" ht="12.75">
      <c r="A9" s="207" t="s">
        <v>68</v>
      </c>
      <c r="B9" s="262"/>
      <c r="C9" s="262"/>
      <c r="D9" s="262"/>
      <c r="E9" s="262"/>
      <c r="F9" s="262"/>
      <c r="G9" s="262"/>
      <c r="H9" s="262"/>
      <c r="I9" s="262"/>
      <c r="J9" s="262"/>
      <c r="K9" s="262"/>
      <c r="L9" s="262"/>
      <c r="M9" s="262"/>
      <c r="N9" s="262"/>
      <c r="O9" s="262"/>
      <c r="P9" s="262"/>
      <c r="Q9" s="262"/>
      <c r="R9" s="310"/>
    </row>
    <row r="10" spans="1:18" ht="12.75">
      <c r="A10" s="207" t="s">
        <v>69</v>
      </c>
      <c r="B10" s="250">
        <f t="shared" si="0"/>
        <v>64515</v>
      </c>
      <c r="C10" s="250">
        <f aca="true" t="shared" si="1" ref="C10:C28">SUM(I10:M10)</f>
        <v>55750</v>
      </c>
      <c r="D10" s="250">
        <f>'Energy Star'!D34</f>
        <v>0</v>
      </c>
      <c r="E10" s="250">
        <f>'Energy Star'!E34</f>
        <v>0</v>
      </c>
      <c r="F10" s="250">
        <f>'Energy Star'!F34</f>
        <v>25387</v>
      </c>
      <c r="G10" s="250">
        <f>'Energy Star'!G34</f>
        <v>24420</v>
      </c>
      <c r="H10" s="250">
        <f>'Energy Star'!H34</f>
        <v>14708</v>
      </c>
      <c r="I10" s="250">
        <f>'Energy Star'!I34</f>
        <v>9607</v>
      </c>
      <c r="J10" s="250">
        <f>'Energy Star'!J34</f>
        <v>13602</v>
      </c>
      <c r="K10" s="250">
        <f>'Energy Star'!K34</f>
        <v>13691</v>
      </c>
      <c r="L10" s="250">
        <f>'Energy Star'!L34</f>
        <v>7528</v>
      </c>
      <c r="M10" s="250">
        <f>'Energy Star'!M34</f>
        <v>11322</v>
      </c>
      <c r="N10" s="316"/>
      <c r="O10" s="316"/>
      <c r="P10" s="316"/>
      <c r="Q10" s="316"/>
      <c r="R10" s="250">
        <f aca="true" t="shared" si="2" ref="R10:R28">SUM(D10:Q10)</f>
        <v>120265</v>
      </c>
    </row>
    <row r="11" spans="1:18" ht="12.75">
      <c r="A11" s="207" t="s">
        <v>71</v>
      </c>
      <c r="B11" s="250">
        <f t="shared" si="0"/>
        <v>70281</v>
      </c>
      <c r="C11" s="250">
        <f t="shared" si="1"/>
        <v>46855</v>
      </c>
      <c r="D11" s="250">
        <f>'Energy Star'!D37</f>
        <v>7223</v>
      </c>
      <c r="E11" s="250">
        <f>'Energy Star'!E37</f>
        <v>14678</v>
      </c>
      <c r="F11" s="250">
        <f>'Energy Star'!F37</f>
        <v>8762</v>
      </c>
      <c r="G11" s="250">
        <f>'Energy Star'!G37</f>
        <v>11748</v>
      </c>
      <c r="H11" s="250">
        <f>'Energy Star'!H37</f>
        <v>27870</v>
      </c>
      <c r="I11" s="250">
        <f>'Energy Star'!I37</f>
        <v>19979</v>
      </c>
      <c r="J11" s="250">
        <f>'Energy Star'!J37</f>
        <v>7576</v>
      </c>
      <c r="K11" s="250">
        <f>'Energy Star'!K37</f>
        <v>13464</v>
      </c>
      <c r="L11" s="250">
        <f>'Energy Star'!L37</f>
        <v>5836</v>
      </c>
      <c r="M11" s="316"/>
      <c r="N11" s="316"/>
      <c r="O11" s="316"/>
      <c r="P11" s="316"/>
      <c r="Q11" s="316"/>
      <c r="R11" s="250">
        <f t="shared" si="2"/>
        <v>117136</v>
      </c>
    </row>
    <row r="12" spans="1:18" ht="12.75">
      <c r="A12" s="207" t="s">
        <v>174</v>
      </c>
      <c r="B12" s="250">
        <f t="shared" si="0"/>
        <v>0</v>
      </c>
      <c r="C12" s="250">
        <f t="shared" si="1"/>
        <v>78937</v>
      </c>
      <c r="D12" s="250"/>
      <c r="E12" s="250"/>
      <c r="F12" s="250"/>
      <c r="G12" s="250"/>
      <c r="H12" s="250"/>
      <c r="I12" s="250"/>
      <c r="J12" s="250">
        <f>'Energy Star'!J35</f>
        <v>1833</v>
      </c>
      <c r="K12" s="250">
        <f>'Energy Star'!K35</f>
        <v>22761</v>
      </c>
      <c r="L12" s="250">
        <f>'Energy Star'!L35</f>
        <v>25424</v>
      </c>
      <c r="M12" s="250">
        <f>'Energy Star'!M35</f>
        <v>28919</v>
      </c>
      <c r="N12" s="250">
        <f>'Energy Star'!N35</f>
        <v>32202</v>
      </c>
      <c r="O12" s="250">
        <f>'Energy Star'!O35</f>
        <v>27518</v>
      </c>
      <c r="P12" s="250">
        <f>'Energy Star'!P35</f>
        <v>24127</v>
      </c>
      <c r="Q12" s="250">
        <f>'Energy Star'!Q35</f>
        <v>23250</v>
      </c>
      <c r="R12" s="250">
        <f t="shared" si="2"/>
        <v>186034</v>
      </c>
    </row>
    <row r="13" spans="1:18" ht="12.75">
      <c r="A13" s="181" t="s">
        <v>189</v>
      </c>
      <c r="B13" s="250">
        <f t="shared" si="0"/>
        <v>0</v>
      </c>
      <c r="C13" s="250">
        <f t="shared" si="1"/>
        <v>19230</v>
      </c>
      <c r="D13" s="250"/>
      <c r="E13" s="250"/>
      <c r="F13" s="250"/>
      <c r="G13" s="250"/>
      <c r="H13" s="250"/>
      <c r="I13" s="250"/>
      <c r="J13" s="250"/>
      <c r="K13" s="250">
        <f>'Energy Star'!K38</f>
        <v>5380</v>
      </c>
      <c r="L13" s="250">
        <f>'Energy Star'!L38</f>
        <v>8017</v>
      </c>
      <c r="M13" s="250">
        <f>'Energy Star'!M38</f>
        <v>5833</v>
      </c>
      <c r="N13" s="316"/>
      <c r="O13" s="316"/>
      <c r="P13" s="316"/>
      <c r="Q13" s="316"/>
      <c r="R13" s="250">
        <f t="shared" si="2"/>
        <v>19230</v>
      </c>
    </row>
    <row r="14" spans="1:18" ht="12.75">
      <c r="A14" s="19" t="s">
        <v>379</v>
      </c>
      <c r="B14" s="250">
        <f>SUM(D14:H14)</f>
        <v>0</v>
      </c>
      <c r="C14" s="250">
        <f t="shared" si="1"/>
        <v>0</v>
      </c>
      <c r="D14" s="250"/>
      <c r="E14" s="250"/>
      <c r="F14" s="250"/>
      <c r="G14" s="250"/>
      <c r="H14" s="250"/>
      <c r="I14" s="316"/>
      <c r="J14" s="316"/>
      <c r="K14" s="316"/>
      <c r="L14" s="316"/>
      <c r="M14" s="316"/>
      <c r="N14" s="316"/>
      <c r="O14" s="316"/>
      <c r="P14" s="252">
        <f>'Energy Star'!P39</f>
        <v>5447</v>
      </c>
      <c r="Q14" s="252">
        <f>'Energy Star'!Q39</f>
        <v>6363</v>
      </c>
      <c r="R14" s="250">
        <f t="shared" si="2"/>
        <v>11810</v>
      </c>
    </row>
    <row r="15" spans="1:18" ht="12.75">
      <c r="A15" s="181" t="s">
        <v>198</v>
      </c>
      <c r="B15" s="250">
        <f t="shared" si="0"/>
        <v>0</v>
      </c>
      <c r="C15" s="250">
        <f t="shared" si="1"/>
        <v>16275</v>
      </c>
      <c r="D15" s="250"/>
      <c r="E15" s="250"/>
      <c r="F15" s="250"/>
      <c r="G15" s="250"/>
      <c r="H15" s="250"/>
      <c r="I15" s="250"/>
      <c r="J15" s="250"/>
      <c r="K15" s="250"/>
      <c r="L15" s="250"/>
      <c r="M15" s="250">
        <f>'Energy Star'!M40</f>
        <v>16275</v>
      </c>
      <c r="N15" s="250">
        <f>'Energy Star'!N40</f>
        <v>15769</v>
      </c>
      <c r="O15" s="250">
        <f>'Energy Star'!O40</f>
        <v>18579</v>
      </c>
      <c r="P15" s="250">
        <f>'Energy Star'!P40</f>
        <v>10871</v>
      </c>
      <c r="Q15" s="250">
        <f>'Energy Star'!Q40</f>
        <v>10364</v>
      </c>
      <c r="R15" s="250">
        <f t="shared" si="2"/>
        <v>71858</v>
      </c>
    </row>
    <row r="16" spans="1:18" ht="12.75">
      <c r="A16" s="181" t="s">
        <v>252</v>
      </c>
      <c r="B16" s="250">
        <f t="shared" si="0"/>
        <v>0</v>
      </c>
      <c r="C16" s="250">
        <f t="shared" si="1"/>
        <v>42942</v>
      </c>
      <c r="D16" s="250"/>
      <c r="E16" s="250"/>
      <c r="F16" s="250"/>
      <c r="G16" s="250"/>
      <c r="H16" s="250"/>
      <c r="I16" s="250"/>
      <c r="J16" s="250"/>
      <c r="K16" s="250"/>
      <c r="L16" s="250"/>
      <c r="M16" s="250">
        <f>'Energy Star'!M41</f>
        <v>42942</v>
      </c>
      <c r="N16" s="250">
        <f>'Energy Star'!N41</f>
        <v>93930</v>
      </c>
      <c r="O16" s="250">
        <f>'Energy Star'!O41</f>
        <v>85977</v>
      </c>
      <c r="P16" s="250">
        <f>'Energy Star'!P41</f>
        <v>32000</v>
      </c>
      <c r="Q16" s="250">
        <f>'Energy Star'!Q41</f>
        <v>32463</v>
      </c>
      <c r="R16" s="250">
        <f t="shared" si="2"/>
        <v>287312</v>
      </c>
    </row>
    <row r="17" spans="1:18" ht="12.75">
      <c r="A17" s="207" t="s">
        <v>158</v>
      </c>
      <c r="B17" s="250">
        <f t="shared" si="0"/>
        <v>0</v>
      </c>
      <c r="C17" s="250">
        <f t="shared" si="1"/>
        <v>6741</v>
      </c>
      <c r="D17" s="250"/>
      <c r="E17" s="250"/>
      <c r="F17" s="250"/>
      <c r="G17" s="250"/>
      <c r="H17" s="250"/>
      <c r="I17" s="250">
        <f>'Home Perf'!C21</f>
        <v>3</v>
      </c>
      <c r="J17" s="250">
        <f>'Home Perf'!D21</f>
        <v>20</v>
      </c>
      <c r="K17" s="250">
        <f>'Home Perf'!E21</f>
        <v>163</v>
      </c>
      <c r="L17" s="250">
        <f>'Home Perf'!F21</f>
        <v>3310</v>
      </c>
      <c r="M17" s="250">
        <f>'Home Perf'!G21</f>
        <v>3245</v>
      </c>
      <c r="N17" s="250">
        <f>'Home Perf'!H21</f>
        <v>2584</v>
      </c>
      <c r="O17" s="250">
        <f>'Home Perf'!I21</f>
        <v>5772</v>
      </c>
      <c r="P17" s="250">
        <f>'Home Perf'!J21</f>
        <v>5302</v>
      </c>
      <c r="Q17" s="250">
        <f>'Home Perf'!K21</f>
        <v>5768</v>
      </c>
      <c r="R17" s="250">
        <f t="shared" si="2"/>
        <v>26167</v>
      </c>
    </row>
    <row r="18" spans="1:18" ht="12.75">
      <c r="A18" s="207" t="s">
        <v>72</v>
      </c>
      <c r="B18" s="250">
        <f t="shared" si="0"/>
        <v>31555</v>
      </c>
      <c r="C18" s="250">
        <f t="shared" si="1"/>
        <v>38868</v>
      </c>
      <c r="D18" s="250">
        <f>'Low-income'!D26</f>
        <v>5848</v>
      </c>
      <c r="E18" s="250">
        <f>'Low-income'!E26</f>
        <v>5937</v>
      </c>
      <c r="F18" s="250">
        <f>'Low-income'!F26</f>
        <v>6661</v>
      </c>
      <c r="G18" s="250">
        <f>'Low-income'!G26</f>
        <v>6706</v>
      </c>
      <c r="H18" s="250">
        <f>'Low-income'!H26</f>
        <v>6403</v>
      </c>
      <c r="I18" s="250">
        <f>'Low-income'!I26</f>
        <v>8552</v>
      </c>
      <c r="J18" s="250">
        <f>'Low-income'!J26</f>
        <v>8484</v>
      </c>
      <c r="K18" s="250">
        <f>'Low-income'!K26</f>
        <v>7239</v>
      </c>
      <c r="L18" s="250">
        <f>'Low-income'!L26</f>
        <v>7779</v>
      </c>
      <c r="M18" s="250">
        <f>'Low-income'!M26</f>
        <v>6814</v>
      </c>
      <c r="N18" s="250">
        <f>'Low-income'!N26</f>
        <v>7054</v>
      </c>
      <c r="O18" s="250">
        <f>'Low-income'!O26</f>
        <v>11760</v>
      </c>
      <c r="P18" s="250">
        <f>'Low-income'!P26</f>
        <v>6054</v>
      </c>
      <c r="Q18" s="250">
        <f>'Low-income'!Q26</f>
        <v>5188</v>
      </c>
      <c r="R18" s="250">
        <f t="shared" si="2"/>
        <v>100479</v>
      </c>
    </row>
    <row r="19" spans="1:18" ht="12.75">
      <c r="A19" s="207" t="s">
        <v>142</v>
      </c>
      <c r="B19" s="250">
        <f t="shared" si="0"/>
        <v>0</v>
      </c>
      <c r="C19" s="250">
        <f t="shared" si="1"/>
        <v>15917</v>
      </c>
      <c r="D19" s="250"/>
      <c r="E19" s="250"/>
      <c r="F19" s="250"/>
      <c r="G19" s="250"/>
      <c r="H19" s="250"/>
      <c r="I19" s="250"/>
      <c r="J19" s="250">
        <v>15917</v>
      </c>
      <c r="K19" s="316"/>
      <c r="L19" s="316"/>
      <c r="M19" s="316"/>
      <c r="N19" s="316"/>
      <c r="O19" s="316"/>
      <c r="P19" s="316"/>
      <c r="Q19" s="316"/>
      <c r="R19" s="250">
        <f t="shared" si="2"/>
        <v>15917</v>
      </c>
    </row>
    <row r="20" spans="1:20" ht="12.75">
      <c r="A20" s="29" t="s">
        <v>73</v>
      </c>
      <c r="B20" s="254">
        <f t="shared" si="0"/>
        <v>316172</v>
      </c>
      <c r="C20" s="254">
        <f t="shared" si="1"/>
        <v>473643</v>
      </c>
      <c r="D20" s="254">
        <f aca="true" t="shared" si="3" ref="D20:Q20">SUM(D7:D19)</f>
        <v>36459</v>
      </c>
      <c r="E20" s="254">
        <f t="shared" si="3"/>
        <v>49488</v>
      </c>
      <c r="F20" s="254">
        <f t="shared" si="3"/>
        <v>70532</v>
      </c>
      <c r="G20" s="254">
        <f t="shared" si="3"/>
        <v>75193</v>
      </c>
      <c r="H20" s="254">
        <f t="shared" si="3"/>
        <v>84500</v>
      </c>
      <c r="I20" s="254">
        <f t="shared" si="3"/>
        <v>70029</v>
      </c>
      <c r="J20" s="254">
        <f t="shared" si="3"/>
        <v>79352</v>
      </c>
      <c r="K20" s="254">
        <f t="shared" si="3"/>
        <v>90776</v>
      </c>
      <c r="L20" s="254">
        <f t="shared" si="3"/>
        <v>82412</v>
      </c>
      <c r="M20" s="254">
        <f t="shared" si="3"/>
        <v>151074</v>
      </c>
      <c r="N20" s="254">
        <f t="shared" si="3"/>
        <v>195404</v>
      </c>
      <c r="O20" s="254">
        <f t="shared" si="3"/>
        <v>194494</v>
      </c>
      <c r="P20" s="254">
        <f t="shared" si="3"/>
        <v>107444</v>
      </c>
      <c r="Q20" s="254">
        <f t="shared" si="3"/>
        <v>106172</v>
      </c>
      <c r="R20" s="254">
        <f t="shared" si="2"/>
        <v>1393329</v>
      </c>
      <c r="S20" s="152"/>
      <c r="T20" s="136"/>
    </row>
    <row r="21" spans="1:20" ht="12.75">
      <c r="A21" s="207" t="s">
        <v>216</v>
      </c>
      <c r="B21" s="253">
        <f t="shared" si="0"/>
        <v>21392</v>
      </c>
      <c r="C21" s="253">
        <f t="shared" si="1"/>
        <v>8384</v>
      </c>
      <c r="D21" s="251">
        <f>'C&amp;I'!D37</f>
        <v>1650</v>
      </c>
      <c r="E21" s="251">
        <f>'C&amp;I'!E37</f>
        <v>9163</v>
      </c>
      <c r="F21" s="251">
        <f>'C&amp;I'!F37</f>
        <v>4209</v>
      </c>
      <c r="G21" s="251">
        <f>'C&amp;I'!G37</f>
        <v>3983</v>
      </c>
      <c r="H21" s="253">
        <f>'C&amp;I'!H37</f>
        <v>2387</v>
      </c>
      <c r="I21" s="253">
        <f>'C&amp;I'!I37</f>
        <v>2094</v>
      </c>
      <c r="J21" s="253">
        <f>'C&amp;I'!J37</f>
        <v>1297</v>
      </c>
      <c r="K21" s="253">
        <f>'C&amp;I'!K37</f>
        <v>1401</v>
      </c>
      <c r="L21" s="253">
        <f>'C&amp;I'!L37</f>
        <v>1607</v>
      </c>
      <c r="M21" s="253">
        <f>'C&amp;I'!M37</f>
        <v>1985</v>
      </c>
      <c r="N21" s="253">
        <f>'C&amp;I'!N37</f>
        <v>1854</v>
      </c>
      <c r="O21" s="253">
        <f>'C&amp;I'!O37</f>
        <v>3630</v>
      </c>
      <c r="P21" s="253">
        <f>'C&amp;I'!P37</f>
        <v>2427</v>
      </c>
      <c r="Q21" s="253">
        <f>'C&amp;I'!Q37</f>
        <v>3195</v>
      </c>
      <c r="R21" s="252">
        <f t="shared" si="2"/>
        <v>40882</v>
      </c>
      <c r="S21" s="136"/>
      <c r="T21" s="136"/>
    </row>
    <row r="22" spans="1:20" ht="12.75">
      <c r="A22" s="207" t="s">
        <v>214</v>
      </c>
      <c r="B22" s="253">
        <f t="shared" si="0"/>
        <v>0</v>
      </c>
      <c r="C22" s="253">
        <f t="shared" si="1"/>
        <v>1347</v>
      </c>
      <c r="D22" s="263"/>
      <c r="E22" s="263"/>
      <c r="F22" s="263"/>
      <c r="G22" s="263"/>
      <c r="H22" s="254"/>
      <c r="I22" s="254"/>
      <c r="J22" s="254"/>
      <c r="K22" s="253">
        <f>LGEA!B13</f>
        <v>30</v>
      </c>
      <c r="L22" s="253">
        <f>LGEA!C13</f>
        <v>352</v>
      </c>
      <c r="M22" s="253">
        <f>LGEA!D13</f>
        <v>965</v>
      </c>
      <c r="N22" s="253">
        <f>LGEA!E13</f>
        <v>358</v>
      </c>
      <c r="O22" s="253">
        <f>LGEA!F14</f>
        <v>534</v>
      </c>
      <c r="P22" s="253">
        <f>LGEA!G14</f>
        <v>428</v>
      </c>
      <c r="Q22" s="253">
        <f>LGEA!H14</f>
        <v>246</v>
      </c>
      <c r="R22" s="252">
        <f t="shared" si="2"/>
        <v>2913</v>
      </c>
      <c r="S22" s="136"/>
      <c r="T22" s="136"/>
    </row>
    <row r="23" spans="1:20" ht="12.75">
      <c r="A23" s="207" t="s">
        <v>81</v>
      </c>
      <c r="B23" s="253">
        <f t="shared" si="0"/>
        <v>0</v>
      </c>
      <c r="C23" s="253">
        <f t="shared" si="1"/>
        <v>28</v>
      </c>
      <c r="D23" s="263"/>
      <c r="E23" s="263"/>
      <c r="F23" s="263"/>
      <c r="G23" s="263"/>
      <c r="H23" s="254" t="s">
        <v>88</v>
      </c>
      <c r="I23" s="254"/>
      <c r="J23" s="254"/>
      <c r="K23" s="253">
        <f>'P4P '!H13</f>
        <v>0</v>
      </c>
      <c r="L23" s="253">
        <f>'P4P '!I13</f>
        <v>4</v>
      </c>
      <c r="M23" s="253">
        <f>'P4P '!J13</f>
        <v>24</v>
      </c>
      <c r="N23" s="253">
        <f>'P4P '!K13</f>
        <v>51</v>
      </c>
      <c r="O23" s="253">
        <f>'P4P '!L13</f>
        <v>68</v>
      </c>
      <c r="P23" s="253">
        <f>'P4P '!M13</f>
        <v>43</v>
      </c>
      <c r="Q23" s="253">
        <f>'P4P '!N13</f>
        <v>54</v>
      </c>
      <c r="R23" s="252">
        <f t="shared" si="2"/>
        <v>244</v>
      </c>
      <c r="S23" s="146"/>
      <c r="T23" s="136"/>
    </row>
    <row r="24" spans="1:20" ht="12.75">
      <c r="A24" s="207" t="s">
        <v>238</v>
      </c>
      <c r="B24" s="253">
        <f t="shared" si="0"/>
        <v>0</v>
      </c>
      <c r="C24" s="253">
        <f t="shared" si="1"/>
        <v>13</v>
      </c>
      <c r="D24" s="263"/>
      <c r="E24" s="263"/>
      <c r="F24" s="263"/>
      <c r="G24" s="263"/>
      <c r="H24" s="254"/>
      <c r="I24" s="254"/>
      <c r="J24" s="254"/>
      <c r="K24" s="254"/>
      <c r="L24" s="253"/>
      <c r="M24" s="253">
        <f>'P4P NC'!B13</f>
        <v>13</v>
      </c>
      <c r="N24" s="253">
        <f>'P4P NC'!C13</f>
        <v>6</v>
      </c>
      <c r="O24" s="253">
        <f>'P4P NC'!D13</f>
        <v>10</v>
      </c>
      <c r="P24" s="253">
        <f>'P4P NC'!E13</f>
        <v>15</v>
      </c>
      <c r="Q24" s="253">
        <f>'P4P NC'!F13</f>
        <v>14</v>
      </c>
      <c r="R24" s="252">
        <f t="shared" si="2"/>
        <v>58</v>
      </c>
      <c r="S24" s="146"/>
      <c r="T24" s="136"/>
    </row>
    <row r="25" spans="1:20" ht="12.75">
      <c r="A25" s="207" t="s">
        <v>183</v>
      </c>
      <c r="B25" s="253">
        <f t="shared" si="0"/>
        <v>0</v>
      </c>
      <c r="C25" s="253">
        <f t="shared" si="1"/>
        <v>162</v>
      </c>
      <c r="D25" s="263"/>
      <c r="E25" s="263"/>
      <c r="F25" s="263"/>
      <c r="G25" s="263"/>
      <c r="H25" s="254"/>
      <c r="I25" s="254"/>
      <c r="J25" s="254"/>
      <c r="K25" s="254"/>
      <c r="L25" s="253"/>
      <c r="M25" s="253">
        <f>'Direct Install'!D13</f>
        <v>162</v>
      </c>
      <c r="N25" s="253">
        <f>'Direct Install'!E13</f>
        <v>1325</v>
      </c>
      <c r="O25" s="253">
        <f>'Direct Install'!F13</f>
        <v>2084</v>
      </c>
      <c r="P25" s="253">
        <f>'Direct Install'!G13</f>
        <v>1124</v>
      </c>
      <c r="Q25" s="253">
        <f>'Direct Install'!H13</f>
        <v>1349</v>
      </c>
      <c r="R25" s="252">
        <f t="shared" si="2"/>
        <v>6044</v>
      </c>
      <c r="S25" s="136"/>
      <c r="T25" s="136"/>
    </row>
    <row r="26" spans="1:20" ht="12.75">
      <c r="A26" s="181" t="s">
        <v>341</v>
      </c>
      <c r="B26" s="253">
        <f t="shared" si="0"/>
        <v>0</v>
      </c>
      <c r="C26" s="253">
        <f t="shared" si="1"/>
        <v>0</v>
      </c>
      <c r="D26" s="263"/>
      <c r="E26" s="263"/>
      <c r="F26" s="263"/>
      <c r="G26" s="263"/>
      <c r="H26" s="254"/>
      <c r="I26" s="254"/>
      <c r="J26" s="254"/>
      <c r="K26" s="254"/>
      <c r="L26" s="253"/>
      <c r="M26" s="253"/>
      <c r="N26" s="253"/>
      <c r="O26" s="253">
        <f>LEUP!C13</f>
        <v>0</v>
      </c>
      <c r="P26" s="253">
        <f>LEUP!D13</f>
        <v>0</v>
      </c>
      <c r="Q26" s="253">
        <f>LEUP!E13</f>
        <v>0</v>
      </c>
      <c r="R26" s="252">
        <f t="shared" si="2"/>
        <v>0</v>
      </c>
      <c r="S26" s="136"/>
      <c r="T26" s="136"/>
    </row>
    <row r="27" spans="1:20" ht="12.75">
      <c r="A27" s="29" t="s">
        <v>215</v>
      </c>
      <c r="B27" s="254">
        <f t="shared" si="0"/>
        <v>21392</v>
      </c>
      <c r="C27" s="254">
        <f t="shared" si="1"/>
        <v>9934</v>
      </c>
      <c r="D27" s="254">
        <f>SUM(D21:D25)</f>
        <v>1650</v>
      </c>
      <c r="E27" s="254">
        <f>SUM(E21:E25)</f>
        <v>9163</v>
      </c>
      <c r="F27" s="254">
        <f>SUM(F21:F25)</f>
        <v>4209</v>
      </c>
      <c r="G27" s="254">
        <f>SUM(G21:G25)</f>
        <v>3983</v>
      </c>
      <c r="H27" s="254">
        <f>SUM(H21:H25)</f>
        <v>2387</v>
      </c>
      <c r="I27" s="254">
        <f aca="true" t="shared" si="4" ref="I27:N27">SUM(I21:I26)</f>
        <v>2094</v>
      </c>
      <c r="J27" s="254">
        <f t="shared" si="4"/>
        <v>1297</v>
      </c>
      <c r="K27" s="254">
        <f t="shared" si="4"/>
        <v>1431</v>
      </c>
      <c r="L27" s="254">
        <f t="shared" si="4"/>
        <v>1963</v>
      </c>
      <c r="M27" s="254">
        <f t="shared" si="4"/>
        <v>3149</v>
      </c>
      <c r="N27" s="254">
        <f t="shared" si="4"/>
        <v>3594</v>
      </c>
      <c r="O27" s="254">
        <f>SUM(O21:O26)</f>
        <v>6326</v>
      </c>
      <c r="P27" s="254">
        <f>SUM(P21:P26)</f>
        <v>4037</v>
      </c>
      <c r="Q27" s="254">
        <f>SUM(Q21:Q26)</f>
        <v>4858</v>
      </c>
      <c r="R27" s="254">
        <f t="shared" si="2"/>
        <v>50141</v>
      </c>
      <c r="S27" s="155"/>
      <c r="T27" s="136"/>
    </row>
    <row r="28" spans="1:20" ht="12.75">
      <c r="A28" s="29" t="s">
        <v>75</v>
      </c>
      <c r="B28" s="254">
        <f t="shared" si="0"/>
        <v>337564</v>
      </c>
      <c r="C28" s="254">
        <f t="shared" si="1"/>
        <v>483577</v>
      </c>
      <c r="D28" s="263">
        <f>D27+D20</f>
        <v>38109</v>
      </c>
      <c r="E28" s="263">
        <f aca="true" t="shared" si="5" ref="E28:L28">E27+E20</f>
        <v>58651</v>
      </c>
      <c r="F28" s="263">
        <f t="shared" si="5"/>
        <v>74741</v>
      </c>
      <c r="G28" s="263">
        <f t="shared" si="5"/>
        <v>79176</v>
      </c>
      <c r="H28" s="254">
        <f t="shared" si="5"/>
        <v>86887</v>
      </c>
      <c r="I28" s="254">
        <f t="shared" si="5"/>
        <v>72123</v>
      </c>
      <c r="J28" s="254">
        <f t="shared" si="5"/>
        <v>80649</v>
      </c>
      <c r="K28" s="254">
        <f t="shared" si="5"/>
        <v>92207</v>
      </c>
      <c r="L28" s="254">
        <f t="shared" si="5"/>
        <v>84375</v>
      </c>
      <c r="M28" s="254">
        <f>M27+M20</f>
        <v>154223</v>
      </c>
      <c r="N28" s="254">
        <f>N27+N20</f>
        <v>198998</v>
      </c>
      <c r="O28" s="254">
        <f>O27+O20</f>
        <v>200820</v>
      </c>
      <c r="P28" s="254">
        <f>P27+P20</f>
        <v>111481</v>
      </c>
      <c r="Q28" s="254">
        <f>Q27+Q20</f>
        <v>111030</v>
      </c>
      <c r="R28" s="254">
        <f t="shared" si="2"/>
        <v>1443470</v>
      </c>
      <c r="S28" s="138"/>
      <c r="T28" s="136"/>
    </row>
    <row r="29" spans="2:20" ht="12.75">
      <c r="B29" s="137"/>
      <c r="C29" s="137"/>
      <c r="D29" s="101"/>
      <c r="E29" s="101"/>
      <c r="F29" s="101"/>
      <c r="G29" s="101"/>
      <c r="H29" s="137"/>
      <c r="I29" s="137"/>
      <c r="J29" s="137"/>
      <c r="K29" s="137"/>
      <c r="L29" s="137"/>
      <c r="M29" s="137"/>
      <c r="N29" s="137"/>
      <c r="O29" s="137"/>
      <c r="P29" s="137"/>
      <c r="Q29" s="137"/>
      <c r="R29" s="137"/>
      <c r="S29" s="136"/>
      <c r="T29" s="136"/>
    </row>
    <row r="30" spans="1:20" ht="12.75">
      <c r="A30" s="14" t="s">
        <v>167</v>
      </c>
      <c r="B30" s="254">
        <f>SUM(D30:H30)</f>
        <v>2</v>
      </c>
      <c r="C30" s="254">
        <f>SUM(I30:M30)</f>
        <v>20</v>
      </c>
      <c r="D30" s="263">
        <f>'CHP-FuelCell_Lrg-Small'!D15</f>
        <v>0</v>
      </c>
      <c r="E30" s="263">
        <f>'CHP-FuelCell_Lrg-Small'!E15</f>
        <v>0</v>
      </c>
      <c r="F30" s="263">
        <f>'CHP-FuelCell_Lrg-Small'!F15</f>
        <v>0</v>
      </c>
      <c r="G30" s="263">
        <f>'CHP-FuelCell_Lrg-Small'!G15</f>
        <v>0</v>
      </c>
      <c r="H30" s="254">
        <f>'CHP-FuelCell_Lrg-Small'!H15</f>
        <v>2</v>
      </c>
      <c r="I30" s="254">
        <f>'CHP-FuelCell_Lrg-Small'!I15</f>
        <v>4</v>
      </c>
      <c r="J30" s="254">
        <f>'CHP-FuelCell_Lrg-Small'!J15</f>
        <v>5</v>
      </c>
      <c r="K30" s="254">
        <f>'CHP-FuelCell_Lrg-Small'!K15</f>
        <v>4</v>
      </c>
      <c r="L30" s="254">
        <f>'CHP-FuelCell_Lrg-Small'!L15</f>
        <v>1</v>
      </c>
      <c r="M30" s="254">
        <f>'CHP-FuelCell_Lrg-Small'!M15</f>
        <v>6</v>
      </c>
      <c r="N30" s="254">
        <f>'CHP-FuelCell_Lrg-Small'!N15</f>
        <v>0</v>
      </c>
      <c r="O30" s="254">
        <f>'CHP-FuelCell_Lrg-Small'!O15</f>
        <v>1</v>
      </c>
      <c r="P30" s="254">
        <f>'CHP-FuelCell_Lrg-Small'!P15</f>
        <v>2</v>
      </c>
      <c r="Q30" s="254">
        <f>'CHP-FuelCell_Lrg-Small'!Q15</f>
        <v>5</v>
      </c>
      <c r="R30" s="254">
        <f>SUM(D30:Q30)</f>
        <v>30</v>
      </c>
      <c r="S30" s="138"/>
      <c r="T30" s="136"/>
    </row>
    <row r="31" spans="2:20" ht="12.75">
      <c r="B31" s="141"/>
      <c r="C31" s="141"/>
      <c r="H31" s="136"/>
      <c r="I31" s="136"/>
      <c r="J31" s="141"/>
      <c r="K31" s="141"/>
      <c r="L31" s="141"/>
      <c r="M31" s="141"/>
      <c r="N31" s="141"/>
      <c r="O31" s="141"/>
      <c r="P31" s="141"/>
      <c r="Q31" s="141"/>
      <c r="R31" s="136"/>
      <c r="S31" s="136"/>
      <c r="T31" s="136"/>
    </row>
    <row r="32" spans="1:20" ht="12.75">
      <c r="A32" s="30" t="s">
        <v>168</v>
      </c>
      <c r="B32" s="208"/>
      <c r="C32" s="208"/>
      <c r="D32" s="25"/>
      <c r="E32" s="25"/>
      <c r="F32" s="25"/>
      <c r="G32" s="25"/>
      <c r="H32" s="147"/>
      <c r="I32" s="147"/>
      <c r="J32" s="147"/>
      <c r="K32" s="147"/>
      <c r="L32" s="147"/>
      <c r="M32" s="147"/>
      <c r="N32" s="147"/>
      <c r="O32" s="342"/>
      <c r="P32" s="342"/>
      <c r="Q32" s="342"/>
      <c r="R32" s="208"/>
      <c r="S32" s="136"/>
      <c r="T32" s="136"/>
    </row>
    <row r="33" spans="1:20" ht="12.75">
      <c r="A33" s="181" t="s">
        <v>93</v>
      </c>
      <c r="B33" s="252">
        <f aca="true" t="shared" si="6" ref="B33:B43">SUM(D33:H33)</f>
        <v>890</v>
      </c>
      <c r="C33" s="252">
        <f aca="true" t="shared" si="7" ref="C33:C43">SUM(I33:M33)</f>
        <v>3514</v>
      </c>
      <c r="D33" s="250">
        <f>CORE!C14</f>
        <v>6</v>
      </c>
      <c r="E33" s="250">
        <f>CORE!D14</f>
        <v>46</v>
      </c>
      <c r="F33" s="250">
        <f>CORE!E14</f>
        <v>58</v>
      </c>
      <c r="G33" s="250">
        <f>CORE!F14</f>
        <v>284</v>
      </c>
      <c r="H33" s="252">
        <f>CORE!G14</f>
        <v>496</v>
      </c>
      <c r="I33" s="252">
        <f>CORE!H14</f>
        <v>1005</v>
      </c>
      <c r="J33" s="252">
        <v>832</v>
      </c>
      <c r="K33" s="252">
        <f>CORE!J14</f>
        <v>827</v>
      </c>
      <c r="L33" s="252">
        <f>CORE!K14</f>
        <v>509</v>
      </c>
      <c r="M33" s="252">
        <f>CORE!L14</f>
        <v>341</v>
      </c>
      <c r="N33" s="252">
        <f>CORE!M14</f>
        <v>64</v>
      </c>
      <c r="O33" s="252">
        <f>CORE!N14</f>
        <v>17</v>
      </c>
      <c r="P33" s="316"/>
      <c r="Q33" s="316"/>
      <c r="R33" s="252">
        <f aca="true" t="shared" si="8" ref="R33:R41">SUM(D33:Q33)</f>
        <v>4485</v>
      </c>
      <c r="S33" s="138"/>
      <c r="T33" s="136"/>
    </row>
    <row r="34" spans="1:20" ht="12.75">
      <c r="A34" s="225" t="s">
        <v>201</v>
      </c>
      <c r="B34" s="252">
        <f t="shared" si="6"/>
        <v>0</v>
      </c>
      <c r="C34" s="252">
        <f t="shared" si="7"/>
        <v>1769</v>
      </c>
      <c r="D34" s="250"/>
      <c r="E34" s="250"/>
      <c r="F34" s="250"/>
      <c r="G34" s="250"/>
      <c r="H34" s="252"/>
      <c r="I34" s="252"/>
      <c r="J34" s="252"/>
      <c r="K34" s="252"/>
      <c r="L34" s="252">
        <f>REIP!B13</f>
        <v>263</v>
      </c>
      <c r="M34" s="252">
        <f>REIP!C13</f>
        <v>1506</v>
      </c>
      <c r="N34" s="252">
        <f>REIP!D13</f>
        <v>1703</v>
      </c>
      <c r="O34" s="252">
        <f>REIP!E13</f>
        <v>349</v>
      </c>
      <c r="P34" s="252">
        <f>REIP!F13</f>
        <v>7</v>
      </c>
      <c r="Q34" s="252">
        <f>REIP!G13</f>
        <v>0</v>
      </c>
      <c r="R34" s="252">
        <f t="shared" si="8"/>
        <v>3828</v>
      </c>
      <c r="S34" s="138"/>
      <c r="T34" s="136"/>
    </row>
    <row r="35" spans="1:20" ht="12.75">
      <c r="A35" s="225" t="s">
        <v>320</v>
      </c>
      <c r="B35" s="252">
        <f t="shared" si="6"/>
        <v>1</v>
      </c>
      <c r="C35" s="252">
        <f t="shared" si="7"/>
        <v>6</v>
      </c>
      <c r="D35" s="250">
        <f>'RE Grants and Financing'!B25</f>
        <v>0</v>
      </c>
      <c r="E35" s="250">
        <f>'RE Grants and Financing'!C25</f>
        <v>0</v>
      </c>
      <c r="F35" s="250">
        <f>'RE Grants and Financing'!D25</f>
        <v>0</v>
      </c>
      <c r="G35" s="250">
        <f>'RE Grants and Financing'!E25</f>
        <v>0</v>
      </c>
      <c r="H35" s="252">
        <f>'RE Grants and Financing'!F25</f>
        <v>1</v>
      </c>
      <c r="I35" s="252">
        <f>'RE Grants and Financing'!G25</f>
        <v>0</v>
      </c>
      <c r="J35" s="252">
        <f>'RE Grants and Financing'!H25</f>
        <v>3</v>
      </c>
      <c r="K35" s="252">
        <f>'RE Grants and Financing'!I25</f>
        <v>1</v>
      </c>
      <c r="L35" s="252">
        <f>'RE Grants and Financing'!J25</f>
        <v>1</v>
      </c>
      <c r="M35" s="252">
        <f>'RE Grants and Financing'!K25</f>
        <v>1</v>
      </c>
      <c r="N35" s="316"/>
      <c r="O35" s="316"/>
      <c r="P35" s="316"/>
      <c r="Q35" s="316"/>
      <c r="R35" s="252">
        <f t="shared" si="8"/>
        <v>7</v>
      </c>
      <c r="S35" s="136"/>
      <c r="T35" s="136"/>
    </row>
    <row r="36" spans="1:20" ht="12.75">
      <c r="A36" s="225" t="s">
        <v>321</v>
      </c>
      <c r="B36" s="252">
        <f t="shared" si="6"/>
        <v>15</v>
      </c>
      <c r="C36" s="252">
        <f t="shared" si="7"/>
        <v>8</v>
      </c>
      <c r="D36" s="250">
        <f>'RE Business Venture Fin'!B15</f>
        <v>0</v>
      </c>
      <c r="E36" s="250">
        <f>'RE Business Venture Fin'!C15</f>
        <v>0</v>
      </c>
      <c r="F36" s="250">
        <f>'RE Business Venture Fin'!D15</f>
        <v>10</v>
      </c>
      <c r="G36" s="250">
        <f>'RE Business Venture Fin'!E15</f>
        <v>0</v>
      </c>
      <c r="H36" s="252">
        <f>'RE Business Venture Fin'!F15</f>
        <v>5</v>
      </c>
      <c r="I36" s="252">
        <f>'RE Business Venture Fin'!G15</f>
        <v>4</v>
      </c>
      <c r="J36" s="252">
        <f>'RE Business Venture Fin'!H15</f>
        <v>1</v>
      </c>
      <c r="K36" s="252">
        <f>'RE Business Venture Fin'!I15</f>
        <v>1</v>
      </c>
      <c r="L36" s="252">
        <f>'RE Business Venture Fin'!J15</f>
        <v>1</v>
      </c>
      <c r="M36" s="252">
        <f>'RE Business Venture Fin'!K15</f>
        <v>1</v>
      </c>
      <c r="N36" s="316"/>
      <c r="O36" s="316"/>
      <c r="P36" s="316"/>
      <c r="Q36" s="316"/>
      <c r="R36" s="252">
        <f t="shared" si="8"/>
        <v>23</v>
      </c>
      <c r="S36" s="136"/>
      <c r="T36" s="136"/>
    </row>
    <row r="37" spans="1:20" ht="12.75">
      <c r="A37" s="225" t="s">
        <v>322</v>
      </c>
      <c r="B37" s="252">
        <f t="shared" si="6"/>
        <v>0</v>
      </c>
      <c r="C37" s="252">
        <f t="shared" si="7"/>
        <v>1715</v>
      </c>
      <c r="D37" s="250"/>
      <c r="E37" s="250"/>
      <c r="F37" s="250"/>
      <c r="G37" s="250"/>
      <c r="H37" s="252"/>
      <c r="I37" s="252"/>
      <c r="J37" s="252">
        <f>REC!B12</f>
        <v>2</v>
      </c>
      <c r="K37" s="252">
        <f>REC!C12</f>
        <v>1023</v>
      </c>
      <c r="L37" s="252">
        <f>REC!D12</f>
        <v>101</v>
      </c>
      <c r="M37" s="252">
        <f>REC!E12</f>
        <v>589</v>
      </c>
      <c r="N37" s="252">
        <f>REC!F12</f>
        <v>4356</v>
      </c>
      <c r="O37" s="252">
        <f>REC!G12</f>
        <v>9056</v>
      </c>
      <c r="P37" s="252">
        <f>REC!H12</f>
        <v>6253</v>
      </c>
      <c r="Q37" s="252">
        <f>REC!I12</f>
        <v>8213</v>
      </c>
      <c r="R37" s="252">
        <f t="shared" si="8"/>
        <v>29593</v>
      </c>
      <c r="S37" s="136"/>
      <c r="T37" s="136"/>
    </row>
    <row r="38" spans="1:20" ht="12.75">
      <c r="A38" s="225" t="s">
        <v>323</v>
      </c>
      <c r="B38" s="252">
        <f t="shared" si="6"/>
        <v>0</v>
      </c>
      <c r="C38" s="252">
        <f t="shared" si="7"/>
        <v>1</v>
      </c>
      <c r="D38" s="250"/>
      <c r="E38" s="250"/>
      <c r="F38" s="250"/>
      <c r="G38" s="250"/>
      <c r="H38" s="252"/>
      <c r="I38" s="252"/>
      <c r="J38" s="252"/>
      <c r="K38" s="252"/>
      <c r="L38" s="252">
        <f>EDA!C14</f>
        <v>0</v>
      </c>
      <c r="M38" s="252">
        <f>EDA!D14</f>
        <v>1</v>
      </c>
      <c r="N38" s="252">
        <f>EDA!E14</f>
        <v>3</v>
      </c>
      <c r="O38" s="252">
        <f>EDA!F14</f>
        <v>6</v>
      </c>
      <c r="P38" s="252">
        <f>EDA!G14</f>
        <v>0</v>
      </c>
      <c r="Q38" s="252">
        <f>EDA!H14</f>
        <v>0</v>
      </c>
      <c r="R38" s="252">
        <f t="shared" si="8"/>
        <v>10</v>
      </c>
      <c r="S38" s="146"/>
      <c r="T38" s="136"/>
    </row>
    <row r="39" spans="1:20" ht="12.75">
      <c r="A39" s="181" t="s">
        <v>466</v>
      </c>
      <c r="B39" s="252">
        <f>SUM(D39:H39)</f>
        <v>0</v>
      </c>
      <c r="C39" s="252">
        <f>SUM(I39:M39)</f>
        <v>0</v>
      </c>
      <c r="D39" s="250"/>
      <c r="E39" s="250"/>
      <c r="F39" s="250"/>
      <c r="G39" s="250"/>
      <c r="H39" s="252"/>
      <c r="I39" s="252"/>
      <c r="J39" s="252"/>
      <c r="K39" s="252"/>
      <c r="L39" s="252"/>
      <c r="M39" s="252"/>
      <c r="N39" s="252">
        <f>EDA!E28</f>
        <v>0</v>
      </c>
      <c r="O39" s="252">
        <f>EDA!F28</f>
        <v>0</v>
      </c>
      <c r="P39" s="252">
        <f>EDA!G28</f>
        <v>2</v>
      </c>
      <c r="Q39" s="252">
        <f>EDA!H28</f>
        <v>1</v>
      </c>
      <c r="R39" s="252">
        <f t="shared" si="8"/>
        <v>3</v>
      </c>
      <c r="S39" s="146"/>
      <c r="T39" s="136"/>
    </row>
    <row r="40" spans="1:20" ht="12.75">
      <c r="A40" s="225" t="s">
        <v>324</v>
      </c>
      <c r="B40" s="252">
        <f t="shared" si="6"/>
        <v>0</v>
      </c>
      <c r="C40" s="252">
        <f t="shared" si="7"/>
        <v>0</v>
      </c>
      <c r="D40" s="250"/>
      <c r="E40" s="250"/>
      <c r="F40" s="250"/>
      <c r="G40" s="250"/>
      <c r="H40" s="252"/>
      <c r="I40" s="252"/>
      <c r="J40" s="252"/>
      <c r="K40" s="252"/>
      <c r="L40" s="252">
        <f>'Edison Inn CEF'!B13</f>
        <v>0</v>
      </c>
      <c r="M40" s="252">
        <f>'Edison Inn CEF'!C13</f>
        <v>0</v>
      </c>
      <c r="N40" s="252">
        <f>'Edison Inn CEF'!D13</f>
        <v>1</v>
      </c>
      <c r="O40" s="252">
        <f>'Edison Inn CEF'!E13</f>
        <v>6</v>
      </c>
      <c r="P40" s="252">
        <f>'Edison Inn CEF'!F13</f>
        <v>0</v>
      </c>
      <c r="Q40" s="252">
        <f>'Edison Inn CEF'!G13</f>
        <v>1</v>
      </c>
      <c r="R40" s="252">
        <f t="shared" si="8"/>
        <v>8</v>
      </c>
      <c r="S40" s="136"/>
      <c r="T40" s="136"/>
    </row>
    <row r="41" spans="1:20" ht="12.75">
      <c r="A41" s="14" t="s">
        <v>1</v>
      </c>
      <c r="B41" s="254">
        <f t="shared" si="6"/>
        <v>906</v>
      </c>
      <c r="C41" s="254">
        <f t="shared" si="7"/>
        <v>7013</v>
      </c>
      <c r="D41" s="250">
        <f>SUM(D33:D37)</f>
        <v>6</v>
      </c>
      <c r="E41" s="250">
        <f>SUM(E33:E37)</f>
        <v>46</v>
      </c>
      <c r="F41" s="250">
        <f>SUM(F33:F37)</f>
        <v>68</v>
      </c>
      <c r="G41" s="250">
        <f>SUM(G33:G37)</f>
        <v>284</v>
      </c>
      <c r="H41" s="254">
        <f>SUM(H33:H40)</f>
        <v>502</v>
      </c>
      <c r="I41" s="254">
        <f aca="true" t="shared" si="9" ref="I41:N41">SUM(I33:I40)</f>
        <v>1009</v>
      </c>
      <c r="J41" s="254">
        <f t="shared" si="9"/>
        <v>838</v>
      </c>
      <c r="K41" s="254">
        <f t="shared" si="9"/>
        <v>1852</v>
      </c>
      <c r="L41" s="254">
        <f t="shared" si="9"/>
        <v>875</v>
      </c>
      <c r="M41" s="254">
        <f t="shared" si="9"/>
        <v>2439</v>
      </c>
      <c r="N41" s="254">
        <f t="shared" si="9"/>
        <v>6127</v>
      </c>
      <c r="O41" s="254">
        <f>SUM(O33:O40)</f>
        <v>9434</v>
      </c>
      <c r="P41" s="254">
        <f>SUM(P33:P40)</f>
        <v>6262</v>
      </c>
      <c r="Q41" s="254">
        <f>SUM(Q33:Q40)</f>
        <v>8215</v>
      </c>
      <c r="R41" s="254">
        <f t="shared" si="8"/>
        <v>37957</v>
      </c>
      <c r="S41" s="155"/>
      <c r="T41" s="136"/>
    </row>
    <row r="42" spans="1:20" ht="12.75">
      <c r="A42" s="181" t="s">
        <v>325</v>
      </c>
      <c r="B42" s="252">
        <f t="shared" si="6"/>
        <v>0</v>
      </c>
      <c r="C42" s="252">
        <f t="shared" si="7"/>
        <v>59864</v>
      </c>
      <c r="D42" s="250"/>
      <c r="E42" s="250"/>
      <c r="F42" s="250"/>
      <c r="G42" s="250"/>
      <c r="H42" s="252">
        <f>'Clean Power Choice'!B9</f>
        <v>0</v>
      </c>
      <c r="I42" s="252">
        <f>'Clean Power Choice'!C9</f>
        <v>8867</v>
      </c>
      <c r="J42" s="252">
        <f>'Clean Power Choice'!D9</f>
        <v>13473</v>
      </c>
      <c r="K42" s="252">
        <f>'Clean Power Choice'!E9</f>
        <v>14456</v>
      </c>
      <c r="L42" s="252">
        <f>'Clean Power Choice'!F9</f>
        <v>14135</v>
      </c>
      <c r="M42" s="252">
        <f>'Clean Power Choice'!G9</f>
        <v>8933</v>
      </c>
      <c r="N42" s="252">
        <f>'Clean Power Choice'!H9</f>
        <v>10388</v>
      </c>
      <c r="O42" s="252">
        <f>'Clean Power Choice'!I9</f>
        <v>9566</v>
      </c>
      <c r="P42" s="252">
        <f>'Clean Power Choice'!J9</f>
        <v>0</v>
      </c>
      <c r="Q42" s="252">
        <f>'Clean Power Choice'!K9</f>
        <v>0</v>
      </c>
      <c r="R42" s="252"/>
      <c r="S42" s="155" t="s">
        <v>402</v>
      </c>
      <c r="T42" s="136"/>
    </row>
    <row r="43" spans="1:20" s="1" customFormat="1" ht="12.75">
      <c r="A43" s="14" t="s">
        <v>172</v>
      </c>
      <c r="B43" s="254">
        <f t="shared" si="6"/>
        <v>906</v>
      </c>
      <c r="C43" s="254">
        <f t="shared" si="7"/>
        <v>66877</v>
      </c>
      <c r="D43" s="263">
        <f>D42+D41</f>
        <v>6</v>
      </c>
      <c r="E43" s="263">
        <f aca="true" t="shared" si="10" ref="E43:K43">E42+E41</f>
        <v>46</v>
      </c>
      <c r="F43" s="263">
        <f t="shared" si="10"/>
        <v>68</v>
      </c>
      <c r="G43" s="263">
        <f t="shared" si="10"/>
        <v>284</v>
      </c>
      <c r="H43" s="254">
        <f t="shared" si="10"/>
        <v>502</v>
      </c>
      <c r="I43" s="254">
        <f t="shared" si="10"/>
        <v>9876</v>
      </c>
      <c r="J43" s="254">
        <f t="shared" si="10"/>
        <v>14311</v>
      </c>
      <c r="K43" s="254">
        <f t="shared" si="10"/>
        <v>16308</v>
      </c>
      <c r="L43" s="254">
        <f aca="true" t="shared" si="11" ref="L43:Q43">L42+L41</f>
        <v>15010</v>
      </c>
      <c r="M43" s="254">
        <f t="shared" si="11"/>
        <v>11372</v>
      </c>
      <c r="N43" s="254">
        <f t="shared" si="11"/>
        <v>16515</v>
      </c>
      <c r="O43" s="254">
        <f t="shared" si="11"/>
        <v>19000</v>
      </c>
      <c r="P43" s="254">
        <f t="shared" si="11"/>
        <v>6262</v>
      </c>
      <c r="Q43" s="254">
        <f t="shared" si="11"/>
        <v>8215</v>
      </c>
      <c r="R43" s="254">
        <f>R41+R42</f>
        <v>37957</v>
      </c>
      <c r="S43" s="155"/>
      <c r="T43" s="156"/>
    </row>
    <row r="44" spans="1:20" ht="12.75">
      <c r="A44" s="30"/>
      <c r="B44" s="58"/>
      <c r="C44" s="58"/>
      <c r="D44" s="35"/>
      <c r="E44" s="35"/>
      <c r="F44" s="35"/>
      <c r="G44" s="35"/>
      <c r="H44" s="139"/>
      <c r="I44" s="139"/>
      <c r="J44" s="58"/>
      <c r="K44" s="58"/>
      <c r="L44" s="58"/>
      <c r="M44" s="58"/>
      <c r="N44" s="58"/>
      <c r="O44" s="58"/>
      <c r="P44" s="58"/>
      <c r="Q44" s="58"/>
      <c r="R44" s="132"/>
      <c r="S44" s="138"/>
      <c r="T44" s="136"/>
    </row>
    <row r="45" spans="1:20" ht="12.75">
      <c r="A45" s="424" t="s">
        <v>171</v>
      </c>
      <c r="B45" s="254">
        <f>SUM(D45:H45)</f>
        <v>4748564</v>
      </c>
      <c r="C45" s="254">
        <f>SUM(I45:M45)</f>
        <v>18191815</v>
      </c>
      <c r="D45" s="263">
        <f>'Energy Star'!D45</f>
        <v>0</v>
      </c>
      <c r="E45" s="263">
        <f>'Energy Star'!E45</f>
        <v>0</v>
      </c>
      <c r="F45" s="263">
        <f>'Energy Star'!F45</f>
        <v>1496339</v>
      </c>
      <c r="G45" s="263">
        <f>'Energy Star'!G45</f>
        <v>2014151</v>
      </c>
      <c r="H45" s="254">
        <f>'Energy Star'!H45</f>
        <v>1238074</v>
      </c>
      <c r="I45" s="254">
        <f>'Energy Star'!I45</f>
        <v>0</v>
      </c>
      <c r="J45" s="254">
        <f>'Energy Star'!J45</f>
        <v>3162034</v>
      </c>
      <c r="K45" s="254">
        <f>'Energy Star'!K45</f>
        <v>4399641</v>
      </c>
      <c r="L45" s="254">
        <f>'Energy Star'!L45</f>
        <v>6643677</v>
      </c>
      <c r="M45" s="254">
        <f>'Energy Star'!M45</f>
        <v>3986463</v>
      </c>
      <c r="N45" s="254">
        <f>'Energy Star'!N45</f>
        <v>5269102</v>
      </c>
      <c r="O45" s="254">
        <f>'Energy Star'!O45</f>
        <v>7751359</v>
      </c>
      <c r="P45" s="254">
        <f>'Energy Star'!P45</f>
        <v>6444990</v>
      </c>
      <c r="Q45" s="254">
        <f>'Energy Star'!Q45</f>
        <v>4559013</v>
      </c>
      <c r="R45" s="254">
        <f>SUM(D45:Q45)</f>
        <v>46964843</v>
      </c>
      <c r="S45" s="138"/>
      <c r="T45" s="136"/>
    </row>
    <row r="46" spans="1:20" ht="12.75">
      <c r="A46" s="424" t="s">
        <v>122</v>
      </c>
      <c r="B46" s="254">
        <f>SUM(D46:H46)</f>
        <v>8553</v>
      </c>
      <c r="C46" s="254">
        <f>SUM(I46:M46)</f>
        <v>24220</v>
      </c>
      <c r="D46" s="263">
        <v>0</v>
      </c>
      <c r="E46" s="263">
        <v>0</v>
      </c>
      <c r="F46" s="263">
        <f>'Cool Cities'!B16</f>
        <v>2216</v>
      </c>
      <c r="G46" s="263">
        <f>'Cool Cities'!C16</f>
        <v>1487</v>
      </c>
      <c r="H46" s="254">
        <f>'Cool Cities'!D16</f>
        <v>4850</v>
      </c>
      <c r="I46" s="254">
        <f>'Cool Cities'!E16</f>
        <v>2004</v>
      </c>
      <c r="J46" s="254">
        <f>'Cool Cities'!F16</f>
        <v>1978</v>
      </c>
      <c r="K46" s="254">
        <f>'Cool Cities'!G16</f>
        <v>8982</v>
      </c>
      <c r="L46" s="254">
        <f>'Cool Cities'!H16</f>
        <v>11256</v>
      </c>
      <c r="M46" s="254"/>
      <c r="N46" s="478"/>
      <c r="O46" s="478"/>
      <c r="P46" s="478"/>
      <c r="Q46" s="478"/>
      <c r="R46" s="254">
        <f>SUM(D46:Q46)</f>
        <v>32773</v>
      </c>
      <c r="S46" s="138"/>
      <c r="T46" s="136"/>
    </row>
    <row r="47" spans="1:20" ht="12.75">
      <c r="A47" s="82"/>
      <c r="B47" s="58"/>
      <c r="C47" s="58"/>
      <c r="D47" s="44"/>
      <c r="E47" s="44"/>
      <c r="F47" s="44"/>
      <c r="G47" s="44"/>
      <c r="H47" s="58"/>
      <c r="I47" s="58"/>
      <c r="J47" s="58"/>
      <c r="K47" s="58"/>
      <c r="L47" s="58"/>
      <c r="M47" s="58"/>
      <c r="N47" s="58"/>
      <c r="O47" s="58"/>
      <c r="P47" s="58"/>
      <c r="Q47" s="58"/>
      <c r="R47" s="58"/>
      <c r="S47" s="138"/>
      <c r="T47" s="136"/>
    </row>
    <row r="48" spans="1:17" ht="15">
      <c r="A48" s="410" t="s">
        <v>19</v>
      </c>
      <c r="B48" s="3"/>
      <c r="C48" s="3"/>
      <c r="J48" s="3"/>
      <c r="K48" s="3"/>
      <c r="L48" s="3"/>
      <c r="M48" s="3"/>
      <c r="N48" s="3"/>
      <c r="O48" s="3"/>
      <c r="P48" s="3"/>
      <c r="Q48" s="3"/>
    </row>
    <row r="49" spans="1:17" ht="25.5">
      <c r="A49" s="1" t="s">
        <v>169</v>
      </c>
      <c r="B49" s="81" t="s">
        <v>289</v>
      </c>
      <c r="C49" s="81" t="str">
        <f>C6</f>
        <v>Summary 
2006 to 2010*</v>
      </c>
      <c r="D49" s="25">
        <v>2001</v>
      </c>
      <c r="E49" s="25">
        <v>2002</v>
      </c>
      <c r="F49" s="25">
        <v>2003</v>
      </c>
      <c r="G49" s="25">
        <v>2004</v>
      </c>
      <c r="H49" s="25">
        <v>2005</v>
      </c>
      <c r="I49" s="25">
        <v>2006</v>
      </c>
      <c r="J49" s="25">
        <v>2007</v>
      </c>
      <c r="K49" s="25">
        <v>2008</v>
      </c>
      <c r="L49" s="25">
        <v>2009</v>
      </c>
      <c r="M49" s="25">
        <v>2010</v>
      </c>
      <c r="N49" s="25">
        <v>2011</v>
      </c>
      <c r="O49" s="126" t="s">
        <v>346</v>
      </c>
      <c r="P49" s="126" t="s">
        <v>351</v>
      </c>
      <c r="Q49" s="126" t="str">
        <f>Q6</f>
        <v>FY2015</v>
      </c>
    </row>
    <row r="50" spans="1:18" ht="12.75">
      <c r="A50" s="207" t="s">
        <v>67</v>
      </c>
      <c r="B50" s="250">
        <f>SUM(D50:H50)</f>
        <v>42074</v>
      </c>
      <c r="C50" s="250">
        <f aca="true" t="shared" si="12" ref="C50:C55">SUM(I50:M50)</f>
        <v>35627</v>
      </c>
      <c r="D50" s="250">
        <f>RNC!D17</f>
        <v>4553</v>
      </c>
      <c r="E50" s="250">
        <f>RNC!E17</f>
        <v>10490</v>
      </c>
      <c r="F50" s="250">
        <f>RNC!F17</f>
        <v>12168</v>
      </c>
      <c r="G50" s="250">
        <f>RNC!G17</f>
        <v>6526</v>
      </c>
      <c r="H50" s="250">
        <f>RNC!H17</f>
        <v>8337</v>
      </c>
      <c r="I50" s="250">
        <f>RNC!I17</f>
        <v>6808</v>
      </c>
      <c r="J50" s="250">
        <f>RNC!J17</f>
        <v>7137</v>
      </c>
      <c r="K50" s="250">
        <f>RNC!K17</f>
        <v>10170</v>
      </c>
      <c r="L50" s="250">
        <f>RNC!L17</f>
        <v>7865</v>
      </c>
      <c r="M50" s="250">
        <f>RNC!M17</f>
        <v>3647</v>
      </c>
      <c r="N50" s="250">
        <f>RNC!N17</f>
        <v>1893</v>
      </c>
      <c r="O50" s="250">
        <f>RNC!O17</f>
        <v>7120</v>
      </c>
      <c r="P50" s="250">
        <f>RNC!P17</f>
        <v>3398</v>
      </c>
      <c r="Q50" s="250">
        <f>RNC!Q17</f>
        <v>2478</v>
      </c>
      <c r="R50" s="35"/>
    </row>
    <row r="51" spans="1:18" ht="12.75">
      <c r="A51" s="207" t="s">
        <v>74</v>
      </c>
      <c r="B51" s="250">
        <f>SUM(D51:H51)</f>
        <v>13837</v>
      </c>
      <c r="C51" s="250">
        <f t="shared" si="12"/>
        <v>8184</v>
      </c>
      <c r="D51" s="250">
        <f>'C&amp;I'!D42</f>
        <v>4205</v>
      </c>
      <c r="E51" s="250">
        <f>'C&amp;I'!E42</f>
        <v>2016</v>
      </c>
      <c r="F51" s="250">
        <f>'C&amp;I'!F42</f>
        <v>2603</v>
      </c>
      <c r="G51" s="250">
        <f>'C&amp;I'!G42</f>
        <v>2707</v>
      </c>
      <c r="H51" s="250">
        <f>'C&amp;I'!H42</f>
        <v>2306</v>
      </c>
      <c r="I51" s="250">
        <f>'C&amp;I'!I42</f>
        <v>1150</v>
      </c>
      <c r="J51" s="250">
        <f>'C&amp;I'!J42</f>
        <v>1026</v>
      </c>
      <c r="K51" s="250">
        <f>'C&amp;I'!K42</f>
        <v>1709</v>
      </c>
      <c r="L51" s="250">
        <f>'C&amp;I'!L42</f>
        <v>2306</v>
      </c>
      <c r="M51" s="250">
        <f>'C&amp;I'!M42</f>
        <v>1993</v>
      </c>
      <c r="N51" s="252">
        <f>'C&amp;I'!N43</f>
        <v>105</v>
      </c>
      <c r="O51" s="252">
        <f>'C&amp;I'!O43</f>
        <v>118</v>
      </c>
      <c r="P51" s="252">
        <f>'C&amp;I'!P43</f>
        <v>59</v>
      </c>
      <c r="Q51" s="252">
        <f>'C&amp;I'!Q43</f>
        <v>157</v>
      </c>
      <c r="R51" s="129"/>
    </row>
    <row r="52" spans="1:18" ht="12.75">
      <c r="A52" s="207" t="s">
        <v>81</v>
      </c>
      <c r="B52" s="250">
        <f>SUM(D52:H52)</f>
        <v>0</v>
      </c>
      <c r="C52" s="250">
        <f t="shared" si="12"/>
        <v>121</v>
      </c>
      <c r="D52" s="250"/>
      <c r="E52" s="250"/>
      <c r="F52" s="250"/>
      <c r="G52" s="250"/>
      <c r="H52" s="250"/>
      <c r="I52" s="250"/>
      <c r="J52" s="250"/>
      <c r="K52" s="250"/>
      <c r="L52" s="250"/>
      <c r="M52" s="250">
        <f>'P4P '!J19</f>
        <v>121</v>
      </c>
      <c r="N52" s="252">
        <f>'P4P '!K19</f>
        <v>0</v>
      </c>
      <c r="O52" s="252">
        <f>'P4P '!L19</f>
        <v>0</v>
      </c>
      <c r="P52" s="252">
        <f>'P4P '!M19</f>
        <v>0</v>
      </c>
      <c r="Q52" s="252">
        <f>'P4P '!N19</f>
        <v>0</v>
      </c>
      <c r="R52" s="35"/>
    </row>
    <row r="53" spans="1:18" ht="12.75">
      <c r="A53" s="207" t="s">
        <v>238</v>
      </c>
      <c r="B53" s="250">
        <f>SUM(D53:H53)</f>
        <v>0</v>
      </c>
      <c r="C53" s="250">
        <f t="shared" si="12"/>
        <v>0</v>
      </c>
      <c r="D53" s="250"/>
      <c r="E53" s="250"/>
      <c r="F53" s="250"/>
      <c r="G53" s="250"/>
      <c r="H53" s="250"/>
      <c r="I53" s="250"/>
      <c r="J53" s="250"/>
      <c r="K53" s="250"/>
      <c r="L53" s="250"/>
      <c r="M53" s="250">
        <f>'P4P NC'!B19</f>
        <v>0</v>
      </c>
      <c r="N53" s="252">
        <f>'P4P NC'!C19</f>
        <v>0</v>
      </c>
      <c r="O53" s="252">
        <f>'P4P NC'!D19</f>
        <v>0</v>
      </c>
      <c r="P53" s="252">
        <f>'P4P NC'!E19</f>
        <v>0</v>
      </c>
      <c r="Q53" s="252">
        <f>'P4P NC'!F19</f>
        <v>0</v>
      </c>
      <c r="R53" s="35"/>
    </row>
    <row r="54" spans="1:18" ht="12.75">
      <c r="A54" s="181" t="s">
        <v>341</v>
      </c>
      <c r="B54" s="250"/>
      <c r="C54" s="250">
        <f t="shared" si="12"/>
        <v>0</v>
      </c>
      <c r="D54" s="250"/>
      <c r="E54" s="250"/>
      <c r="F54" s="250"/>
      <c r="G54" s="250"/>
      <c r="H54" s="250"/>
      <c r="I54" s="250"/>
      <c r="J54" s="250"/>
      <c r="K54" s="250"/>
      <c r="L54" s="250"/>
      <c r="M54" s="250"/>
      <c r="N54" s="252"/>
      <c r="O54" s="252">
        <f>LEUP!C14</f>
        <v>20</v>
      </c>
      <c r="P54" s="252">
        <f>LEUP!D14</f>
        <v>11</v>
      </c>
      <c r="Q54" s="252">
        <f>LEUP!E14</f>
        <v>10</v>
      </c>
      <c r="R54" s="35"/>
    </row>
    <row r="55" spans="1:19" ht="12.75">
      <c r="A55" s="48" t="s">
        <v>1</v>
      </c>
      <c r="B55" s="263">
        <f>SUM(D55:H55)</f>
        <v>55911</v>
      </c>
      <c r="C55" s="263">
        <f t="shared" si="12"/>
        <v>43932</v>
      </c>
      <c r="D55" s="263">
        <f>SUM(D50:D53)</f>
        <v>8758</v>
      </c>
      <c r="E55" s="263">
        <f>SUM(E50:E53)</f>
        <v>12506</v>
      </c>
      <c r="F55" s="263">
        <f>SUM(F50:F53)</f>
        <v>14771</v>
      </c>
      <c r="G55" s="263">
        <f>SUM(G50:G53)</f>
        <v>9233</v>
      </c>
      <c r="H55" s="263">
        <f>SUM(H50:H53)</f>
        <v>10643</v>
      </c>
      <c r="I55" s="263">
        <f aca="true" t="shared" si="13" ref="I55:N55">SUM(I50:I54)</f>
        <v>7958</v>
      </c>
      <c r="J55" s="263">
        <f t="shared" si="13"/>
        <v>8163</v>
      </c>
      <c r="K55" s="263">
        <f t="shared" si="13"/>
        <v>11879</v>
      </c>
      <c r="L55" s="263">
        <f t="shared" si="13"/>
        <v>10171</v>
      </c>
      <c r="M55" s="263">
        <f t="shared" si="13"/>
        <v>5761</v>
      </c>
      <c r="N55" s="263">
        <f t="shared" si="13"/>
        <v>1998</v>
      </c>
      <c r="O55" s="263">
        <f>SUM(O50:O54)</f>
        <v>7258</v>
      </c>
      <c r="P55" s="263">
        <f>SUM(P50:P54)</f>
        <v>3468</v>
      </c>
      <c r="Q55" s="263">
        <f>SUM(Q50:Q54)</f>
        <v>2645</v>
      </c>
      <c r="R55" s="60"/>
      <c r="S55" s="23"/>
    </row>
    <row r="56" spans="1:18" ht="12.75">
      <c r="A56" s="34"/>
      <c r="B56" s="44"/>
      <c r="C56" s="44"/>
      <c r="D56" s="35"/>
      <c r="E56" s="35"/>
      <c r="F56" s="35"/>
      <c r="G56" s="35"/>
      <c r="H56" s="35"/>
      <c r="I56" s="35"/>
      <c r="J56" s="44"/>
      <c r="K56" s="44"/>
      <c r="L56" s="44"/>
      <c r="M56" s="44"/>
      <c r="N56" s="44"/>
      <c r="O56" s="44"/>
      <c r="P56" s="44"/>
      <c r="Q56" s="44"/>
      <c r="R56" s="35"/>
    </row>
    <row r="57" spans="1:18" ht="12.75">
      <c r="A57" s="14" t="s">
        <v>93</v>
      </c>
      <c r="B57" s="263">
        <f>SUM(D57:H57)</f>
        <v>2099</v>
      </c>
      <c r="C57" s="263">
        <f>SUM(I57:M57)</f>
        <v>3448</v>
      </c>
      <c r="D57" s="263">
        <f>CORE!C15</f>
        <v>45</v>
      </c>
      <c r="E57" s="263">
        <f>CORE!D15</f>
        <v>59</v>
      </c>
      <c r="F57" s="263">
        <f>CORE!E15</f>
        <v>226</v>
      </c>
      <c r="G57" s="263">
        <f>CORE!F15</f>
        <v>587</v>
      </c>
      <c r="H57" s="263">
        <f>CORE!G15</f>
        <v>1182</v>
      </c>
      <c r="I57" s="263">
        <f>CORE!H15</f>
        <v>565</v>
      </c>
      <c r="J57" s="263">
        <f>CORE!I15</f>
        <v>1070</v>
      </c>
      <c r="K57" s="263">
        <f>CORE!J15</f>
        <v>1047</v>
      </c>
      <c r="L57" s="263">
        <f>CORE!K15</f>
        <v>665</v>
      </c>
      <c r="M57" s="263">
        <f>CORE!L15</f>
        <v>101</v>
      </c>
      <c r="N57" s="263">
        <f>CORE!M15</f>
        <v>0</v>
      </c>
      <c r="O57" s="263">
        <f>CORE!N15</f>
        <v>0</v>
      </c>
      <c r="P57" s="263">
        <v>0</v>
      </c>
      <c r="Q57" s="263">
        <v>0</v>
      </c>
      <c r="R57" s="35"/>
    </row>
    <row r="58" spans="1:17" ht="12.75">
      <c r="A58" s="14" t="s">
        <v>170</v>
      </c>
      <c r="B58" s="245">
        <f>SUM(D58:H58)</f>
        <v>0</v>
      </c>
      <c r="C58" s="245">
        <f>SUM(I58:M58)</f>
        <v>39</v>
      </c>
      <c r="D58" s="245">
        <f>'CHP-FuelCell_Lrg-Small'!D20</f>
        <v>0</v>
      </c>
      <c r="E58" s="245">
        <f>'CHP-FuelCell_Lrg-Small'!E20</f>
        <v>0</v>
      </c>
      <c r="F58" s="245">
        <f>'CHP-FuelCell_Lrg-Small'!F20</f>
        <v>0</v>
      </c>
      <c r="G58" s="245">
        <f>'CHP-FuelCell_Lrg-Small'!G20</f>
        <v>0</v>
      </c>
      <c r="H58" s="245">
        <f>'CHP-FuelCell_Lrg-Small'!H20</f>
        <v>0</v>
      </c>
      <c r="I58" s="245">
        <f>'CHP-FuelCell_Lrg-Small'!I20</f>
        <v>0</v>
      </c>
      <c r="J58" s="245">
        <f>'CHP-FuelCell_Lrg-Small'!J20</f>
        <v>13</v>
      </c>
      <c r="K58" s="245">
        <f>'CHP-FuelCell_Lrg-Small'!K20</f>
        <v>15</v>
      </c>
      <c r="L58" s="245">
        <f>'CHP-FuelCell_Lrg-Small'!L20</f>
        <v>9</v>
      </c>
      <c r="M58" s="245">
        <f>'CHP-FuelCell_Lrg-Small'!M20</f>
        <v>2</v>
      </c>
      <c r="N58" s="245">
        <f>'CHP-FuelCell_Lrg-Small'!N20</f>
        <v>0</v>
      </c>
      <c r="O58" s="245">
        <f>'CHP-FuelCell_Lrg-Small'!O20</f>
        <v>18</v>
      </c>
      <c r="P58" s="245">
        <f>'CHP-FuelCell_Lrg-Small'!P20</f>
        <v>5</v>
      </c>
      <c r="Q58" s="245">
        <f>'CHP-FuelCell_Lrg-Small'!Q20</f>
        <v>11</v>
      </c>
    </row>
    <row r="59" ht="12.75">
      <c r="A59" s="2" t="s">
        <v>291</v>
      </c>
    </row>
    <row r="60" ht="12.75">
      <c r="A60" s="357" t="s">
        <v>350</v>
      </c>
    </row>
  </sheetData>
  <sheetProtection/>
  <mergeCells count="2">
    <mergeCell ref="A2:R2"/>
    <mergeCell ref="A1:R1"/>
  </mergeCells>
  <printOptions/>
  <pageMargins left="0.17" right="0.17" top="0.4" bottom="0.6" header="0.24" footer="0.24"/>
  <pageSetup fitToHeight="1" fitToWidth="1" horizontalDpi="600" verticalDpi="600" orientation="landscape" scale="71" r:id="rId1"/>
  <headerFooter scaleWithDoc="0" alignWithMargins="0">
    <oddFooter>&amp;L&amp;6&amp;A - Results by Program Year&amp;R&amp;6printed &amp;D at &amp;T</oddFooter>
  </headerFooter>
</worksheet>
</file>

<file path=xl/worksheets/sheet8.xml><?xml version="1.0" encoding="utf-8"?>
<worksheet xmlns="http://schemas.openxmlformats.org/spreadsheetml/2006/main" xmlns:r="http://schemas.openxmlformats.org/officeDocument/2006/relationships">
  <sheetPr>
    <tabColor theme="6"/>
    <outlinePr summaryRight="0"/>
    <pageSetUpPr fitToPage="1"/>
  </sheetPr>
  <dimension ref="A1:V52"/>
  <sheetViews>
    <sheetView showGridLines="0" zoomScalePageLayoutView="0" workbookViewId="0" topLeftCell="A1">
      <selection activeCell="A1" sqref="A1:R1"/>
    </sheetView>
  </sheetViews>
  <sheetFormatPr defaultColWidth="9.140625" defaultRowHeight="12.75" outlineLevelCol="1"/>
  <cols>
    <col min="1" max="1" width="32.8515625" style="0" customWidth="1"/>
    <col min="2" max="2" width="12.57421875" style="0" bestFit="1" customWidth="1"/>
    <col min="3" max="3" width="12.57421875" style="0" bestFit="1" customWidth="1" collapsed="1"/>
    <col min="4" max="8" width="9.57421875" style="0" hidden="1" customWidth="1" outlineLevel="1"/>
    <col min="9" max="13" width="9.7109375" style="0" hidden="1" customWidth="1" outlineLevel="1"/>
    <col min="14" max="17" width="9.7109375" style="136" customWidth="1"/>
    <col min="18" max="18" width="16.28125" style="0" bestFit="1" customWidth="1"/>
    <col min="19" max="19" width="10.140625" style="0" bestFit="1" customWidth="1"/>
  </cols>
  <sheetData>
    <row r="1" spans="1:18" ht="12.75">
      <c r="A1" s="483" t="s">
        <v>393</v>
      </c>
      <c r="B1" s="483"/>
      <c r="C1" s="483"/>
      <c r="D1" s="483"/>
      <c r="E1" s="483"/>
      <c r="F1" s="483"/>
      <c r="G1" s="483"/>
      <c r="H1" s="483"/>
      <c r="I1" s="483"/>
      <c r="J1" s="483"/>
      <c r="K1" s="483"/>
      <c r="L1" s="483"/>
      <c r="M1" s="483"/>
      <c r="N1" s="483"/>
      <c r="O1" s="483"/>
      <c r="P1" s="483"/>
      <c r="Q1" s="483"/>
      <c r="R1" s="483"/>
    </row>
    <row r="2" spans="1:18" ht="12.75">
      <c r="A2" s="483" t="s">
        <v>152</v>
      </c>
      <c r="B2" s="483"/>
      <c r="C2" s="483"/>
      <c r="D2" s="483"/>
      <c r="E2" s="483"/>
      <c r="F2" s="483"/>
      <c r="G2" s="483"/>
      <c r="H2" s="483"/>
      <c r="I2" s="483"/>
      <c r="J2" s="483"/>
      <c r="K2" s="483"/>
      <c r="L2" s="483"/>
      <c r="M2" s="483"/>
      <c r="N2" s="483"/>
      <c r="O2" s="483"/>
      <c r="P2" s="483"/>
      <c r="Q2" s="483"/>
      <c r="R2" s="483"/>
    </row>
    <row r="3" spans="1:18" ht="15">
      <c r="A3" s="410" t="s">
        <v>388</v>
      </c>
      <c r="B3" s="25"/>
      <c r="C3" s="25"/>
      <c r="D3" s="25"/>
      <c r="E3" s="25"/>
      <c r="F3" s="25"/>
      <c r="G3" s="25"/>
      <c r="H3" s="25"/>
      <c r="I3" s="25"/>
      <c r="J3" s="25"/>
      <c r="K3" s="25"/>
      <c r="L3" s="25"/>
      <c r="M3" s="25"/>
      <c r="N3" s="25"/>
      <c r="O3" s="25"/>
      <c r="P3" s="25"/>
      <c r="Q3" s="25"/>
      <c r="R3" s="25"/>
    </row>
    <row r="4" spans="1:18" ht="26.25">
      <c r="A4" s="410" t="s">
        <v>343</v>
      </c>
      <c r="B4" s="81" t="s">
        <v>289</v>
      </c>
      <c r="C4" s="81" t="s">
        <v>461</v>
      </c>
      <c r="D4" s="25">
        <v>2001</v>
      </c>
      <c r="E4" s="25">
        <v>2002</v>
      </c>
      <c r="F4" s="25">
        <v>2003</v>
      </c>
      <c r="G4" s="25">
        <v>2004</v>
      </c>
      <c r="H4" s="25">
        <v>2005</v>
      </c>
      <c r="I4" s="25">
        <v>2006</v>
      </c>
      <c r="J4" s="25">
        <v>2007</v>
      </c>
      <c r="K4" s="25">
        <v>2008</v>
      </c>
      <c r="L4" s="25">
        <v>2009</v>
      </c>
      <c r="M4" s="25">
        <v>2010</v>
      </c>
      <c r="N4" s="147">
        <v>2011</v>
      </c>
      <c r="O4" s="342" t="s">
        <v>346</v>
      </c>
      <c r="P4" s="342" t="s">
        <v>351</v>
      </c>
      <c r="Q4" s="342" t="s">
        <v>440</v>
      </c>
      <c r="R4" s="81" t="str">
        <f>"Total "&amp;CHAR(10)&amp;D4&amp;" ~ "&amp;Q4</f>
        <v>Total 
2001 ~ FY2015</v>
      </c>
    </row>
    <row r="5" spans="1:18" ht="12.75">
      <c r="A5" s="1" t="s">
        <v>429</v>
      </c>
      <c r="B5" s="26" t="s">
        <v>397</v>
      </c>
      <c r="C5" s="26" t="s">
        <v>397</v>
      </c>
      <c r="D5" s="26" t="s">
        <v>397</v>
      </c>
      <c r="E5" s="26" t="s">
        <v>397</v>
      </c>
      <c r="F5" s="26" t="s">
        <v>397</v>
      </c>
      <c r="G5" s="26" t="s">
        <v>397</v>
      </c>
      <c r="H5" s="26" t="s">
        <v>397</v>
      </c>
      <c r="I5" s="26" t="s">
        <v>397</v>
      </c>
      <c r="J5" s="26" t="s">
        <v>397</v>
      </c>
      <c r="K5" s="26" t="s">
        <v>397</v>
      </c>
      <c r="L5" s="26" t="s">
        <v>397</v>
      </c>
      <c r="M5" s="26" t="s">
        <v>397</v>
      </c>
      <c r="N5" s="148" t="s">
        <v>397</v>
      </c>
      <c r="O5" s="148" t="s">
        <v>397</v>
      </c>
      <c r="P5" s="148" t="s">
        <v>397</v>
      </c>
      <c r="Q5" s="148" t="s">
        <v>397</v>
      </c>
      <c r="R5" s="26" t="s">
        <v>397</v>
      </c>
    </row>
    <row r="6" spans="1:18" ht="12.75">
      <c r="A6" s="207" t="s">
        <v>66</v>
      </c>
      <c r="B6" s="250">
        <f>SUM(D6:H6)</f>
        <v>62634</v>
      </c>
      <c r="C6" s="250">
        <f>SUM(I6:M6)</f>
        <v>29656</v>
      </c>
      <c r="D6" s="250">
        <f>'Res HVAC'!D31</f>
        <v>10761</v>
      </c>
      <c r="E6" s="250">
        <f>'Res HVAC'!E31</f>
        <v>13825</v>
      </c>
      <c r="F6" s="250">
        <f>'Res HVAC'!F31</f>
        <v>12254</v>
      </c>
      <c r="G6" s="250">
        <f>'Res HVAC'!G31</f>
        <v>13065</v>
      </c>
      <c r="H6" s="250">
        <f>'Res HVAC'!H31</f>
        <v>12729</v>
      </c>
      <c r="I6" s="250">
        <f>'Res HVAC'!I31</f>
        <v>9651</v>
      </c>
      <c r="J6" s="250">
        <f>'Res HVAC'!J31</f>
        <v>10666</v>
      </c>
      <c r="K6" s="250">
        <f>'Res HVAC'!K31</f>
        <v>2710</v>
      </c>
      <c r="L6" s="250">
        <f>'Res HVAC'!L31</f>
        <v>1804</v>
      </c>
      <c r="M6" s="250">
        <f>'Res HVAC'!M31</f>
        <v>4825</v>
      </c>
      <c r="N6" s="252">
        <f>'Res HVAC'!N31</f>
        <v>6845</v>
      </c>
      <c r="O6" s="252">
        <f>'Res HVAC'!O31</f>
        <v>6715</v>
      </c>
      <c r="P6" s="252">
        <f>'Res HVAC'!P31</f>
        <v>1307</v>
      </c>
      <c r="Q6" s="252">
        <f>'Res HVAC'!Q31</f>
        <v>988.9172000000148</v>
      </c>
      <c r="R6" s="250">
        <f>SUM(D6:Q6)</f>
        <v>108145.91720000001</v>
      </c>
    </row>
    <row r="7" spans="1:18" ht="12.75">
      <c r="A7" s="207" t="s">
        <v>67</v>
      </c>
      <c r="B7" s="250">
        <f aca="true" t="shared" si="0" ref="B7:B39">SUM(D7:H7)</f>
        <v>48393</v>
      </c>
      <c r="C7" s="250">
        <f aca="true" t="shared" si="1" ref="C7:C20">SUM(I7:M7)</f>
        <v>46538</v>
      </c>
      <c r="D7" s="250">
        <f>RNC!D29</f>
        <v>11</v>
      </c>
      <c r="E7" s="250">
        <f>RNC!E29</f>
        <v>3415</v>
      </c>
      <c r="F7" s="250">
        <f>RNC!F29</f>
        <v>11201</v>
      </c>
      <c r="G7" s="250">
        <f>RNC!G29</f>
        <v>14869</v>
      </c>
      <c r="H7" s="250">
        <f>RNC!H29</f>
        <v>18897</v>
      </c>
      <c r="I7" s="250">
        <f>RNC!I29</f>
        <v>13285</v>
      </c>
      <c r="J7" s="250">
        <f>RNC!J29</f>
        <v>12497</v>
      </c>
      <c r="K7" s="250">
        <f>RNC!K29</f>
        <v>8179</v>
      </c>
      <c r="L7" s="250">
        <f>RNC!L29</f>
        <v>5736</v>
      </c>
      <c r="M7" s="250">
        <f>RNC!M29</f>
        <v>6841</v>
      </c>
      <c r="N7" s="252">
        <f>RNC!N29</f>
        <v>4616</v>
      </c>
      <c r="O7" s="252">
        <f>RNC!O29</f>
        <v>7298</v>
      </c>
      <c r="P7" s="252">
        <f>RNC!P29</f>
        <v>3836</v>
      </c>
      <c r="Q7" s="252">
        <f>RNC!Q29</f>
        <v>37378</v>
      </c>
      <c r="R7" s="250">
        <f>SUM(D7:Q7)</f>
        <v>148059</v>
      </c>
    </row>
    <row r="8" spans="1:18" ht="12.75">
      <c r="A8" s="207" t="s">
        <v>68</v>
      </c>
      <c r="B8" s="284"/>
      <c r="C8" s="284">
        <f t="shared" si="1"/>
        <v>0</v>
      </c>
      <c r="D8" s="262"/>
      <c r="E8" s="262"/>
      <c r="F8" s="262"/>
      <c r="G8" s="262"/>
      <c r="H8" s="262"/>
      <c r="I8" s="262"/>
      <c r="J8" s="262"/>
      <c r="K8" s="262"/>
      <c r="L8" s="262"/>
      <c r="M8" s="262"/>
      <c r="N8" s="324"/>
      <c r="O8" s="324"/>
      <c r="P8" s="324"/>
      <c r="Q8" s="324"/>
      <c r="R8" s="310"/>
    </row>
    <row r="9" spans="1:22" ht="12.75">
      <c r="A9" s="207" t="s">
        <v>69</v>
      </c>
      <c r="B9" s="250">
        <f t="shared" si="0"/>
        <v>4602</v>
      </c>
      <c r="C9" s="250">
        <f t="shared" si="1"/>
        <v>3290</v>
      </c>
      <c r="D9" s="250">
        <f>'Energy Star'!D75</f>
        <v>0</v>
      </c>
      <c r="E9" s="250">
        <f>'Energy Star'!E75</f>
        <v>0</v>
      </c>
      <c r="F9" s="250">
        <f>'Energy Star'!F75</f>
        <v>1499</v>
      </c>
      <c r="G9" s="250">
        <f>'Energy Star'!G75</f>
        <v>1441</v>
      </c>
      <c r="H9" s="250">
        <f>'Energy Star'!H75</f>
        <v>1662</v>
      </c>
      <c r="I9" s="250">
        <f>'Energy Star'!I75</f>
        <v>567</v>
      </c>
      <c r="J9" s="250">
        <f>'Energy Star'!J75</f>
        <v>803</v>
      </c>
      <c r="K9" s="250">
        <f>'Energy Star'!K75</f>
        <v>808</v>
      </c>
      <c r="L9" s="250">
        <f>'Energy Star'!L75</f>
        <v>444</v>
      </c>
      <c r="M9" s="250">
        <f>'Energy Star'!M75</f>
        <v>668</v>
      </c>
      <c r="N9" s="252">
        <f>'Energy Star'!N75</f>
        <v>13.6</v>
      </c>
      <c r="O9" s="316"/>
      <c r="P9" s="316"/>
      <c r="Q9" s="316"/>
      <c r="R9" s="250">
        <f aca="true" t="shared" si="2" ref="R9:R20">SUM(D9:Q9)</f>
        <v>7905.6</v>
      </c>
      <c r="S9" s="136"/>
      <c r="T9" s="136"/>
      <c r="U9" s="136"/>
      <c r="V9" s="136"/>
    </row>
    <row r="10" spans="1:19" ht="12.75">
      <c r="A10" s="207" t="s">
        <v>70</v>
      </c>
      <c r="B10" s="250">
        <f t="shared" si="0"/>
        <v>11898</v>
      </c>
      <c r="C10" s="250">
        <f t="shared" si="1"/>
        <v>51986.4</v>
      </c>
      <c r="D10" s="250">
        <f>'Energy Star'!D74</f>
        <v>0</v>
      </c>
      <c r="E10" s="250">
        <f>'Energy Star'!E74</f>
        <v>0</v>
      </c>
      <c r="F10" s="250">
        <f>'Energy Star'!F74</f>
        <v>3587</v>
      </c>
      <c r="G10" s="250">
        <f>'Energy Star'!G74</f>
        <v>5089</v>
      </c>
      <c r="H10" s="250">
        <f>'Energy Star'!H74</f>
        <v>3222</v>
      </c>
      <c r="I10" s="250">
        <f>'Energy Star'!I74</f>
        <v>0</v>
      </c>
      <c r="J10" s="250">
        <f>'Energy Star'!J74</f>
        <v>5792</v>
      </c>
      <c r="K10" s="250">
        <f>'Energy Star'!K74</f>
        <v>10752</v>
      </c>
      <c r="L10" s="250">
        <f>'Energy Star'!L74</f>
        <v>16252</v>
      </c>
      <c r="M10" s="250">
        <f>'Energy Star'!M74</f>
        <v>19190.4</v>
      </c>
      <c r="N10" s="252">
        <f>'Energy Star'!N74</f>
        <v>25435.7</v>
      </c>
      <c r="O10" s="252">
        <f>'Energy Star'!O74</f>
        <v>45156.8</v>
      </c>
      <c r="P10" s="252">
        <f>'Energy Star'!P74</f>
        <v>26146</v>
      </c>
      <c r="Q10" s="252">
        <f>'Energy Star'!Q74</f>
        <v>16577.20939999999</v>
      </c>
      <c r="R10" s="250">
        <f t="shared" si="2"/>
        <v>177200.10940000002</v>
      </c>
      <c r="S10" s="23"/>
    </row>
    <row r="11" spans="1:18" ht="12.75">
      <c r="A11" s="207" t="s">
        <v>71</v>
      </c>
      <c r="B11" s="250">
        <f t="shared" si="0"/>
        <v>0</v>
      </c>
      <c r="C11" s="250">
        <f t="shared" si="1"/>
        <v>0</v>
      </c>
      <c r="D11" s="250"/>
      <c r="E11" s="250"/>
      <c r="F11" s="250"/>
      <c r="G11" s="250"/>
      <c r="H11" s="250"/>
      <c r="I11" s="316"/>
      <c r="J11" s="316"/>
      <c r="K11" s="316"/>
      <c r="L11" s="316"/>
      <c r="M11" s="316"/>
      <c r="N11" s="316"/>
      <c r="O11" s="316"/>
      <c r="P11" s="316"/>
      <c r="Q11" s="316"/>
      <c r="R11" s="250">
        <f t="shared" si="2"/>
        <v>0</v>
      </c>
    </row>
    <row r="12" spans="1:18" ht="12.75">
      <c r="A12" s="181" t="s">
        <v>174</v>
      </c>
      <c r="B12" s="250">
        <f t="shared" si="0"/>
        <v>0</v>
      </c>
      <c r="C12" s="250">
        <f t="shared" si="1"/>
        <v>1305</v>
      </c>
      <c r="D12" s="250"/>
      <c r="E12" s="250"/>
      <c r="F12" s="250"/>
      <c r="G12" s="250"/>
      <c r="H12" s="250"/>
      <c r="I12" s="250"/>
      <c r="J12" s="250"/>
      <c r="K12" s="250">
        <f>'Energy Star'!K76</f>
        <v>377</v>
      </c>
      <c r="L12" s="250">
        <f>'Energy Star'!L76</f>
        <v>431</v>
      </c>
      <c r="M12" s="250">
        <f>'Energy Star'!M76</f>
        <v>497</v>
      </c>
      <c r="N12" s="252">
        <f>'Energy Star'!N76</f>
        <v>498.4</v>
      </c>
      <c r="O12" s="252">
        <f>'Energy Star'!O76</f>
        <v>1415.8</v>
      </c>
      <c r="P12" s="252">
        <f>'Energy Star'!P76</f>
        <v>418</v>
      </c>
      <c r="Q12" s="252">
        <f>'Energy Star'!Q76</f>
        <v>396.26999999995394</v>
      </c>
      <c r="R12" s="250">
        <f t="shared" si="2"/>
        <v>4033.469999999954</v>
      </c>
    </row>
    <row r="13" spans="1:18" ht="12.75">
      <c r="A13" s="229" t="s">
        <v>456</v>
      </c>
      <c r="B13" s="316"/>
      <c r="C13" s="316"/>
      <c r="D13" s="316"/>
      <c r="E13" s="316"/>
      <c r="F13" s="316"/>
      <c r="G13" s="316"/>
      <c r="H13" s="316"/>
      <c r="I13" s="316"/>
      <c r="J13" s="316"/>
      <c r="K13" s="316"/>
      <c r="L13" s="316"/>
      <c r="M13" s="316"/>
      <c r="N13" s="316"/>
      <c r="O13" s="316"/>
      <c r="P13" s="316"/>
      <c r="Q13" s="252">
        <f>'Energy Star'!Q77</f>
        <v>156.39999999999944</v>
      </c>
      <c r="R13" s="250">
        <f t="shared" si="2"/>
        <v>156.39999999999944</v>
      </c>
    </row>
    <row r="14" spans="1:18" ht="12.75">
      <c r="A14" s="181" t="s">
        <v>189</v>
      </c>
      <c r="B14" s="250">
        <f t="shared" si="0"/>
        <v>0</v>
      </c>
      <c r="C14" s="250">
        <f t="shared" si="1"/>
        <v>189</v>
      </c>
      <c r="D14" s="250"/>
      <c r="E14" s="250"/>
      <c r="F14" s="250"/>
      <c r="G14" s="250"/>
      <c r="H14" s="250"/>
      <c r="I14" s="250"/>
      <c r="J14" s="250"/>
      <c r="K14" s="250">
        <f>'Energy Star'!K78</f>
        <v>53</v>
      </c>
      <c r="L14" s="250">
        <f>'Energy Star'!L78</f>
        <v>79</v>
      </c>
      <c r="M14" s="250">
        <f>'Energy Star'!M78</f>
        <v>57</v>
      </c>
      <c r="N14" s="252">
        <f>'Energy Star'!N78</f>
        <v>3.9</v>
      </c>
      <c r="O14" s="316"/>
      <c r="P14" s="316"/>
      <c r="Q14" s="316"/>
      <c r="R14" s="250">
        <f t="shared" si="2"/>
        <v>192.9</v>
      </c>
    </row>
    <row r="15" spans="1:18" ht="12.75">
      <c r="A15" s="181" t="s">
        <v>198</v>
      </c>
      <c r="B15" s="250">
        <f t="shared" si="0"/>
        <v>0</v>
      </c>
      <c r="C15" s="250">
        <f t="shared" si="1"/>
        <v>5133.3</v>
      </c>
      <c r="D15" s="250"/>
      <c r="E15" s="250"/>
      <c r="F15" s="250"/>
      <c r="G15" s="250"/>
      <c r="H15" s="250"/>
      <c r="I15" s="250"/>
      <c r="J15" s="250"/>
      <c r="K15" s="250"/>
      <c r="L15" s="250">
        <f>'Energy Star'!L80</f>
        <v>1385</v>
      </c>
      <c r="M15" s="250">
        <f>'Energy Star'!M80</f>
        <v>3748.3</v>
      </c>
      <c r="N15" s="252">
        <f>'Energy Star'!N80</f>
        <v>3765.8</v>
      </c>
      <c r="O15" s="252">
        <f>'Energy Star'!O80</f>
        <v>2846.1</v>
      </c>
      <c r="P15" s="252">
        <f>'Energy Star'!P80</f>
        <v>2660</v>
      </c>
      <c r="Q15" s="252">
        <f>'Energy Star'!Q80</f>
        <v>2614.8299999996457</v>
      </c>
      <c r="R15" s="250">
        <f t="shared" si="2"/>
        <v>17020.029999999646</v>
      </c>
    </row>
    <row r="16" spans="1:18" ht="12.75">
      <c r="A16" s="181" t="s">
        <v>276</v>
      </c>
      <c r="B16" s="250">
        <f t="shared" si="0"/>
        <v>0</v>
      </c>
      <c r="C16" s="250">
        <f t="shared" si="1"/>
        <v>0</v>
      </c>
      <c r="D16" s="250"/>
      <c r="E16" s="250"/>
      <c r="F16" s="250"/>
      <c r="G16" s="250"/>
      <c r="H16" s="250"/>
      <c r="I16" s="250"/>
      <c r="J16" s="250"/>
      <c r="K16" s="250"/>
      <c r="L16" s="250"/>
      <c r="M16" s="250"/>
      <c r="N16" s="252">
        <f>'Energy Star'!N79</f>
        <v>60.2</v>
      </c>
      <c r="O16" s="252">
        <f>'Energy Star'!O79</f>
        <v>12.9</v>
      </c>
      <c r="P16" s="252">
        <f>'Energy Star'!P79</f>
        <v>83</v>
      </c>
      <c r="Q16" s="252">
        <f>'Energy Star'!Q79</f>
        <v>92.23500000000223</v>
      </c>
      <c r="R16" s="250">
        <f t="shared" si="2"/>
        <v>248.33500000000225</v>
      </c>
    </row>
    <row r="17" spans="1:18" ht="12.75">
      <c r="A17" s="181" t="s">
        <v>275</v>
      </c>
      <c r="B17" s="250">
        <f t="shared" si="0"/>
        <v>0</v>
      </c>
      <c r="C17" s="250">
        <f t="shared" si="1"/>
        <v>0</v>
      </c>
      <c r="D17" s="250"/>
      <c r="E17" s="250"/>
      <c r="F17" s="250"/>
      <c r="G17" s="250"/>
      <c r="H17" s="250"/>
      <c r="I17" s="250"/>
      <c r="J17" s="250"/>
      <c r="K17" s="250"/>
      <c r="L17" s="250"/>
      <c r="M17" s="250"/>
      <c r="N17" s="252">
        <f>'Energy Star'!N82</f>
        <v>32.1</v>
      </c>
      <c r="O17" s="316"/>
      <c r="P17" s="316"/>
      <c r="Q17" s="316"/>
      <c r="R17" s="250">
        <f t="shared" si="2"/>
        <v>32.1</v>
      </c>
    </row>
    <row r="18" spans="1:18" ht="12.75">
      <c r="A18" s="181" t="s">
        <v>252</v>
      </c>
      <c r="B18" s="250">
        <f t="shared" si="0"/>
        <v>0</v>
      </c>
      <c r="C18" s="250">
        <f t="shared" si="1"/>
        <v>526.9</v>
      </c>
      <c r="D18" s="250"/>
      <c r="E18" s="250"/>
      <c r="F18" s="250"/>
      <c r="G18" s="250"/>
      <c r="H18" s="250"/>
      <c r="I18" s="250"/>
      <c r="J18" s="250"/>
      <c r="K18" s="250"/>
      <c r="L18" s="250"/>
      <c r="M18" s="250">
        <f>'Energy Star'!M81</f>
        <v>526.9</v>
      </c>
      <c r="N18" s="252">
        <f>'Energy Star'!N81</f>
        <v>1005.1</v>
      </c>
      <c r="O18" s="252">
        <f>'Energy Star'!O81</f>
        <v>651.3</v>
      </c>
      <c r="P18" s="252">
        <f>'Energy Star'!P81</f>
        <v>342</v>
      </c>
      <c r="Q18" s="252">
        <f>'Energy Star'!Q81</f>
        <v>347.3541</v>
      </c>
      <c r="R18" s="250">
        <f t="shared" si="2"/>
        <v>2872.6541</v>
      </c>
    </row>
    <row r="19" spans="1:18" ht="12.75">
      <c r="A19" s="207" t="s">
        <v>158</v>
      </c>
      <c r="B19" s="250">
        <f t="shared" si="0"/>
        <v>0</v>
      </c>
      <c r="C19" s="250">
        <f t="shared" si="1"/>
        <v>1232</v>
      </c>
      <c r="D19" s="250"/>
      <c r="E19" s="250"/>
      <c r="F19" s="250"/>
      <c r="G19" s="250"/>
      <c r="H19" s="250"/>
      <c r="I19" s="250">
        <f>'Home Perf'!C31</f>
        <v>0</v>
      </c>
      <c r="J19" s="250">
        <f>'Home Perf'!D31</f>
        <v>0</v>
      </c>
      <c r="K19" s="250">
        <f>'Home Perf'!E31</f>
        <v>51</v>
      </c>
      <c r="L19" s="250">
        <f>'Home Perf'!F31</f>
        <v>366</v>
      </c>
      <c r="M19" s="250">
        <f>'Home Perf'!G31</f>
        <v>815</v>
      </c>
      <c r="N19" s="252">
        <f>'Home Perf'!H31</f>
        <v>894</v>
      </c>
      <c r="O19" s="252">
        <f>'Home Perf'!I31</f>
        <v>1081</v>
      </c>
      <c r="P19" s="252">
        <f>'Home Perf'!J31</f>
        <v>1551</v>
      </c>
      <c r="Q19" s="252">
        <f>'Home Perf'!K31</f>
        <v>1824.39</v>
      </c>
      <c r="R19" s="250">
        <f t="shared" si="2"/>
        <v>6582.39</v>
      </c>
    </row>
    <row r="20" spans="1:19" ht="12.75">
      <c r="A20" s="29" t="s">
        <v>73</v>
      </c>
      <c r="B20" s="263">
        <f t="shared" si="0"/>
        <v>127527</v>
      </c>
      <c r="C20" s="263">
        <f t="shared" si="1"/>
        <v>139856.6</v>
      </c>
      <c r="D20" s="263">
        <f>SUM(D6:D19)</f>
        <v>10772</v>
      </c>
      <c r="E20" s="263">
        <f aca="true" t="shared" si="3" ref="E20:M20">SUM(E6:E19)</f>
        <v>17240</v>
      </c>
      <c r="F20" s="263">
        <f t="shared" si="3"/>
        <v>28541</v>
      </c>
      <c r="G20" s="263">
        <f t="shared" si="3"/>
        <v>34464</v>
      </c>
      <c r="H20" s="263">
        <f t="shared" si="3"/>
        <v>36510</v>
      </c>
      <c r="I20" s="263">
        <f t="shared" si="3"/>
        <v>23503</v>
      </c>
      <c r="J20" s="263">
        <f t="shared" si="3"/>
        <v>29758</v>
      </c>
      <c r="K20" s="263">
        <f t="shared" si="3"/>
        <v>22930</v>
      </c>
      <c r="L20" s="263">
        <f t="shared" si="3"/>
        <v>26497</v>
      </c>
      <c r="M20" s="263">
        <f t="shared" si="3"/>
        <v>37168.600000000006</v>
      </c>
      <c r="N20" s="254">
        <f>SUM(N6:N19)</f>
        <v>43169.8</v>
      </c>
      <c r="O20" s="254">
        <f>SUM(O6:O19)</f>
        <v>65176.90000000001</v>
      </c>
      <c r="P20" s="254">
        <f>SUM(P6:P19)</f>
        <v>36343</v>
      </c>
      <c r="Q20" s="254">
        <f>SUM(Q6:Q19)</f>
        <v>60375.6056999996</v>
      </c>
      <c r="R20" s="263">
        <f t="shared" si="2"/>
        <v>472448.9056999996</v>
      </c>
      <c r="S20" s="23"/>
    </row>
    <row r="21" spans="1:19" ht="12.75">
      <c r="A21" s="34"/>
      <c r="B21" s="206"/>
      <c r="C21" s="206"/>
      <c r="D21" s="68"/>
      <c r="E21" s="68"/>
      <c r="F21" s="68"/>
      <c r="G21" s="68"/>
      <c r="H21" s="68"/>
      <c r="I21" s="68"/>
      <c r="J21" s="68"/>
      <c r="K21" s="68"/>
      <c r="L21" s="68"/>
      <c r="M21" s="68"/>
      <c r="N21" s="69"/>
      <c r="O21" s="69"/>
      <c r="P21" s="69"/>
      <c r="Q21" s="69"/>
      <c r="R21" s="68"/>
      <c r="S21" s="23"/>
    </row>
    <row r="22" spans="1:19" ht="12.75">
      <c r="A22" s="417" t="s">
        <v>2</v>
      </c>
      <c r="B22" s="263">
        <f t="shared" si="0"/>
        <v>3916</v>
      </c>
      <c r="C22" s="263">
        <f>SUM(I22:M22)</f>
        <v>6521</v>
      </c>
      <c r="D22" s="263">
        <f>'Low-income'!D37</f>
        <v>1032</v>
      </c>
      <c r="E22" s="263">
        <f>'Low-income'!E37</f>
        <v>627</v>
      </c>
      <c r="F22" s="263">
        <f>'Low-income'!F37</f>
        <v>868</v>
      </c>
      <c r="G22" s="263">
        <f>'Low-income'!G37</f>
        <v>820</v>
      </c>
      <c r="H22" s="263">
        <f>'Low-income'!H37</f>
        <v>569</v>
      </c>
      <c r="I22" s="263">
        <f>'Low-income'!I37</f>
        <v>1645</v>
      </c>
      <c r="J22" s="263">
        <f>'Low-income'!J37</f>
        <v>1600</v>
      </c>
      <c r="K22" s="263">
        <f>'Low-income'!K37</f>
        <v>1268</v>
      </c>
      <c r="L22" s="263">
        <f>'Low-income'!L37</f>
        <v>1071</v>
      </c>
      <c r="M22" s="263">
        <f>'Low-income'!M37</f>
        <v>937</v>
      </c>
      <c r="N22" s="254">
        <f>'Low-income'!N37</f>
        <v>1072</v>
      </c>
      <c r="O22" s="254">
        <f>'Low-income'!O37</f>
        <v>1368</v>
      </c>
      <c r="P22" s="254">
        <f>'Low-income'!P37</f>
        <v>601</v>
      </c>
      <c r="Q22" s="254">
        <f>'Low-income'!Q37</f>
        <v>545.18</v>
      </c>
      <c r="R22" s="263">
        <f>SUM(D22:Q22)</f>
        <v>14023.18</v>
      </c>
      <c r="S22" s="23"/>
    </row>
    <row r="23" spans="1:19" ht="12.75">
      <c r="A23" s="34"/>
      <c r="B23" s="206"/>
      <c r="C23" s="206"/>
      <c r="D23" s="68"/>
      <c r="E23" s="68"/>
      <c r="F23" s="68"/>
      <c r="G23" s="68"/>
      <c r="H23" s="68"/>
      <c r="I23" s="68"/>
      <c r="J23" s="68"/>
      <c r="K23" s="68"/>
      <c r="L23" s="68"/>
      <c r="M23" s="68"/>
      <c r="N23" s="69"/>
      <c r="O23" s="69"/>
      <c r="P23" s="69"/>
      <c r="Q23" s="69"/>
      <c r="R23" s="68"/>
      <c r="S23" s="23"/>
    </row>
    <row r="24" spans="1:19" ht="12.75">
      <c r="A24" s="227" t="s">
        <v>49</v>
      </c>
      <c r="B24" s="250">
        <f t="shared" si="0"/>
        <v>0</v>
      </c>
      <c r="C24" s="250">
        <f aca="true" t="shared" si="4" ref="C24:C36">SUM(I24:M24)</f>
        <v>1915</v>
      </c>
      <c r="D24" s="250"/>
      <c r="E24" s="250"/>
      <c r="F24" s="250"/>
      <c r="G24" s="250"/>
      <c r="H24" s="250"/>
      <c r="I24" s="250"/>
      <c r="J24" s="250"/>
      <c r="K24" s="250"/>
      <c r="L24" s="250"/>
      <c r="M24" s="250">
        <f>'C&amp;I'!M62</f>
        <v>1915</v>
      </c>
      <c r="N24" s="252">
        <f>'C&amp;I'!N62</f>
        <v>4650</v>
      </c>
      <c r="O24" s="252">
        <f>'C&amp;I'!O62</f>
        <v>1736</v>
      </c>
      <c r="P24" s="252">
        <f>'C&amp;I'!P62</f>
        <v>678</v>
      </c>
      <c r="Q24" s="252">
        <f>'C&amp;I'!Q62</f>
        <v>1101</v>
      </c>
      <c r="R24" s="250">
        <f aca="true" t="shared" si="5" ref="R24:R30">SUM(D24:Q24)</f>
        <v>10080</v>
      </c>
      <c r="S24" s="23"/>
    </row>
    <row r="25" spans="1:19" ht="12.75">
      <c r="A25" s="181" t="s">
        <v>52</v>
      </c>
      <c r="B25" s="250">
        <f t="shared" si="0"/>
        <v>0</v>
      </c>
      <c r="C25" s="250">
        <f t="shared" si="4"/>
        <v>20887</v>
      </c>
      <c r="D25" s="250"/>
      <c r="E25" s="250"/>
      <c r="F25" s="250"/>
      <c r="G25" s="250"/>
      <c r="H25" s="250"/>
      <c r="I25" s="250"/>
      <c r="J25" s="250"/>
      <c r="K25" s="250"/>
      <c r="L25" s="250"/>
      <c r="M25" s="250">
        <f>'C&amp;I'!M63</f>
        <v>20887</v>
      </c>
      <c r="N25" s="252">
        <f>'C&amp;I'!N63</f>
        <v>69567</v>
      </c>
      <c r="O25" s="252">
        <f>'C&amp;I'!O63</f>
        <v>28158</v>
      </c>
      <c r="P25" s="252">
        <f>'C&amp;I'!P63</f>
        <v>20492</v>
      </c>
      <c r="Q25" s="252">
        <f>'C&amp;I'!Q63</f>
        <v>30191</v>
      </c>
      <c r="R25" s="250">
        <f t="shared" si="5"/>
        <v>169295</v>
      </c>
      <c r="S25" s="23"/>
    </row>
    <row r="26" spans="1:19" ht="12.75">
      <c r="A26" s="181" t="s">
        <v>316</v>
      </c>
      <c r="B26" s="250">
        <f t="shared" si="0"/>
        <v>0</v>
      </c>
      <c r="C26" s="250">
        <f t="shared" si="4"/>
        <v>0</v>
      </c>
      <c r="D26" s="250"/>
      <c r="E26" s="250"/>
      <c r="F26" s="250"/>
      <c r="G26" s="250"/>
      <c r="H26" s="250"/>
      <c r="I26" s="316"/>
      <c r="J26" s="316"/>
      <c r="K26" s="316"/>
      <c r="L26" s="316"/>
      <c r="M26" s="316"/>
      <c r="N26" s="316"/>
      <c r="O26" s="316"/>
      <c r="P26" s="316"/>
      <c r="Q26" s="316"/>
      <c r="R26" s="250">
        <f t="shared" si="5"/>
        <v>0</v>
      </c>
      <c r="S26" s="23"/>
    </row>
    <row r="27" spans="1:19" ht="12.75">
      <c r="A27" s="207" t="s">
        <v>81</v>
      </c>
      <c r="B27" s="250">
        <f t="shared" si="0"/>
        <v>0</v>
      </c>
      <c r="C27" s="250">
        <f t="shared" si="4"/>
        <v>62</v>
      </c>
      <c r="D27" s="250"/>
      <c r="E27" s="250"/>
      <c r="F27" s="250"/>
      <c r="G27" s="250"/>
      <c r="H27" s="250"/>
      <c r="I27" s="250"/>
      <c r="J27" s="250"/>
      <c r="K27" s="250"/>
      <c r="L27" s="250"/>
      <c r="M27" s="250">
        <f>'P4P '!J37</f>
        <v>62</v>
      </c>
      <c r="N27" s="252">
        <f>'P4P '!K37</f>
        <v>2514</v>
      </c>
      <c r="O27" s="252">
        <f>'P4P '!L35</f>
        <v>7626</v>
      </c>
      <c r="P27" s="252">
        <f>'P4P '!M35</f>
        <v>5847</v>
      </c>
      <c r="Q27" s="252">
        <f>'P4P '!N35</f>
        <v>5613</v>
      </c>
      <c r="R27" s="250">
        <f t="shared" si="5"/>
        <v>21662</v>
      </c>
      <c r="S27" s="23"/>
    </row>
    <row r="28" spans="1:19" ht="12.75">
      <c r="A28" s="181" t="s">
        <v>340</v>
      </c>
      <c r="B28" s="250">
        <f t="shared" si="0"/>
        <v>0</v>
      </c>
      <c r="C28" s="250">
        <f t="shared" si="4"/>
        <v>0</v>
      </c>
      <c r="D28" s="250"/>
      <c r="E28" s="250"/>
      <c r="F28" s="250"/>
      <c r="G28" s="250"/>
      <c r="H28" s="250"/>
      <c r="I28" s="250"/>
      <c r="J28" s="250"/>
      <c r="K28" s="250"/>
      <c r="L28" s="250"/>
      <c r="M28" s="250"/>
      <c r="N28" s="252"/>
      <c r="O28" s="252">
        <f>'P4P '!L36</f>
        <v>0</v>
      </c>
      <c r="P28" s="252">
        <f>'P4P '!M36</f>
        <v>0</v>
      </c>
      <c r="Q28" s="252">
        <f>'P4P '!N36</f>
        <v>0</v>
      </c>
      <c r="R28" s="250">
        <f t="shared" si="5"/>
        <v>0</v>
      </c>
      <c r="S28" s="23"/>
    </row>
    <row r="29" spans="1:19" ht="12.75">
      <c r="A29" s="207" t="s">
        <v>238</v>
      </c>
      <c r="B29" s="250">
        <f t="shared" si="0"/>
        <v>0</v>
      </c>
      <c r="C29" s="250">
        <f t="shared" si="4"/>
        <v>0</v>
      </c>
      <c r="D29" s="250"/>
      <c r="E29" s="250"/>
      <c r="F29" s="250"/>
      <c r="G29" s="250"/>
      <c r="H29" s="250"/>
      <c r="I29" s="250"/>
      <c r="J29" s="250"/>
      <c r="K29" s="250"/>
      <c r="L29" s="250"/>
      <c r="M29" s="250">
        <f>'P4P NC'!B30</f>
        <v>0</v>
      </c>
      <c r="N29" s="252">
        <f>'P4P NC'!C30</f>
        <v>0</v>
      </c>
      <c r="O29" s="252">
        <f>'P4P NC'!D30</f>
        <v>0</v>
      </c>
      <c r="P29" s="252">
        <f>'P4P NC'!E30</f>
        <v>990</v>
      </c>
      <c r="Q29" s="252">
        <f>'P4P NC'!F30</f>
        <v>3103</v>
      </c>
      <c r="R29" s="250">
        <f t="shared" si="5"/>
        <v>4093</v>
      </c>
      <c r="S29" s="23"/>
    </row>
    <row r="30" spans="1:19" ht="12.75">
      <c r="A30" s="207" t="s">
        <v>183</v>
      </c>
      <c r="B30" s="250">
        <f t="shared" si="0"/>
        <v>0</v>
      </c>
      <c r="C30" s="250">
        <f t="shared" si="4"/>
        <v>1276</v>
      </c>
      <c r="D30" s="250"/>
      <c r="E30" s="250"/>
      <c r="F30" s="250"/>
      <c r="G30" s="250"/>
      <c r="H30" s="250"/>
      <c r="I30" s="250"/>
      <c r="J30" s="250"/>
      <c r="K30" s="250"/>
      <c r="L30" s="250"/>
      <c r="M30" s="250">
        <f>'Direct Install'!D26</f>
        <v>1276</v>
      </c>
      <c r="N30" s="252">
        <f>'Direct Install'!E26</f>
        <v>8693</v>
      </c>
      <c r="O30" s="252">
        <f>'Direct Install'!F26</f>
        <v>14288</v>
      </c>
      <c r="P30" s="252">
        <f>'Direct Install'!G26</f>
        <v>9390</v>
      </c>
      <c r="Q30" s="252">
        <f>'Direct Install'!H26</f>
        <v>12186</v>
      </c>
      <c r="R30" s="250">
        <f t="shared" si="5"/>
        <v>45833</v>
      </c>
      <c r="S30" s="23"/>
    </row>
    <row r="31" spans="1:19" ht="12.75">
      <c r="A31" s="181" t="s">
        <v>341</v>
      </c>
      <c r="B31" s="250">
        <f t="shared" si="0"/>
        <v>0</v>
      </c>
      <c r="C31" s="250">
        <f t="shared" si="4"/>
        <v>0</v>
      </c>
      <c r="D31" s="250"/>
      <c r="E31" s="250"/>
      <c r="F31" s="250"/>
      <c r="G31" s="250"/>
      <c r="H31" s="250"/>
      <c r="I31" s="250"/>
      <c r="J31" s="250"/>
      <c r="K31" s="250"/>
      <c r="L31" s="250"/>
      <c r="M31" s="250"/>
      <c r="N31" s="252"/>
      <c r="O31" s="252">
        <f>LEUP!C26</f>
        <v>440</v>
      </c>
      <c r="P31" s="252">
        <f>LEUP!D26</f>
        <v>5904</v>
      </c>
      <c r="Q31" s="252">
        <f>LEUP!E26</f>
        <v>872</v>
      </c>
      <c r="R31" s="250"/>
      <c r="S31" s="23"/>
    </row>
    <row r="32" spans="1:18" ht="12.75">
      <c r="A32" s="226" t="s">
        <v>313</v>
      </c>
      <c r="B32" s="263">
        <f t="shared" si="0"/>
        <v>151121</v>
      </c>
      <c r="C32" s="263">
        <f>SUM(I32:M32)</f>
        <v>103162</v>
      </c>
      <c r="D32" s="263">
        <f>'C&amp;I'!D65</f>
        <v>6364</v>
      </c>
      <c r="E32" s="263">
        <f>'C&amp;I'!E65</f>
        <v>26750</v>
      </c>
      <c r="F32" s="263">
        <f>'C&amp;I'!F65</f>
        <v>38155</v>
      </c>
      <c r="G32" s="263">
        <f>'C&amp;I'!G65</f>
        <v>43470</v>
      </c>
      <c r="H32" s="263">
        <f>'C&amp;I'!H65</f>
        <v>36382</v>
      </c>
      <c r="I32" s="263">
        <f>'C&amp;I'!I65</f>
        <v>26301</v>
      </c>
      <c r="J32" s="263">
        <f>'C&amp;I'!J65</f>
        <v>17502</v>
      </c>
      <c r="K32" s="263">
        <f>'C&amp;I'!K65</f>
        <v>16438</v>
      </c>
      <c r="L32" s="263">
        <f>'C&amp;I'!L65</f>
        <v>18781</v>
      </c>
      <c r="M32" s="263">
        <f>SUM(M24:M31)</f>
        <v>24140</v>
      </c>
      <c r="N32" s="263">
        <f>SUM(N24:N31)</f>
        <v>85424</v>
      </c>
      <c r="O32" s="263">
        <f>SUM(O24:O31)</f>
        <v>52248</v>
      </c>
      <c r="P32" s="263">
        <f>SUM(P24:P31)</f>
        <v>43301</v>
      </c>
      <c r="Q32" s="263">
        <f>SUM(Q24:Q31)</f>
        <v>53066</v>
      </c>
      <c r="R32" s="263">
        <f>SUM(D32:Q32)</f>
        <v>488322</v>
      </c>
    </row>
    <row r="33" spans="1:18" ht="12.75">
      <c r="A33" s="181" t="s">
        <v>317</v>
      </c>
      <c r="B33" s="250">
        <f t="shared" si="0"/>
        <v>0</v>
      </c>
      <c r="C33" s="250">
        <f t="shared" si="4"/>
        <v>305</v>
      </c>
      <c r="D33" s="250"/>
      <c r="E33" s="250"/>
      <c r="F33" s="250"/>
      <c r="G33" s="250"/>
      <c r="H33" s="250"/>
      <c r="I33" s="250"/>
      <c r="J33" s="250"/>
      <c r="K33" s="250">
        <f>'CHP-FuelCell_Lrg-Small'!K38</f>
        <v>30</v>
      </c>
      <c r="L33" s="250">
        <f>'CHP-FuelCell_Lrg-Small'!L38</f>
        <v>0</v>
      </c>
      <c r="M33" s="250">
        <f>'CHP-FuelCell_Lrg-Small'!M38</f>
        <v>275</v>
      </c>
      <c r="N33" s="252">
        <f>'CHP-FuelCell_Lrg-Small'!N38</f>
        <v>0</v>
      </c>
      <c r="O33" s="252">
        <f>'CHP-FuelCell_Lrg-Small'!O38</f>
        <v>0</v>
      </c>
      <c r="P33" s="252">
        <f>'CHP-FuelCell_Lrg-Small'!P38</f>
        <v>0</v>
      </c>
      <c r="Q33" s="252">
        <f>'CHP-FuelCell_Lrg-Small'!Q38</f>
        <v>0</v>
      </c>
      <c r="R33" s="250">
        <f>SUM(D33:Q33)</f>
        <v>305</v>
      </c>
    </row>
    <row r="34" spans="1:18" ht="12.75">
      <c r="A34" s="207" t="s">
        <v>122</v>
      </c>
      <c r="B34" s="250">
        <f t="shared" si="0"/>
        <v>0</v>
      </c>
      <c r="C34" s="250">
        <f t="shared" si="4"/>
        <v>0</v>
      </c>
      <c r="D34" s="250"/>
      <c r="E34" s="250"/>
      <c r="F34" s="250"/>
      <c r="G34" s="250"/>
      <c r="H34" s="250"/>
      <c r="I34" s="316"/>
      <c r="J34" s="316"/>
      <c r="K34" s="316"/>
      <c r="L34" s="316"/>
      <c r="M34" s="316"/>
      <c r="N34" s="316"/>
      <c r="O34" s="316"/>
      <c r="P34" s="316"/>
      <c r="Q34" s="316"/>
      <c r="R34" s="250">
        <f>SUM(D34:Q34)</f>
        <v>0</v>
      </c>
    </row>
    <row r="35" spans="1:18" ht="12.75">
      <c r="A35" s="226" t="s">
        <v>126</v>
      </c>
      <c r="B35" s="263">
        <f t="shared" si="0"/>
        <v>151121</v>
      </c>
      <c r="C35" s="263">
        <f t="shared" si="4"/>
        <v>103467</v>
      </c>
      <c r="D35" s="263">
        <f>D34+D32</f>
        <v>6364</v>
      </c>
      <c r="E35" s="263">
        <f>E34+E32</f>
        <v>26750</v>
      </c>
      <c r="F35" s="263">
        <f>F34+F32</f>
        <v>38155</v>
      </c>
      <c r="G35" s="263">
        <f>G34+G32</f>
        <v>43470</v>
      </c>
      <c r="H35" s="263">
        <f>H34+H32</f>
        <v>36382</v>
      </c>
      <c r="I35" s="263">
        <f aca="true" t="shared" si="6" ref="I35:O35">SUM(I32:I34)</f>
        <v>26301</v>
      </c>
      <c r="J35" s="263">
        <f t="shared" si="6"/>
        <v>17502</v>
      </c>
      <c r="K35" s="263">
        <f t="shared" si="6"/>
        <v>16468</v>
      </c>
      <c r="L35" s="263">
        <f t="shared" si="6"/>
        <v>18781</v>
      </c>
      <c r="M35" s="263">
        <f t="shared" si="6"/>
        <v>24415</v>
      </c>
      <c r="N35" s="254">
        <f t="shared" si="6"/>
        <v>85424</v>
      </c>
      <c r="O35" s="254">
        <f t="shared" si="6"/>
        <v>52248</v>
      </c>
      <c r="P35" s="254">
        <f>SUM(P32:P34)</f>
        <v>43301</v>
      </c>
      <c r="Q35" s="254">
        <f>SUM(Q32:Q34)</f>
        <v>53066</v>
      </c>
      <c r="R35" s="263">
        <f>SUM(D35:Q35)</f>
        <v>488627</v>
      </c>
    </row>
    <row r="36" spans="1:19" ht="12.75">
      <c r="A36" s="29" t="s">
        <v>404</v>
      </c>
      <c r="B36" s="263">
        <f t="shared" si="0"/>
        <v>282564</v>
      </c>
      <c r="C36" s="263">
        <f t="shared" si="4"/>
        <v>249844.6</v>
      </c>
      <c r="D36" s="263">
        <f>D20+D35+D22</f>
        <v>18168</v>
      </c>
      <c r="E36" s="263">
        <f aca="true" t="shared" si="7" ref="E36:L36">E20+E35+E22</f>
        <v>44617</v>
      </c>
      <c r="F36" s="263">
        <f t="shared" si="7"/>
        <v>67564</v>
      </c>
      <c r="G36" s="263">
        <f t="shared" si="7"/>
        <v>78754</v>
      </c>
      <c r="H36" s="263">
        <f t="shared" si="7"/>
        <v>73461</v>
      </c>
      <c r="I36" s="263">
        <f t="shared" si="7"/>
        <v>51449</v>
      </c>
      <c r="J36" s="263">
        <f t="shared" si="7"/>
        <v>48860</v>
      </c>
      <c r="K36" s="263">
        <f t="shared" si="7"/>
        <v>40666</v>
      </c>
      <c r="L36" s="263">
        <f t="shared" si="7"/>
        <v>46349</v>
      </c>
      <c r="M36" s="263">
        <f>M20+M35+M22</f>
        <v>62520.600000000006</v>
      </c>
      <c r="N36" s="254">
        <f>N20+N35+N22</f>
        <v>129665.8</v>
      </c>
      <c r="O36" s="254">
        <f>O20+O35+O22</f>
        <v>118792.90000000001</v>
      </c>
      <c r="P36" s="254">
        <f>P20+P35+P22</f>
        <v>80245</v>
      </c>
      <c r="Q36" s="254">
        <f>Q20+Q35+Q22</f>
        <v>113986.7856999996</v>
      </c>
      <c r="R36" s="263">
        <f>SUM(D36:Q36)</f>
        <v>975099.0856999997</v>
      </c>
      <c r="S36" s="23"/>
    </row>
    <row r="37" spans="1:19" ht="12.75">
      <c r="A37" s="420"/>
      <c r="B37" s="264"/>
      <c r="C37" s="264"/>
      <c r="D37" s="264"/>
      <c r="E37" s="264"/>
      <c r="F37" s="264"/>
      <c r="G37" s="264"/>
      <c r="H37" s="264"/>
      <c r="I37" s="264"/>
      <c r="J37" s="264"/>
      <c r="K37" s="264"/>
      <c r="L37" s="264"/>
      <c r="M37" s="264"/>
      <c r="N37" s="268"/>
      <c r="O37" s="268"/>
      <c r="P37" s="268"/>
      <c r="Q37" s="268"/>
      <c r="R37" s="425"/>
      <c r="S37" s="23"/>
    </row>
    <row r="38" spans="1:19" ht="12.75">
      <c r="A38" s="426" t="s">
        <v>436</v>
      </c>
      <c r="B38" s="263">
        <f t="shared" si="0"/>
        <v>140</v>
      </c>
      <c r="C38" s="263">
        <f>SUM(I38:M38)</f>
        <v>19611</v>
      </c>
      <c r="D38" s="263">
        <f>'CHP-FuelCell_Lrg-Small'!D54</f>
        <v>0</v>
      </c>
      <c r="E38" s="263">
        <f>'CHP-FuelCell_Lrg-Small'!E54</f>
        <v>0</v>
      </c>
      <c r="F38" s="263">
        <f>'CHP-FuelCell_Lrg-Small'!F54</f>
        <v>0</v>
      </c>
      <c r="G38" s="263">
        <f>'CHP-FuelCell_Lrg-Small'!G54</f>
        <v>0</v>
      </c>
      <c r="H38" s="263">
        <f>'CHP-FuelCell_Lrg-Small'!H54</f>
        <v>140</v>
      </c>
      <c r="I38" s="263">
        <f>'CHP-FuelCell_Lrg-Small'!I54</f>
        <v>3175</v>
      </c>
      <c r="J38" s="263">
        <f>'CHP-FuelCell_Lrg-Small'!J54</f>
        <v>4925</v>
      </c>
      <c r="K38" s="263">
        <f>'CHP-FuelCell_Lrg-Small'!K54</f>
        <v>1276</v>
      </c>
      <c r="L38" s="263">
        <f>'CHP-FuelCell_Lrg-Small'!L54</f>
        <v>4700</v>
      </c>
      <c r="M38" s="263">
        <f>'CHP-FuelCell_Lrg-Small'!M54</f>
        <v>5535</v>
      </c>
      <c r="N38" s="254">
        <f>'CHP-FuelCell_Lrg-Small'!N54</f>
        <v>0</v>
      </c>
      <c r="O38" s="254">
        <f>'CHP-FuelCell_Lrg-Small'!O54</f>
        <v>0</v>
      </c>
      <c r="P38" s="254">
        <f>'CHP-FuelCell_Lrg-Small'!P54</f>
        <v>410</v>
      </c>
      <c r="Q38" s="254">
        <f>'CHP-FuelCell_Lrg-Small'!Q54</f>
        <v>5770</v>
      </c>
      <c r="R38" s="263">
        <f>SUM(D38:Q38)</f>
        <v>25931</v>
      </c>
      <c r="S38" s="23"/>
    </row>
    <row r="39" spans="1:19" ht="12.75">
      <c r="A39" s="452" t="s">
        <v>432</v>
      </c>
      <c r="B39" s="263">
        <f t="shared" si="0"/>
        <v>282704</v>
      </c>
      <c r="C39" s="263">
        <f>SUM(I39:M39)</f>
        <v>269455.6</v>
      </c>
      <c r="D39" s="263">
        <f>D38+D36</f>
        <v>18168</v>
      </c>
      <c r="E39" s="263">
        <f aca="true" t="shared" si="8" ref="E39:J39">E38+E36</f>
        <v>44617</v>
      </c>
      <c r="F39" s="263">
        <f t="shared" si="8"/>
        <v>67564</v>
      </c>
      <c r="G39" s="263">
        <f t="shared" si="8"/>
        <v>78754</v>
      </c>
      <c r="H39" s="263">
        <f t="shared" si="8"/>
        <v>73601</v>
      </c>
      <c r="I39" s="263">
        <f t="shared" si="8"/>
        <v>54624</v>
      </c>
      <c r="J39" s="263">
        <f t="shared" si="8"/>
        <v>53785</v>
      </c>
      <c r="K39" s="263">
        <f aca="true" t="shared" si="9" ref="K39:P39">K38+K36</f>
        <v>41942</v>
      </c>
      <c r="L39" s="263">
        <f t="shared" si="9"/>
        <v>51049</v>
      </c>
      <c r="M39" s="263">
        <f t="shared" si="9"/>
        <v>68055.6</v>
      </c>
      <c r="N39" s="254">
        <f t="shared" si="9"/>
        <v>129665.8</v>
      </c>
      <c r="O39" s="254">
        <f t="shared" si="9"/>
        <v>118792.90000000001</v>
      </c>
      <c r="P39" s="254">
        <f t="shared" si="9"/>
        <v>80655</v>
      </c>
      <c r="Q39" s="254">
        <f>Q38+Q36</f>
        <v>119756.7856999996</v>
      </c>
      <c r="R39" s="263">
        <f>SUM(D39:Q39)</f>
        <v>1001030.0856999997</v>
      </c>
      <c r="S39" s="23"/>
    </row>
    <row r="40" spans="4:18" ht="12.75">
      <c r="D40" s="101"/>
      <c r="E40" s="101"/>
      <c r="F40" s="101"/>
      <c r="G40" s="101"/>
      <c r="H40" s="101"/>
      <c r="I40" s="101"/>
      <c r="J40" s="101"/>
      <c r="K40" s="101"/>
      <c r="L40" s="101"/>
      <c r="M40" s="101"/>
      <c r="N40" s="137"/>
      <c r="O40" s="137"/>
      <c r="P40" s="137"/>
      <c r="Q40" s="137"/>
      <c r="R40" s="101"/>
    </row>
    <row r="41" spans="1:18" ht="12.75">
      <c r="A41" s="43" t="s">
        <v>437</v>
      </c>
      <c r="B41" s="26"/>
      <c r="C41" s="26"/>
      <c r="D41" s="26"/>
      <c r="E41" s="26"/>
      <c r="F41" s="26"/>
      <c r="G41" s="26"/>
      <c r="H41" s="26"/>
      <c r="I41" s="26"/>
      <c r="J41" s="26"/>
      <c r="K41" s="26"/>
      <c r="L41" s="26"/>
      <c r="M41" s="26"/>
      <c r="N41" s="148"/>
      <c r="O41" s="148"/>
      <c r="P41" s="148"/>
      <c r="Q41" s="148"/>
      <c r="R41" s="26"/>
    </row>
    <row r="42" spans="1:19" ht="12.75">
      <c r="A42" s="181" t="s">
        <v>93</v>
      </c>
      <c r="B42" s="250">
        <f aca="true" t="shared" si="10" ref="B42:B47">SUM(D42:H42)</f>
        <v>12923</v>
      </c>
      <c r="C42" s="250">
        <f aca="true" t="shared" si="11" ref="C42:C48">SUM(I42:M42)</f>
        <v>81815</v>
      </c>
      <c r="D42" s="250">
        <f>CORE!C27</f>
        <v>8</v>
      </c>
      <c r="E42" s="250">
        <f>CORE!D27</f>
        <v>1142</v>
      </c>
      <c r="F42" s="250">
        <f>CORE!E27</f>
        <v>1743</v>
      </c>
      <c r="G42" s="250">
        <f>CORE!F27</f>
        <v>2644</v>
      </c>
      <c r="H42" s="250">
        <f>CORE!G27</f>
        <v>7386</v>
      </c>
      <c r="I42" s="250">
        <f>CORE!H27</f>
        <v>18725</v>
      </c>
      <c r="J42" s="250">
        <f>CORE!I27</f>
        <v>20307</v>
      </c>
      <c r="K42" s="250">
        <f>CORE!J27</f>
        <v>14772</v>
      </c>
      <c r="L42" s="250">
        <f>CORE!K27</f>
        <v>12860</v>
      </c>
      <c r="M42" s="250">
        <f>CORE!L27</f>
        <v>15151</v>
      </c>
      <c r="N42" s="252">
        <f>CORE!M27</f>
        <v>5800</v>
      </c>
      <c r="O42" s="252">
        <f>CORE!N27</f>
        <v>2314</v>
      </c>
      <c r="P42" s="252">
        <v>0</v>
      </c>
      <c r="Q42" s="252">
        <v>0</v>
      </c>
      <c r="R42" s="250">
        <f aca="true" t="shared" si="12" ref="R42:R48">SUM(D42:Q42)</f>
        <v>102852</v>
      </c>
      <c r="S42" s="23"/>
    </row>
    <row r="43" spans="1:19" ht="12.75">
      <c r="A43" s="181" t="s">
        <v>201</v>
      </c>
      <c r="B43" s="250">
        <f t="shared" si="10"/>
        <v>0</v>
      </c>
      <c r="C43" s="250">
        <f t="shared" si="11"/>
        <v>18276</v>
      </c>
      <c r="D43" s="250"/>
      <c r="E43" s="250"/>
      <c r="F43" s="250"/>
      <c r="G43" s="250"/>
      <c r="H43" s="250"/>
      <c r="I43" s="250"/>
      <c r="J43" s="250"/>
      <c r="K43" s="250"/>
      <c r="L43" s="250">
        <f>REIP!B26</f>
        <v>2149</v>
      </c>
      <c r="M43" s="250">
        <f>REIP!C26</f>
        <v>16127</v>
      </c>
      <c r="N43" s="252">
        <f>REIP!D26</f>
        <v>17842</v>
      </c>
      <c r="O43" s="252">
        <f>REIP!E26</f>
        <v>2251</v>
      </c>
      <c r="P43" s="252">
        <f>REIP!F26</f>
        <v>312</v>
      </c>
      <c r="Q43" s="252">
        <f>REIP!G26</f>
        <v>0</v>
      </c>
      <c r="R43" s="252">
        <f t="shared" si="12"/>
        <v>38681</v>
      </c>
      <c r="S43" s="138"/>
    </row>
    <row r="44" spans="1:19" ht="12.75">
      <c r="A44" s="181" t="s">
        <v>250</v>
      </c>
      <c r="B44" s="250">
        <f t="shared" si="10"/>
        <v>0</v>
      </c>
      <c r="C44" s="250">
        <f t="shared" si="11"/>
        <v>0</v>
      </c>
      <c r="D44" s="250"/>
      <c r="E44" s="250"/>
      <c r="F44" s="250"/>
      <c r="G44" s="250"/>
      <c r="H44" s="250"/>
      <c r="I44" s="250"/>
      <c r="J44" s="250"/>
      <c r="K44" s="250"/>
      <c r="L44" s="250">
        <f>'RE Grid Connected'!B23</f>
        <v>0</v>
      </c>
      <c r="M44" s="250">
        <f>'RE Grid Connected'!C23</f>
        <v>0</v>
      </c>
      <c r="N44" s="252">
        <f>'RE Grid Connected'!D23</f>
        <v>0</v>
      </c>
      <c r="O44" s="252">
        <f>'RE Grid Connected'!E23</f>
        <v>0</v>
      </c>
      <c r="P44" s="252">
        <f>'RE Grid Connected'!F23</f>
        <v>2000</v>
      </c>
      <c r="Q44" s="252">
        <f>'RE Grid Connected'!G23</f>
        <v>0</v>
      </c>
      <c r="R44" s="252">
        <f t="shared" si="12"/>
        <v>2000</v>
      </c>
      <c r="S44" s="138"/>
    </row>
    <row r="45" spans="1:19" ht="12.75">
      <c r="A45" s="181" t="s">
        <v>318</v>
      </c>
      <c r="B45" s="250">
        <f t="shared" si="10"/>
        <v>1600</v>
      </c>
      <c r="C45" s="250">
        <f t="shared" si="11"/>
        <v>25900</v>
      </c>
      <c r="D45" s="250">
        <f>'RE Grants and Financing'!B42</f>
        <v>0</v>
      </c>
      <c r="E45" s="250">
        <f>'RE Grants and Financing'!C42</f>
        <v>0</v>
      </c>
      <c r="F45" s="250">
        <f>'RE Grants and Financing'!D42</f>
        <v>0</v>
      </c>
      <c r="G45" s="250">
        <f>'RE Grants and Financing'!E42</f>
        <v>0</v>
      </c>
      <c r="H45" s="250">
        <f>'RE Grants and Financing'!F42</f>
        <v>1600</v>
      </c>
      <c r="I45" s="250">
        <f>'RE Grants and Financing'!G42</f>
        <v>0</v>
      </c>
      <c r="J45" s="250">
        <f>'RE Grants and Financing'!H42</f>
        <v>8600</v>
      </c>
      <c r="K45" s="250">
        <f>'RE Grants and Financing'!I42</f>
        <v>9600</v>
      </c>
      <c r="L45" s="250">
        <f>'RE Grants and Financing'!J42</f>
        <v>1500</v>
      </c>
      <c r="M45" s="250">
        <f>'RE Grants and Financing'!K42</f>
        <v>6200</v>
      </c>
      <c r="N45" s="316"/>
      <c r="O45" s="316"/>
      <c r="P45" s="316"/>
      <c r="Q45" s="316"/>
      <c r="R45" s="252">
        <f t="shared" si="12"/>
        <v>27500</v>
      </c>
      <c r="S45" s="146"/>
    </row>
    <row r="46" spans="1:19" ht="12.75">
      <c r="A46" s="181" t="s">
        <v>319</v>
      </c>
      <c r="B46" s="250">
        <f t="shared" si="10"/>
        <v>0</v>
      </c>
      <c r="C46" s="250">
        <f t="shared" si="11"/>
        <v>188481</v>
      </c>
      <c r="D46" s="250"/>
      <c r="E46" s="250"/>
      <c r="F46" s="250"/>
      <c r="G46" s="250"/>
      <c r="H46" s="250"/>
      <c r="I46" s="250"/>
      <c r="J46" s="250">
        <f>REC!B23</f>
        <v>13</v>
      </c>
      <c r="K46" s="250">
        <f>REC!C23</f>
        <v>8433</v>
      </c>
      <c r="L46" s="250">
        <f>REC!D23</f>
        <v>34269</v>
      </c>
      <c r="M46" s="250">
        <f>REC!E23</f>
        <v>145766</v>
      </c>
      <c r="N46" s="252">
        <f>REC!F23</f>
        <v>294745</v>
      </c>
      <c r="O46" s="252">
        <f>REC!G23</f>
        <v>528585</v>
      </c>
      <c r="P46" s="252">
        <f>REC!H23</f>
        <v>205085</v>
      </c>
      <c r="Q46" s="252">
        <f>REC!I23</f>
        <v>181550.28999999998</v>
      </c>
      <c r="R46" s="252">
        <f t="shared" si="12"/>
        <v>1398446.29</v>
      </c>
      <c r="S46" s="136"/>
    </row>
    <row r="47" spans="1:19" ht="12.75">
      <c r="A47" s="226" t="s">
        <v>427</v>
      </c>
      <c r="B47" s="263">
        <f t="shared" si="10"/>
        <v>14523</v>
      </c>
      <c r="C47" s="263">
        <f t="shared" si="11"/>
        <v>314472</v>
      </c>
      <c r="D47" s="263">
        <f>SUM(D42:D46)</f>
        <v>8</v>
      </c>
      <c r="E47" s="263">
        <f aca="true" t="shared" si="13" ref="E47:L47">SUM(E42:E46)</f>
        <v>1142</v>
      </c>
      <c r="F47" s="263">
        <f t="shared" si="13"/>
        <v>1743</v>
      </c>
      <c r="G47" s="263">
        <f t="shared" si="13"/>
        <v>2644</v>
      </c>
      <c r="H47" s="263">
        <f t="shared" si="13"/>
        <v>8986</v>
      </c>
      <c r="I47" s="263">
        <f t="shared" si="13"/>
        <v>18725</v>
      </c>
      <c r="J47" s="263">
        <f t="shared" si="13"/>
        <v>28920</v>
      </c>
      <c r="K47" s="263">
        <f t="shared" si="13"/>
        <v>32805</v>
      </c>
      <c r="L47" s="263">
        <f t="shared" si="13"/>
        <v>50778</v>
      </c>
      <c r="M47" s="263">
        <f>SUM(M42:M46)</f>
        <v>183244</v>
      </c>
      <c r="N47" s="254">
        <f>SUM(N42:N46)</f>
        <v>318387</v>
      </c>
      <c r="O47" s="254">
        <f>SUM(O42:O46)</f>
        <v>533150</v>
      </c>
      <c r="P47" s="254">
        <f>SUM(P42:P46)</f>
        <v>207397</v>
      </c>
      <c r="Q47" s="254">
        <f>SUM(Q42:Q46)</f>
        <v>181550.28999999998</v>
      </c>
      <c r="R47" s="254">
        <f t="shared" si="12"/>
        <v>1569479.29</v>
      </c>
      <c r="S47" s="138"/>
    </row>
    <row r="48" spans="1:19" ht="12.75">
      <c r="A48" s="85" t="s">
        <v>399</v>
      </c>
      <c r="B48" s="263">
        <f>SUM(D48:H48)</f>
        <v>297227</v>
      </c>
      <c r="C48" s="263">
        <f t="shared" si="11"/>
        <v>583927.6</v>
      </c>
      <c r="D48" s="263">
        <f aca="true" t="shared" si="14" ref="D48:P48">D47+D39</f>
        <v>18176</v>
      </c>
      <c r="E48" s="263">
        <f t="shared" si="14"/>
        <v>45759</v>
      </c>
      <c r="F48" s="263">
        <f t="shared" si="14"/>
        <v>69307</v>
      </c>
      <c r="G48" s="263">
        <f t="shared" si="14"/>
        <v>81398</v>
      </c>
      <c r="H48" s="263">
        <f t="shared" si="14"/>
        <v>82587</v>
      </c>
      <c r="I48" s="263">
        <f t="shared" si="14"/>
        <v>73349</v>
      </c>
      <c r="J48" s="263">
        <f t="shared" si="14"/>
        <v>82705</v>
      </c>
      <c r="K48" s="263">
        <f t="shared" si="14"/>
        <v>74747</v>
      </c>
      <c r="L48" s="263">
        <f t="shared" si="14"/>
        <v>101827</v>
      </c>
      <c r="M48" s="263">
        <f t="shared" si="14"/>
        <v>251299.6</v>
      </c>
      <c r="N48" s="254">
        <f t="shared" si="14"/>
        <v>448052.8</v>
      </c>
      <c r="O48" s="254">
        <f t="shared" si="14"/>
        <v>651942.9</v>
      </c>
      <c r="P48" s="254">
        <f t="shared" si="14"/>
        <v>288052</v>
      </c>
      <c r="Q48" s="254">
        <f>Q47+Q39</f>
        <v>301307.0756999996</v>
      </c>
      <c r="R48" s="263">
        <f t="shared" si="12"/>
        <v>2570509.3756999993</v>
      </c>
      <c r="S48" s="23"/>
    </row>
    <row r="49" spans="2:18" ht="12.75">
      <c r="B49" s="101"/>
      <c r="C49" s="101"/>
      <c r="D49" s="101"/>
      <c r="E49" s="101"/>
      <c r="F49" s="101"/>
      <c r="G49" s="101"/>
      <c r="H49" s="101"/>
      <c r="I49" s="101"/>
      <c r="J49" s="101"/>
      <c r="K49" s="101"/>
      <c r="L49" s="101"/>
      <c r="M49" s="101"/>
      <c r="N49" s="137"/>
      <c r="O49" s="137"/>
      <c r="P49" s="137"/>
      <c r="Q49" s="137"/>
      <c r="R49" s="102"/>
    </row>
    <row r="50" spans="1:18" ht="12.75">
      <c r="A50" s="73" t="s">
        <v>110</v>
      </c>
      <c r="B50" s="263">
        <f>SUM(D50:H50)</f>
        <v>768888</v>
      </c>
      <c r="C50" s="263">
        <f>SUM(I50:M50)</f>
        <v>0</v>
      </c>
      <c r="D50" s="250">
        <f>'Appliance Cycling'!B15</f>
        <v>204971</v>
      </c>
      <c r="E50" s="250">
        <f>'Appliance Cycling'!C15</f>
        <v>196222</v>
      </c>
      <c r="F50" s="250">
        <f>'Appliance Cycling'!D15</f>
        <v>194531</v>
      </c>
      <c r="G50" s="250">
        <f>'Appliance Cycling'!E15</f>
        <v>173164</v>
      </c>
      <c r="H50" s="250">
        <f>'Appliance Cycling'!F15</f>
        <v>0</v>
      </c>
      <c r="I50" s="316"/>
      <c r="J50" s="316"/>
      <c r="K50" s="316"/>
      <c r="L50" s="316"/>
      <c r="M50" s="316"/>
      <c r="N50" s="316"/>
      <c r="O50" s="316"/>
      <c r="P50" s="316"/>
      <c r="Q50" s="316"/>
      <c r="R50" s="250"/>
    </row>
    <row r="51" ht="12.75">
      <c r="A51" s="2" t="s">
        <v>291</v>
      </c>
    </row>
    <row r="52" ht="12.75">
      <c r="J52" s="86" t="s">
        <v>88</v>
      </c>
    </row>
  </sheetData>
  <sheetProtection/>
  <mergeCells count="2">
    <mergeCell ref="A2:R2"/>
    <mergeCell ref="A1:R1"/>
  </mergeCells>
  <printOptions/>
  <pageMargins left="0.17" right="0.17" top="0.4" bottom="0.6" header="0.24" footer="0.24"/>
  <pageSetup fitToHeight="1" fitToWidth="1" horizontalDpi="600" verticalDpi="600" orientation="landscape" scale="82" r:id="rId1"/>
  <headerFooter scaleWithDoc="0" alignWithMargins="0">
    <oddFooter>&amp;L&amp;6&amp;A - Results by Program Year&amp;R&amp;6printed &amp;D at &amp;T</oddFooter>
  </headerFooter>
</worksheet>
</file>

<file path=xl/worksheets/sheet9.xml><?xml version="1.0" encoding="utf-8"?>
<worksheet xmlns="http://schemas.openxmlformats.org/spreadsheetml/2006/main" xmlns:r="http://schemas.openxmlformats.org/officeDocument/2006/relationships">
  <sheetPr>
    <tabColor theme="6"/>
    <outlinePr summaryRight="0"/>
  </sheetPr>
  <dimension ref="A1:AC120"/>
  <sheetViews>
    <sheetView showGridLines="0" zoomScalePageLayoutView="0" workbookViewId="0" topLeftCell="A1">
      <selection activeCell="A1" sqref="A1:R1"/>
    </sheetView>
  </sheetViews>
  <sheetFormatPr defaultColWidth="10.7109375" defaultRowHeight="12.75" outlineLevelCol="1"/>
  <cols>
    <col min="1" max="1" width="32.57421875" style="3" customWidth="1"/>
    <col min="2" max="2" width="15.00390625" style="3" bestFit="1" customWidth="1"/>
    <col min="3" max="3" width="15.00390625" style="3" bestFit="1" customWidth="1" collapsed="1"/>
    <col min="4" max="6" width="14.00390625" style="6" hidden="1" customWidth="1" outlineLevel="1"/>
    <col min="7" max="7" width="15.00390625" style="6" hidden="1" customWidth="1" outlineLevel="1"/>
    <col min="8" max="9" width="14.00390625" style="6" hidden="1" customWidth="1" outlineLevel="1"/>
    <col min="10" max="13" width="14.8515625" style="6" hidden="1" customWidth="1" outlineLevel="1"/>
    <col min="14" max="17" width="14.8515625" style="65" customWidth="1"/>
    <col min="18" max="18" width="16.00390625" style="6" bestFit="1" customWidth="1"/>
    <col min="19" max="19" width="10.7109375" style="65" customWidth="1"/>
    <col min="20" max="21" width="10.7109375" style="6" customWidth="1"/>
    <col min="22" max="22" width="14.421875" style="6" bestFit="1" customWidth="1"/>
    <col min="23" max="16384" width="10.7109375" style="6" customWidth="1"/>
  </cols>
  <sheetData>
    <row r="1" spans="1:19" ht="12.75">
      <c r="A1" s="483" t="s">
        <v>393</v>
      </c>
      <c r="B1" s="483"/>
      <c r="C1" s="483"/>
      <c r="D1" s="483"/>
      <c r="E1" s="483"/>
      <c r="F1" s="483"/>
      <c r="G1" s="483"/>
      <c r="H1" s="483"/>
      <c r="I1" s="483"/>
      <c r="J1" s="483"/>
      <c r="K1" s="483"/>
      <c r="L1" s="483"/>
      <c r="M1" s="483"/>
      <c r="N1" s="483"/>
      <c r="O1" s="483"/>
      <c r="P1" s="483"/>
      <c r="Q1" s="483"/>
      <c r="R1" s="483"/>
      <c r="S1" s="136"/>
    </row>
    <row r="2" spans="1:19" ht="12.75">
      <c r="A2" s="483" t="s">
        <v>405</v>
      </c>
      <c r="B2" s="483"/>
      <c r="C2" s="483"/>
      <c r="D2" s="483"/>
      <c r="E2" s="483"/>
      <c r="F2" s="483"/>
      <c r="G2" s="483"/>
      <c r="H2" s="483"/>
      <c r="I2" s="483"/>
      <c r="J2" s="483"/>
      <c r="K2" s="483"/>
      <c r="L2" s="483"/>
      <c r="M2" s="483"/>
      <c r="N2" s="483"/>
      <c r="O2" s="483"/>
      <c r="P2" s="483"/>
      <c r="Q2" s="483"/>
      <c r="R2" s="483"/>
      <c r="S2" s="136"/>
    </row>
    <row r="3" spans="1:19" ht="12.75">
      <c r="A3" s="40"/>
      <c r="B3" s="40"/>
      <c r="C3" s="40"/>
      <c r="S3" s="136"/>
    </row>
    <row r="4" spans="1:19" ht="25.5">
      <c r="A4" s="30" t="s">
        <v>254</v>
      </c>
      <c r="B4" s="196" t="s">
        <v>289</v>
      </c>
      <c r="C4" s="196" t="s">
        <v>461</v>
      </c>
      <c r="D4" s="28">
        <v>2001</v>
      </c>
      <c r="E4" s="28">
        <v>2002</v>
      </c>
      <c r="F4" s="28">
        <v>2003</v>
      </c>
      <c r="G4" s="28">
        <v>2004</v>
      </c>
      <c r="H4" s="28">
        <v>2005</v>
      </c>
      <c r="I4" s="28">
        <v>2006</v>
      </c>
      <c r="J4" s="28">
        <v>2007</v>
      </c>
      <c r="K4" s="28">
        <v>2008</v>
      </c>
      <c r="L4" s="28">
        <v>2009</v>
      </c>
      <c r="M4" s="28">
        <v>2010</v>
      </c>
      <c r="N4" s="105">
        <v>2011</v>
      </c>
      <c r="O4" s="343" t="s">
        <v>346</v>
      </c>
      <c r="P4" s="343" t="s">
        <v>351</v>
      </c>
      <c r="Q4" s="343" t="s">
        <v>440</v>
      </c>
      <c r="R4" s="344" t="str">
        <f>"Total "&amp;CHAR(10)&amp;D4&amp;" ~ "&amp;Q4</f>
        <v>Total 
2001 ~ FY2015</v>
      </c>
      <c r="S4" s="136"/>
    </row>
    <row r="5" spans="1:19" ht="12.75">
      <c r="A5" s="225" t="s">
        <v>21</v>
      </c>
      <c r="B5" s="272">
        <f aca="true" t="shared" si="0" ref="B5:B16">SUM(D5:H5)</f>
        <v>1010</v>
      </c>
      <c r="C5" s="272">
        <f>SUM(I5:K5)*1000+SUM(L5:M5)</f>
        <v>0</v>
      </c>
      <c r="D5" s="272">
        <v>1010</v>
      </c>
      <c r="E5" s="272"/>
      <c r="F5" s="272"/>
      <c r="G5" s="272"/>
      <c r="H5" s="272"/>
      <c r="I5" s="272"/>
      <c r="J5" s="374"/>
      <c r="K5" s="374"/>
      <c r="L5" s="374"/>
      <c r="M5" s="374"/>
      <c r="N5" s="374"/>
      <c r="O5" s="374"/>
      <c r="P5" s="374"/>
      <c r="Q5" s="374"/>
      <c r="R5" s="272"/>
      <c r="S5" s="136"/>
    </row>
    <row r="6" spans="1:19" ht="12.75">
      <c r="A6" s="225" t="s">
        <v>35</v>
      </c>
      <c r="B6" s="272">
        <f t="shared" si="0"/>
        <v>1661</v>
      </c>
      <c r="C6" s="272">
        <f aca="true" t="shared" si="1" ref="C6:C15">SUM(I6:K6)*1000+SUM(L6:M6)</f>
        <v>0</v>
      </c>
      <c r="D6" s="272">
        <v>1661</v>
      </c>
      <c r="E6" s="272"/>
      <c r="F6" s="272"/>
      <c r="G6" s="272"/>
      <c r="H6" s="272"/>
      <c r="I6" s="272"/>
      <c r="J6" s="374"/>
      <c r="K6" s="374"/>
      <c r="L6" s="374"/>
      <c r="M6" s="374"/>
      <c r="N6" s="374"/>
      <c r="O6" s="374"/>
      <c r="P6" s="374"/>
      <c r="Q6" s="374"/>
      <c r="R6" s="272"/>
      <c r="S6" s="136"/>
    </row>
    <row r="7" spans="1:19" ht="12.75">
      <c r="A7" s="225" t="s">
        <v>22</v>
      </c>
      <c r="B7" s="272">
        <f t="shared" si="0"/>
        <v>1210</v>
      </c>
      <c r="C7" s="272">
        <f t="shared" si="1"/>
        <v>0</v>
      </c>
      <c r="D7" s="272">
        <v>1210</v>
      </c>
      <c r="E7" s="272"/>
      <c r="F7" s="272"/>
      <c r="G7" s="272"/>
      <c r="H7" s="272"/>
      <c r="I7" s="272"/>
      <c r="J7" s="374"/>
      <c r="K7" s="374"/>
      <c r="L7" s="374"/>
      <c r="M7" s="374"/>
      <c r="N7" s="374"/>
      <c r="O7" s="374"/>
      <c r="P7" s="374"/>
      <c r="Q7" s="374"/>
      <c r="R7" s="272"/>
      <c r="S7" s="136"/>
    </row>
    <row r="8" spans="1:19" ht="12.75">
      <c r="A8" s="225" t="s">
        <v>285</v>
      </c>
      <c r="B8" s="272">
        <f t="shared" si="0"/>
        <v>2500</v>
      </c>
      <c r="C8" s="272">
        <f t="shared" si="1"/>
        <v>0</v>
      </c>
      <c r="D8" s="272"/>
      <c r="E8" s="272"/>
      <c r="F8" s="272"/>
      <c r="G8" s="272">
        <v>2500</v>
      </c>
      <c r="H8" s="272">
        <v>0</v>
      </c>
      <c r="I8" s="272">
        <v>0</v>
      </c>
      <c r="J8" s="374"/>
      <c r="K8" s="374"/>
      <c r="L8" s="374"/>
      <c r="M8" s="374"/>
      <c r="N8" s="374"/>
      <c r="O8" s="374"/>
      <c r="P8" s="374"/>
      <c r="Q8" s="374"/>
      <c r="R8" s="272"/>
      <c r="S8" s="136"/>
    </row>
    <row r="9" spans="1:19" ht="12.75">
      <c r="A9" s="225" t="s">
        <v>23</v>
      </c>
      <c r="B9" s="272">
        <f t="shared" si="0"/>
        <v>7533</v>
      </c>
      <c r="C9" s="272">
        <f t="shared" si="1"/>
        <v>0</v>
      </c>
      <c r="D9" s="272"/>
      <c r="E9" s="272">
        <v>7533</v>
      </c>
      <c r="F9" s="272"/>
      <c r="G9" s="272"/>
      <c r="H9" s="272"/>
      <c r="I9" s="272"/>
      <c r="J9" s="374"/>
      <c r="K9" s="374"/>
      <c r="L9" s="374"/>
      <c r="M9" s="374"/>
      <c r="N9" s="374"/>
      <c r="O9" s="374"/>
      <c r="P9" s="374"/>
      <c r="Q9" s="374"/>
      <c r="R9" s="272"/>
      <c r="S9" s="136"/>
    </row>
    <row r="10" spans="1:19" ht="12.75">
      <c r="A10" s="225" t="s">
        <v>36</v>
      </c>
      <c r="B10" s="272">
        <f t="shared" si="0"/>
        <v>2471</v>
      </c>
      <c r="C10" s="272">
        <f t="shared" si="1"/>
        <v>1054000</v>
      </c>
      <c r="D10" s="272"/>
      <c r="E10" s="272"/>
      <c r="F10" s="272">
        <v>882</v>
      </c>
      <c r="G10" s="272">
        <v>754</v>
      </c>
      <c r="H10" s="272">
        <v>835</v>
      </c>
      <c r="I10" s="272">
        <v>1054</v>
      </c>
      <c r="J10" s="374"/>
      <c r="K10" s="374"/>
      <c r="L10" s="374"/>
      <c r="M10" s="374"/>
      <c r="N10" s="374"/>
      <c r="O10" s="374"/>
      <c r="P10" s="374"/>
      <c r="Q10" s="374"/>
      <c r="R10" s="272"/>
      <c r="S10" s="136"/>
    </row>
    <row r="11" spans="1:19" ht="12.75">
      <c r="A11" s="225" t="s">
        <v>37</v>
      </c>
      <c r="B11" s="272">
        <f t="shared" si="0"/>
        <v>4517</v>
      </c>
      <c r="C11" s="272">
        <f t="shared" si="1"/>
        <v>875000</v>
      </c>
      <c r="D11" s="272"/>
      <c r="E11" s="272"/>
      <c r="F11" s="272">
        <v>2472</v>
      </c>
      <c r="G11" s="272">
        <v>1170</v>
      </c>
      <c r="H11" s="272">
        <v>875</v>
      </c>
      <c r="I11" s="272">
        <v>875</v>
      </c>
      <c r="J11" s="374"/>
      <c r="K11" s="374"/>
      <c r="L11" s="374"/>
      <c r="M11" s="374"/>
      <c r="N11" s="374"/>
      <c r="O11" s="374"/>
      <c r="P11" s="374"/>
      <c r="Q11" s="374"/>
      <c r="R11" s="272"/>
      <c r="S11" s="136"/>
    </row>
    <row r="12" spans="1:19" ht="12.75">
      <c r="A12" s="225" t="s">
        <v>38</v>
      </c>
      <c r="B12" s="272">
        <f t="shared" si="0"/>
        <v>15002</v>
      </c>
      <c r="C12" s="272">
        <f t="shared" si="1"/>
        <v>1320000</v>
      </c>
      <c r="D12" s="272"/>
      <c r="E12" s="272"/>
      <c r="F12" s="272">
        <v>3800</v>
      </c>
      <c r="G12" s="272">
        <v>7152</v>
      </c>
      <c r="H12" s="272">
        <v>4050</v>
      </c>
      <c r="I12" s="272">
        <v>1320</v>
      </c>
      <c r="J12" s="374"/>
      <c r="K12" s="374"/>
      <c r="L12" s="374"/>
      <c r="M12" s="374"/>
      <c r="N12" s="374"/>
      <c r="O12" s="374"/>
      <c r="P12" s="374"/>
      <c r="Q12" s="374"/>
      <c r="R12" s="272"/>
      <c r="S12" s="136"/>
    </row>
    <row r="13" spans="1:19" ht="12.75">
      <c r="A13" s="225" t="s">
        <v>39</v>
      </c>
      <c r="B13" s="272">
        <f t="shared" si="0"/>
        <v>4676</v>
      </c>
      <c r="C13" s="272">
        <f t="shared" si="1"/>
        <v>870000</v>
      </c>
      <c r="D13" s="272">
        <v>1474</v>
      </c>
      <c r="E13" s="272">
        <v>1235</v>
      </c>
      <c r="F13" s="272">
        <v>151</v>
      </c>
      <c r="G13" s="272">
        <v>946</v>
      </c>
      <c r="H13" s="272">
        <v>870</v>
      </c>
      <c r="I13" s="272">
        <v>870</v>
      </c>
      <c r="J13" s="374"/>
      <c r="K13" s="374"/>
      <c r="L13" s="374"/>
      <c r="M13" s="374"/>
      <c r="N13" s="374"/>
      <c r="O13" s="374"/>
      <c r="P13" s="374"/>
      <c r="Q13" s="374"/>
      <c r="R13" s="272"/>
      <c r="S13" s="143"/>
    </row>
    <row r="14" spans="1:19" ht="12.75">
      <c r="A14" s="225" t="s">
        <v>79</v>
      </c>
      <c r="B14" s="272">
        <f t="shared" si="0"/>
        <v>200</v>
      </c>
      <c r="C14" s="272">
        <f t="shared" si="1"/>
        <v>3595000</v>
      </c>
      <c r="D14" s="272"/>
      <c r="E14" s="272"/>
      <c r="F14" s="272"/>
      <c r="G14" s="272"/>
      <c r="H14" s="272">
        <v>200</v>
      </c>
      <c r="I14" s="272">
        <v>3595</v>
      </c>
      <c r="J14" s="374"/>
      <c r="K14" s="374"/>
      <c r="L14" s="374"/>
      <c r="M14" s="374"/>
      <c r="N14" s="374"/>
      <c r="O14" s="374"/>
      <c r="P14" s="374"/>
      <c r="Q14" s="374"/>
      <c r="R14" s="272"/>
      <c r="S14" s="143"/>
    </row>
    <row r="15" spans="1:19" ht="12.75">
      <c r="A15" s="16" t="s">
        <v>1</v>
      </c>
      <c r="B15" s="272">
        <f t="shared" si="0"/>
        <v>40780</v>
      </c>
      <c r="C15" s="272">
        <f t="shared" si="1"/>
        <v>38939000</v>
      </c>
      <c r="D15" s="272">
        <f>SUM(D5:D14)</f>
        <v>5355</v>
      </c>
      <c r="E15" s="272">
        <f>SUM(E5:E14)</f>
        <v>8768</v>
      </c>
      <c r="F15" s="272">
        <f>SUM(F5:F14)</f>
        <v>7305</v>
      </c>
      <c r="G15" s="272">
        <f>SUM(G5:G14)</f>
        <v>12522</v>
      </c>
      <c r="H15" s="272">
        <f>SUM(H5:H14)</f>
        <v>6830</v>
      </c>
      <c r="I15" s="272">
        <f>SUM(I10:I14)</f>
        <v>7714</v>
      </c>
      <c r="J15" s="272">
        <v>11083</v>
      </c>
      <c r="K15" s="272">
        <v>20142</v>
      </c>
      <c r="L15" s="374"/>
      <c r="M15" s="374"/>
      <c r="N15" s="374"/>
      <c r="O15" s="374"/>
      <c r="P15" s="374"/>
      <c r="Q15" s="374"/>
      <c r="R15" s="374"/>
      <c r="S15" s="143"/>
    </row>
    <row r="16" spans="1:19" ht="12.75">
      <c r="A16" s="16" t="s">
        <v>205</v>
      </c>
      <c r="B16" s="273">
        <f t="shared" si="0"/>
        <v>40780000</v>
      </c>
      <c r="C16" s="273">
        <f>SUM(I16:M16)</f>
        <v>82190518.21</v>
      </c>
      <c r="D16" s="273">
        <f>D15*1000</f>
        <v>5355000</v>
      </c>
      <c r="E16" s="273">
        <f aca="true" t="shared" si="2" ref="E16:K16">E15*1000</f>
        <v>8768000</v>
      </c>
      <c r="F16" s="273">
        <f t="shared" si="2"/>
        <v>7305000</v>
      </c>
      <c r="G16" s="273">
        <f t="shared" si="2"/>
        <v>12522000</v>
      </c>
      <c r="H16" s="273">
        <f t="shared" si="2"/>
        <v>6830000</v>
      </c>
      <c r="I16" s="273">
        <f t="shared" si="2"/>
        <v>7714000</v>
      </c>
      <c r="J16" s="273">
        <f t="shared" si="2"/>
        <v>11083000</v>
      </c>
      <c r="K16" s="273">
        <f t="shared" si="2"/>
        <v>20142000</v>
      </c>
      <c r="L16" s="273">
        <v>25315444.47</v>
      </c>
      <c r="M16" s="273">
        <v>17936073.74</v>
      </c>
      <c r="N16" s="274">
        <v>18193381.04</v>
      </c>
      <c r="O16" s="274">
        <v>26137799.26</v>
      </c>
      <c r="P16" s="274">
        <v>20033816.93</v>
      </c>
      <c r="Q16" s="274">
        <v>17218939.09</v>
      </c>
      <c r="R16" s="273">
        <f>SUM(D16:Q16)</f>
        <v>204554454.53</v>
      </c>
      <c r="S16" s="143"/>
    </row>
    <row r="17" spans="1:19" ht="27.75" customHeight="1">
      <c r="A17" s="485" t="s">
        <v>464</v>
      </c>
      <c r="B17" s="485"/>
      <c r="C17" s="485"/>
      <c r="D17" s="485"/>
      <c r="E17" s="485"/>
      <c r="F17" s="485"/>
      <c r="G17" s="485"/>
      <c r="H17" s="485"/>
      <c r="I17" s="485"/>
      <c r="J17" s="485"/>
      <c r="K17" s="485"/>
      <c r="L17" s="485"/>
      <c r="M17" s="485"/>
      <c r="N17" s="485"/>
      <c r="O17" s="485"/>
      <c r="P17" s="485"/>
      <c r="Q17" s="485"/>
      <c r="R17" s="485"/>
      <c r="S17" s="143"/>
    </row>
    <row r="18" spans="1:20" ht="12.75">
      <c r="A18" s="21"/>
      <c r="B18" s="21"/>
      <c r="C18" s="21"/>
      <c r="D18" s="44"/>
      <c r="E18" s="44"/>
      <c r="F18" s="44"/>
      <c r="G18" s="44"/>
      <c r="H18" s="35"/>
      <c r="I18" s="35"/>
      <c r="J18" s="35"/>
      <c r="K18" s="35"/>
      <c r="L18" s="35"/>
      <c r="M18" s="35"/>
      <c r="N18" s="139"/>
      <c r="O18" s="139"/>
      <c r="P18" s="139"/>
      <c r="Q18" s="139"/>
      <c r="R18" s="35"/>
      <c r="S18" s="141"/>
      <c r="T18" s="3"/>
    </row>
    <row r="19" spans="1:20" ht="12.75">
      <c r="A19" s="30" t="s">
        <v>207</v>
      </c>
      <c r="B19" s="30"/>
      <c r="C19" s="30"/>
      <c r="D19" s="41"/>
      <c r="E19" s="41"/>
      <c r="F19" s="41"/>
      <c r="G19" s="41"/>
      <c r="H19" s="121"/>
      <c r="I19" s="121"/>
      <c r="J19" s="121"/>
      <c r="K19" s="121"/>
      <c r="L19" s="121"/>
      <c r="M19" s="121"/>
      <c r="N19" s="140"/>
      <c r="O19" s="140"/>
      <c r="P19" s="140"/>
      <c r="Q19" s="140"/>
      <c r="R19" s="102"/>
      <c r="S19" s="141"/>
      <c r="T19" s="3"/>
    </row>
    <row r="20" spans="1:19" s="3" customFormat="1" ht="12.75">
      <c r="A20" s="225" t="s">
        <v>21</v>
      </c>
      <c r="B20" s="204">
        <f aca="true" t="shared" si="3" ref="B20:B31">SUM(D20:H20)</f>
        <v>276</v>
      </c>
      <c r="C20" s="204">
        <f>SUM(I20:K20)*1000+SUM(L20:M20)</f>
        <v>0</v>
      </c>
      <c r="D20" s="204">
        <v>276</v>
      </c>
      <c r="E20" s="204"/>
      <c r="F20" s="204"/>
      <c r="G20" s="204"/>
      <c r="H20" s="204"/>
      <c r="I20" s="204"/>
      <c r="J20" s="390"/>
      <c r="K20" s="390"/>
      <c r="L20" s="390"/>
      <c r="M20" s="390"/>
      <c r="N20" s="390"/>
      <c r="O20" s="390"/>
      <c r="P20" s="390"/>
      <c r="Q20" s="390"/>
      <c r="R20" s="204"/>
      <c r="S20" s="141"/>
    </row>
    <row r="21" spans="1:19" s="3" customFormat="1" ht="12.75">
      <c r="A21" s="225" t="s">
        <v>35</v>
      </c>
      <c r="B21" s="204">
        <f t="shared" si="3"/>
        <v>713</v>
      </c>
      <c r="C21" s="204">
        <f aca="true" t="shared" si="4" ref="C21:C30">SUM(I21:K21)*1000+SUM(L21:M21)</f>
        <v>0</v>
      </c>
      <c r="D21" s="204">
        <v>713</v>
      </c>
      <c r="E21" s="204"/>
      <c r="F21" s="204"/>
      <c r="G21" s="204"/>
      <c r="H21" s="204"/>
      <c r="I21" s="204"/>
      <c r="J21" s="390"/>
      <c r="K21" s="390"/>
      <c r="L21" s="390"/>
      <c r="M21" s="390"/>
      <c r="N21" s="390"/>
      <c r="O21" s="390"/>
      <c r="P21" s="390"/>
      <c r="Q21" s="390"/>
      <c r="R21" s="204"/>
      <c r="S21" s="141"/>
    </row>
    <row r="22" spans="1:19" s="3" customFormat="1" ht="12.75">
      <c r="A22" s="225" t="s">
        <v>22</v>
      </c>
      <c r="B22" s="204">
        <f t="shared" si="3"/>
        <v>247</v>
      </c>
      <c r="C22" s="204">
        <f t="shared" si="4"/>
        <v>0</v>
      </c>
      <c r="D22" s="204">
        <v>247</v>
      </c>
      <c r="E22" s="204"/>
      <c r="F22" s="204"/>
      <c r="G22" s="204"/>
      <c r="H22" s="204"/>
      <c r="I22" s="204"/>
      <c r="J22" s="390"/>
      <c r="K22" s="390"/>
      <c r="L22" s="390"/>
      <c r="M22" s="390"/>
      <c r="N22" s="390"/>
      <c r="O22" s="390"/>
      <c r="P22" s="390"/>
      <c r="Q22" s="390"/>
      <c r="R22" s="204"/>
      <c r="S22" s="141"/>
    </row>
    <row r="23" spans="1:19" s="3" customFormat="1" ht="12.75">
      <c r="A23" s="225" t="s">
        <v>285</v>
      </c>
      <c r="B23" s="204">
        <f t="shared" si="3"/>
        <v>16</v>
      </c>
      <c r="C23" s="204">
        <f t="shared" si="4"/>
        <v>0</v>
      </c>
      <c r="D23" s="204"/>
      <c r="E23" s="204"/>
      <c r="F23" s="204"/>
      <c r="G23" s="204">
        <v>16</v>
      </c>
      <c r="H23" s="204">
        <v>0</v>
      </c>
      <c r="I23" s="204"/>
      <c r="J23" s="390"/>
      <c r="K23" s="390"/>
      <c r="L23" s="390"/>
      <c r="M23" s="390"/>
      <c r="N23" s="390"/>
      <c r="O23" s="390"/>
      <c r="P23" s="390"/>
      <c r="Q23" s="390"/>
      <c r="R23" s="204"/>
      <c r="S23" s="141"/>
    </row>
    <row r="24" spans="1:19" s="3" customFormat="1" ht="12.75">
      <c r="A24" s="225" t="s">
        <v>23</v>
      </c>
      <c r="B24" s="204">
        <f t="shared" si="3"/>
        <v>2803</v>
      </c>
      <c r="C24" s="204">
        <f t="shared" si="4"/>
        <v>0</v>
      </c>
      <c r="D24" s="204"/>
      <c r="E24" s="204">
        <v>2803</v>
      </c>
      <c r="F24" s="204"/>
      <c r="G24" s="204"/>
      <c r="H24" s="204"/>
      <c r="I24" s="204"/>
      <c r="J24" s="390"/>
      <c r="K24" s="390"/>
      <c r="L24" s="390"/>
      <c r="M24" s="390"/>
      <c r="N24" s="390"/>
      <c r="O24" s="390"/>
      <c r="P24" s="390"/>
      <c r="Q24" s="390"/>
      <c r="R24" s="204"/>
      <c r="S24" s="141"/>
    </row>
    <row r="25" spans="1:19" s="3" customFormat="1" ht="12.75">
      <c r="A25" s="225" t="s">
        <v>36</v>
      </c>
      <c r="B25" s="204">
        <f t="shared" si="3"/>
        <v>3586</v>
      </c>
      <c r="C25" s="204">
        <f t="shared" si="4"/>
        <v>606000</v>
      </c>
      <c r="D25" s="204"/>
      <c r="E25" s="204"/>
      <c r="F25" s="204">
        <v>911</v>
      </c>
      <c r="G25" s="204">
        <v>1654</v>
      </c>
      <c r="H25" s="204">
        <v>1021</v>
      </c>
      <c r="I25" s="204">
        <v>606</v>
      </c>
      <c r="J25" s="390"/>
      <c r="K25" s="390"/>
      <c r="L25" s="390"/>
      <c r="M25" s="390"/>
      <c r="N25" s="390"/>
      <c r="O25" s="390"/>
      <c r="P25" s="390"/>
      <c r="Q25" s="390"/>
      <c r="R25" s="204"/>
      <c r="S25" s="141"/>
    </row>
    <row r="26" spans="1:19" s="3" customFormat="1" ht="12.75">
      <c r="A26" s="225" t="s">
        <v>37</v>
      </c>
      <c r="B26" s="204">
        <f t="shared" si="3"/>
        <v>1665</v>
      </c>
      <c r="C26" s="204">
        <f t="shared" si="4"/>
        <v>481000</v>
      </c>
      <c r="D26" s="204"/>
      <c r="E26" s="204"/>
      <c r="F26" s="204">
        <v>872</v>
      </c>
      <c r="G26" s="204">
        <v>397</v>
      </c>
      <c r="H26" s="204">
        <v>396</v>
      </c>
      <c r="I26" s="204">
        <v>481</v>
      </c>
      <c r="J26" s="390"/>
      <c r="K26" s="390"/>
      <c r="L26" s="390"/>
      <c r="M26" s="390"/>
      <c r="N26" s="390"/>
      <c r="O26" s="390"/>
      <c r="P26" s="390"/>
      <c r="Q26" s="390"/>
      <c r="R26" s="204"/>
      <c r="S26" s="141"/>
    </row>
    <row r="27" spans="1:19" s="3" customFormat="1" ht="12.75">
      <c r="A27" s="225" t="s">
        <v>38</v>
      </c>
      <c r="B27" s="204">
        <f t="shared" si="3"/>
        <v>14283</v>
      </c>
      <c r="C27" s="204">
        <f t="shared" si="4"/>
        <v>-68000</v>
      </c>
      <c r="D27" s="204"/>
      <c r="E27" s="204"/>
      <c r="F27" s="204">
        <v>4219</v>
      </c>
      <c r="G27" s="204">
        <v>6048</v>
      </c>
      <c r="H27" s="204">
        <v>4016</v>
      </c>
      <c r="I27" s="204">
        <v>-68</v>
      </c>
      <c r="J27" s="390"/>
      <c r="K27" s="390"/>
      <c r="L27" s="390"/>
      <c r="M27" s="390"/>
      <c r="N27" s="390"/>
      <c r="O27" s="390"/>
      <c r="P27" s="390"/>
      <c r="Q27" s="390"/>
      <c r="R27" s="204"/>
      <c r="S27" s="141"/>
    </row>
    <row r="28" spans="1:19" s="3" customFormat="1" ht="12.75">
      <c r="A28" s="225" t="s">
        <v>39</v>
      </c>
      <c r="B28" s="204">
        <f t="shared" si="3"/>
        <v>3306</v>
      </c>
      <c r="C28" s="204">
        <f t="shared" si="4"/>
        <v>395000</v>
      </c>
      <c r="D28" s="204">
        <v>1257</v>
      </c>
      <c r="E28" s="204">
        <v>961</v>
      </c>
      <c r="F28" s="204">
        <v>303</v>
      </c>
      <c r="G28" s="204">
        <v>350</v>
      </c>
      <c r="H28" s="204">
        <v>435</v>
      </c>
      <c r="I28" s="204">
        <v>395</v>
      </c>
      <c r="J28" s="390"/>
      <c r="K28" s="390"/>
      <c r="L28" s="390"/>
      <c r="M28" s="390"/>
      <c r="N28" s="390"/>
      <c r="O28" s="390"/>
      <c r="P28" s="390"/>
      <c r="Q28" s="390"/>
      <c r="R28" s="204"/>
      <c r="S28" s="141"/>
    </row>
    <row r="29" spans="1:19" s="3" customFormat="1" ht="12.75">
      <c r="A29" s="225" t="s">
        <v>79</v>
      </c>
      <c r="B29" s="204">
        <f t="shared" si="3"/>
        <v>105</v>
      </c>
      <c r="C29" s="204">
        <f t="shared" si="4"/>
        <v>1952000</v>
      </c>
      <c r="D29" s="204"/>
      <c r="E29" s="204"/>
      <c r="F29" s="204"/>
      <c r="G29" s="204"/>
      <c r="H29" s="204">
        <v>105</v>
      </c>
      <c r="I29" s="204">
        <v>1952</v>
      </c>
      <c r="J29" s="390"/>
      <c r="K29" s="390"/>
      <c r="L29" s="390"/>
      <c r="M29" s="390"/>
      <c r="N29" s="390"/>
      <c r="O29" s="390"/>
      <c r="P29" s="390"/>
      <c r="Q29" s="390"/>
      <c r="R29" s="204"/>
      <c r="S29" s="141"/>
    </row>
    <row r="30" spans="1:19" s="3" customFormat="1" ht="12.75">
      <c r="A30" s="16" t="s">
        <v>1</v>
      </c>
      <c r="B30" s="204">
        <f t="shared" si="3"/>
        <v>27000</v>
      </c>
      <c r="C30" s="204">
        <f t="shared" si="4"/>
        <v>22536000</v>
      </c>
      <c r="D30" s="204">
        <f>SUM(D20:D29)</f>
        <v>2493</v>
      </c>
      <c r="E30" s="204">
        <f>SUM(E20:E29)</f>
        <v>3764</v>
      </c>
      <c r="F30" s="204">
        <f>SUM(F20:F29)</f>
        <v>6305</v>
      </c>
      <c r="G30" s="204">
        <f>SUM(G20:G29)</f>
        <v>8465</v>
      </c>
      <c r="H30" s="204">
        <f>SUM(H20:H29)</f>
        <v>5973</v>
      </c>
      <c r="I30" s="204">
        <f>SUM(I25:I29)</f>
        <v>3366</v>
      </c>
      <c r="J30" s="204">
        <v>4654</v>
      </c>
      <c r="K30" s="204">
        <v>14516</v>
      </c>
      <c r="L30" s="390"/>
      <c r="M30" s="390"/>
      <c r="N30" s="390"/>
      <c r="O30" s="390"/>
      <c r="P30" s="390"/>
      <c r="Q30" s="390"/>
      <c r="R30" s="390"/>
      <c r="S30" s="144"/>
    </row>
    <row r="31" spans="1:19" s="3" customFormat="1" ht="12.75">
      <c r="A31" s="16" t="s">
        <v>205</v>
      </c>
      <c r="B31" s="275">
        <f t="shared" si="3"/>
        <v>27000000</v>
      </c>
      <c r="C31" s="275">
        <f>SUM(I31:M31)</f>
        <v>57140638.25</v>
      </c>
      <c r="D31" s="275">
        <f>D30*1000</f>
        <v>2493000</v>
      </c>
      <c r="E31" s="275">
        <f aca="true" t="shared" si="5" ref="E31:K31">E30*1000</f>
        <v>3764000</v>
      </c>
      <c r="F31" s="275">
        <f t="shared" si="5"/>
        <v>6305000</v>
      </c>
      <c r="G31" s="275">
        <f t="shared" si="5"/>
        <v>8465000</v>
      </c>
      <c r="H31" s="275">
        <f t="shared" si="5"/>
        <v>5973000</v>
      </c>
      <c r="I31" s="275">
        <f t="shared" si="5"/>
        <v>3366000</v>
      </c>
      <c r="J31" s="275">
        <f t="shared" si="5"/>
        <v>4654000</v>
      </c>
      <c r="K31" s="275">
        <f t="shared" si="5"/>
        <v>14516000</v>
      </c>
      <c r="L31" s="275">
        <v>18521886.19</v>
      </c>
      <c r="M31" s="275">
        <v>16082752.06</v>
      </c>
      <c r="N31" s="276">
        <v>16643930.61</v>
      </c>
      <c r="O31" s="276">
        <v>21407141.07</v>
      </c>
      <c r="P31" s="276">
        <v>19892048.66</v>
      </c>
      <c r="Q31" s="276">
        <v>17044238.7</v>
      </c>
      <c r="R31" s="275">
        <f>SUM(D31:Q31)</f>
        <v>159127997.29</v>
      </c>
      <c r="S31" s="144"/>
    </row>
    <row r="32" spans="1:19" s="3" customFormat="1" ht="12.75">
      <c r="A32" s="21"/>
      <c r="B32" s="21"/>
      <c r="C32" s="21"/>
      <c r="D32" s="40"/>
      <c r="E32" s="40"/>
      <c r="F32" s="40"/>
      <c r="G32" s="40"/>
      <c r="H32" s="40"/>
      <c r="I32" s="40"/>
      <c r="J32" s="40"/>
      <c r="K32" s="40"/>
      <c r="L32" s="40"/>
      <c r="M32" s="40"/>
      <c r="N32" s="63"/>
      <c r="O32" s="63"/>
      <c r="P32" s="63"/>
      <c r="Q32" s="63"/>
      <c r="R32" s="40"/>
      <c r="S32" s="141"/>
    </row>
    <row r="33" spans="1:19" s="3" customFormat="1" ht="12.75">
      <c r="A33" s="43" t="s">
        <v>414</v>
      </c>
      <c r="B33" s="43"/>
      <c r="C33" s="43"/>
      <c r="D33" s="40"/>
      <c r="E33" s="40"/>
      <c r="F33" s="40"/>
      <c r="G33" s="44"/>
      <c r="H33" s="44"/>
      <c r="I33" s="44"/>
      <c r="J33" s="44"/>
      <c r="K33" s="44"/>
      <c r="L33" s="44"/>
      <c r="M33" s="44"/>
      <c r="N33" s="58"/>
      <c r="O33" s="58"/>
      <c r="P33" s="58"/>
      <c r="Q33" s="58"/>
      <c r="R33" s="44"/>
      <c r="S33" s="141"/>
    </row>
    <row r="34" spans="1:19" s="3" customFormat="1" ht="12.75">
      <c r="A34" s="225" t="s">
        <v>41</v>
      </c>
      <c r="B34" s="27">
        <f>SUM(D34:H34)</f>
        <v>64515</v>
      </c>
      <c r="C34" s="27">
        <f>SUM(I34:M34)</f>
        <v>55750</v>
      </c>
      <c r="D34" s="27"/>
      <c r="E34" s="27"/>
      <c r="F34" s="27">
        <v>25387</v>
      </c>
      <c r="G34" s="27">
        <v>24420</v>
      </c>
      <c r="H34" s="27">
        <v>14708</v>
      </c>
      <c r="I34" s="27">
        <v>9607</v>
      </c>
      <c r="J34" s="27">
        <v>13602</v>
      </c>
      <c r="K34" s="27">
        <v>13691</v>
      </c>
      <c r="L34" s="27">
        <v>7528</v>
      </c>
      <c r="M34" s="27">
        <v>11322</v>
      </c>
      <c r="N34" s="391"/>
      <c r="O34" s="391"/>
      <c r="P34" s="391"/>
      <c r="Q34" s="391"/>
      <c r="R34" s="27">
        <f aca="true" t="shared" si="6" ref="R34:R43">SUM(D34:Q34)</f>
        <v>120265</v>
      </c>
      <c r="S34" s="141"/>
    </row>
    <row r="35" spans="1:19" s="3" customFormat="1" ht="12.75">
      <c r="A35" s="225" t="s">
        <v>44</v>
      </c>
      <c r="B35" s="27">
        <f>SUM(D35:H35)</f>
        <v>3681</v>
      </c>
      <c r="C35" s="27">
        <f aca="true" t="shared" si="7" ref="C35:C43">SUM(I35:M35)</f>
        <v>78937</v>
      </c>
      <c r="D35" s="27"/>
      <c r="E35" s="27"/>
      <c r="F35" s="27"/>
      <c r="G35" s="27">
        <v>3681</v>
      </c>
      <c r="H35" s="27"/>
      <c r="I35" s="27"/>
      <c r="J35" s="27">
        <v>1833</v>
      </c>
      <c r="K35" s="27">
        <v>22761</v>
      </c>
      <c r="L35" s="27">
        <v>25424</v>
      </c>
      <c r="M35" s="27">
        <v>28919</v>
      </c>
      <c r="N35" s="132">
        <v>32202</v>
      </c>
      <c r="O35" s="132">
        <v>27518</v>
      </c>
      <c r="P35" s="132">
        <v>24127</v>
      </c>
      <c r="Q35" s="132">
        <v>23250</v>
      </c>
      <c r="R35" s="27">
        <f t="shared" si="6"/>
        <v>189715</v>
      </c>
      <c r="S35" s="141"/>
    </row>
    <row r="36" spans="1:19" s="3" customFormat="1" ht="12.75">
      <c r="A36" s="225" t="s">
        <v>45</v>
      </c>
      <c r="B36" s="27">
        <f>SUM(D36:H36)</f>
        <v>2169</v>
      </c>
      <c r="C36" s="27">
        <f t="shared" si="7"/>
        <v>0</v>
      </c>
      <c r="D36" s="27"/>
      <c r="E36" s="27"/>
      <c r="F36" s="27"/>
      <c r="G36" s="27">
        <v>2169</v>
      </c>
      <c r="H36" s="27"/>
      <c r="I36" s="391"/>
      <c r="J36" s="391"/>
      <c r="K36" s="391"/>
      <c r="L36" s="391"/>
      <c r="M36" s="391"/>
      <c r="N36" s="391"/>
      <c r="O36" s="391"/>
      <c r="P36" s="391"/>
      <c r="Q36" s="391"/>
      <c r="R36" s="27">
        <f t="shared" si="6"/>
        <v>2169</v>
      </c>
      <c r="S36" s="141"/>
    </row>
    <row r="37" spans="1:19" s="3" customFormat="1" ht="12.75">
      <c r="A37" s="225" t="s">
        <v>42</v>
      </c>
      <c r="B37" s="27">
        <f>SUM(D37:H37)</f>
        <v>70281</v>
      </c>
      <c r="C37" s="27">
        <f t="shared" si="7"/>
        <v>46855</v>
      </c>
      <c r="D37" s="27">
        <v>7223</v>
      </c>
      <c r="E37" s="27">
        <v>14678</v>
      </c>
      <c r="F37" s="27">
        <v>8762</v>
      </c>
      <c r="G37" s="27">
        <v>11748</v>
      </c>
      <c r="H37" s="27">
        <v>27870</v>
      </c>
      <c r="I37" s="27">
        <v>19979</v>
      </c>
      <c r="J37" s="27">
        <v>7576</v>
      </c>
      <c r="K37" s="27">
        <v>13464</v>
      </c>
      <c r="L37" s="27">
        <v>5836</v>
      </c>
      <c r="M37" s="391"/>
      <c r="N37" s="391"/>
      <c r="O37" s="391"/>
      <c r="P37" s="391"/>
      <c r="Q37" s="391"/>
      <c r="R37" s="27">
        <f t="shared" si="6"/>
        <v>117136</v>
      </c>
      <c r="S37" s="141"/>
    </row>
    <row r="38" spans="1:19" s="3" customFormat="1" ht="12.75">
      <c r="A38" s="181" t="s">
        <v>181</v>
      </c>
      <c r="B38" s="27">
        <f>SUM(D38:H38)</f>
        <v>0</v>
      </c>
      <c r="C38" s="27">
        <f t="shared" si="7"/>
        <v>19230</v>
      </c>
      <c r="D38" s="27"/>
      <c r="E38" s="27"/>
      <c r="F38" s="27"/>
      <c r="G38" s="27"/>
      <c r="H38" s="27"/>
      <c r="I38" s="391"/>
      <c r="J38" s="391"/>
      <c r="K38" s="27">
        <v>5380</v>
      </c>
      <c r="L38" s="27">
        <v>8017</v>
      </c>
      <c r="M38" s="27">
        <v>5833</v>
      </c>
      <c r="N38" s="391"/>
      <c r="O38" s="391"/>
      <c r="P38" s="391"/>
      <c r="Q38" s="391"/>
      <c r="R38" s="27">
        <f t="shared" si="6"/>
        <v>19230</v>
      </c>
      <c r="S38" s="141"/>
    </row>
    <row r="39" spans="1:19" s="3" customFormat="1" ht="12.75">
      <c r="A39" s="181" t="s">
        <v>273</v>
      </c>
      <c r="B39" s="27"/>
      <c r="C39" s="27">
        <f t="shared" si="7"/>
        <v>0</v>
      </c>
      <c r="D39" s="27"/>
      <c r="E39" s="27"/>
      <c r="F39" s="27"/>
      <c r="G39" s="27"/>
      <c r="H39" s="27"/>
      <c r="I39" s="391"/>
      <c r="J39" s="391"/>
      <c r="K39" s="391"/>
      <c r="L39" s="391"/>
      <c r="M39" s="391"/>
      <c r="N39" s="391"/>
      <c r="O39" s="391"/>
      <c r="P39" s="132">
        <v>5447</v>
      </c>
      <c r="Q39" s="132">
        <v>6363</v>
      </c>
      <c r="R39" s="27">
        <f t="shared" si="6"/>
        <v>11810</v>
      </c>
      <c r="S39" s="141"/>
    </row>
    <row r="40" spans="1:19" s="3" customFormat="1" ht="12.75">
      <c r="A40" s="181" t="s">
        <v>196</v>
      </c>
      <c r="B40" s="27">
        <f>SUM(D40:H40)</f>
        <v>0</v>
      </c>
      <c r="C40" s="27">
        <f t="shared" si="7"/>
        <v>16275</v>
      </c>
      <c r="D40" s="27"/>
      <c r="E40" s="27"/>
      <c r="F40" s="27"/>
      <c r="G40" s="27"/>
      <c r="H40" s="27"/>
      <c r="I40" s="391"/>
      <c r="J40" s="391"/>
      <c r="K40" s="391"/>
      <c r="L40" s="391"/>
      <c r="M40" s="27">
        <v>16275</v>
      </c>
      <c r="N40" s="132">
        <v>15769</v>
      </c>
      <c r="O40" s="132">
        <v>18579</v>
      </c>
      <c r="P40" s="132">
        <v>10871</v>
      </c>
      <c r="Q40" s="132">
        <v>10364</v>
      </c>
      <c r="R40" s="27">
        <f t="shared" si="6"/>
        <v>71858</v>
      </c>
      <c r="S40" s="141"/>
    </row>
    <row r="41" spans="1:19" s="3" customFormat="1" ht="12.75">
      <c r="A41" s="181" t="s">
        <v>246</v>
      </c>
      <c r="B41" s="27">
        <f>SUM(D41:H41)</f>
        <v>0</v>
      </c>
      <c r="C41" s="27">
        <f t="shared" si="7"/>
        <v>42942</v>
      </c>
      <c r="D41" s="27"/>
      <c r="E41" s="27"/>
      <c r="F41" s="27"/>
      <c r="G41" s="27"/>
      <c r="H41" s="27"/>
      <c r="I41" s="391"/>
      <c r="J41" s="391"/>
      <c r="K41" s="391"/>
      <c r="L41" s="391"/>
      <c r="M41" s="27">
        <v>42942</v>
      </c>
      <c r="N41" s="132">
        <v>93930</v>
      </c>
      <c r="O41" s="132">
        <v>85977</v>
      </c>
      <c r="P41" s="132">
        <v>32000</v>
      </c>
      <c r="Q41" s="132">
        <v>32463</v>
      </c>
      <c r="R41" s="27">
        <f t="shared" si="6"/>
        <v>287312</v>
      </c>
      <c r="S41" s="141"/>
    </row>
    <row r="42" spans="1:19" s="3" customFormat="1" ht="12.75">
      <c r="A42" s="225" t="s">
        <v>79</v>
      </c>
      <c r="B42" s="27">
        <f>SUM(D42:H42)</f>
        <v>0</v>
      </c>
      <c r="C42" s="27">
        <f t="shared" si="7"/>
        <v>3</v>
      </c>
      <c r="D42" s="27"/>
      <c r="E42" s="27"/>
      <c r="F42" s="27"/>
      <c r="G42" s="27"/>
      <c r="H42" s="27"/>
      <c r="I42" s="27">
        <v>3</v>
      </c>
      <c r="J42" s="391"/>
      <c r="K42" s="391"/>
      <c r="L42" s="391"/>
      <c r="M42" s="391"/>
      <c r="N42" s="391"/>
      <c r="O42" s="391"/>
      <c r="P42" s="391"/>
      <c r="Q42" s="391"/>
      <c r="R42" s="27">
        <f t="shared" si="6"/>
        <v>3</v>
      </c>
      <c r="S42" s="141"/>
    </row>
    <row r="43" spans="1:19" s="3" customFormat="1" ht="12.75">
      <c r="A43" s="16" t="s">
        <v>1</v>
      </c>
      <c r="B43" s="36">
        <f>SUM(D43:H43)</f>
        <v>140646</v>
      </c>
      <c r="C43" s="36">
        <f t="shared" si="7"/>
        <v>259992</v>
      </c>
      <c r="D43" s="36">
        <f>SUM(D37)</f>
        <v>7223</v>
      </c>
      <c r="E43" s="36">
        <f>SUM(E37)</f>
        <v>14678</v>
      </c>
      <c r="F43" s="36">
        <f aca="true" t="shared" si="8" ref="F43:K43">SUM(F34:F42)</f>
        <v>34149</v>
      </c>
      <c r="G43" s="36">
        <f t="shared" si="8"/>
        <v>42018</v>
      </c>
      <c r="H43" s="36">
        <f t="shared" si="8"/>
        <v>42578</v>
      </c>
      <c r="I43" s="36">
        <f t="shared" si="8"/>
        <v>29589</v>
      </c>
      <c r="J43" s="36">
        <f t="shared" si="8"/>
        <v>23011</v>
      </c>
      <c r="K43" s="36">
        <f t="shared" si="8"/>
        <v>55296</v>
      </c>
      <c r="L43" s="36">
        <f aca="true" t="shared" si="9" ref="L43:Q43">SUM(L34:L42)</f>
        <v>46805</v>
      </c>
      <c r="M43" s="36">
        <f t="shared" si="9"/>
        <v>105291</v>
      </c>
      <c r="N43" s="36">
        <f t="shared" si="9"/>
        <v>141901</v>
      </c>
      <c r="O43" s="149">
        <f t="shared" si="9"/>
        <v>132074</v>
      </c>
      <c r="P43" s="149">
        <f t="shared" si="9"/>
        <v>72445</v>
      </c>
      <c r="Q43" s="149">
        <f t="shared" si="9"/>
        <v>72440</v>
      </c>
      <c r="R43" s="36">
        <f t="shared" si="6"/>
        <v>819498</v>
      </c>
      <c r="S43" s="141"/>
    </row>
    <row r="44" spans="1:19" s="3" customFormat="1" ht="12.75">
      <c r="A44" s="43"/>
      <c r="B44" s="44"/>
      <c r="C44" s="44"/>
      <c r="D44" s="44"/>
      <c r="E44" s="44"/>
      <c r="F44" s="44"/>
      <c r="G44" s="44"/>
      <c r="H44" s="44"/>
      <c r="I44" s="44"/>
      <c r="J44" s="44"/>
      <c r="K44" s="44"/>
      <c r="L44" s="44"/>
      <c r="M44" s="44"/>
      <c r="N44" s="58"/>
      <c r="O44" s="58"/>
      <c r="P44" s="58"/>
      <c r="Q44" s="58"/>
      <c r="R44" s="44"/>
      <c r="S44" s="141"/>
    </row>
    <row r="45" spans="1:19" s="3" customFormat="1" ht="12.75">
      <c r="A45" s="16" t="s">
        <v>43</v>
      </c>
      <c r="B45" s="36">
        <f>SUM(D45:H45)</f>
        <v>4748564</v>
      </c>
      <c r="C45" s="36">
        <f>SUM(I45:M45)</f>
        <v>18191815</v>
      </c>
      <c r="D45" s="36"/>
      <c r="E45" s="36"/>
      <c r="F45" s="36">
        <v>1496339</v>
      </c>
      <c r="G45" s="36">
        <v>2014151</v>
      </c>
      <c r="H45" s="36">
        <v>1238074</v>
      </c>
      <c r="I45" s="36"/>
      <c r="J45" s="36">
        <v>3162034</v>
      </c>
      <c r="K45" s="36">
        <v>4399641</v>
      </c>
      <c r="L45" s="36">
        <v>6643677</v>
      </c>
      <c r="M45" s="36">
        <v>3986463</v>
      </c>
      <c r="N45" s="149">
        <v>5269102</v>
      </c>
      <c r="O45" s="149">
        <v>7751359</v>
      </c>
      <c r="P45" s="149">
        <v>6444990</v>
      </c>
      <c r="Q45" s="149">
        <v>4559013</v>
      </c>
      <c r="R45" s="36">
        <f>SUM(D45:Q45)</f>
        <v>46964843</v>
      </c>
      <c r="S45" s="141"/>
    </row>
    <row r="46" spans="1:19" s="3" customFormat="1" ht="12.75">
      <c r="A46" s="2" t="s">
        <v>291</v>
      </c>
      <c r="B46" s="21"/>
      <c r="C46" s="21"/>
      <c r="D46" s="40"/>
      <c r="E46" s="40"/>
      <c r="F46" s="40"/>
      <c r="G46" s="40"/>
      <c r="H46" s="40"/>
      <c r="I46" s="40"/>
      <c r="J46" s="40"/>
      <c r="K46" s="40"/>
      <c r="L46" s="40"/>
      <c r="M46" s="40"/>
      <c r="N46" s="63"/>
      <c r="O46" s="63"/>
      <c r="P46" s="63"/>
      <c r="Q46" s="63"/>
      <c r="R46" s="40"/>
      <c r="S46" s="141"/>
    </row>
    <row r="47" spans="1:19" s="3" customFormat="1" ht="15.75">
      <c r="A47" s="428" t="s">
        <v>388</v>
      </c>
      <c r="B47" s="429"/>
      <c r="C47" s="429"/>
      <c r="D47" s="398"/>
      <c r="E47" s="398"/>
      <c r="F47" s="398"/>
      <c r="G47" s="398"/>
      <c r="H47" s="398"/>
      <c r="I47" s="398"/>
      <c r="J47" s="398"/>
      <c r="K47" s="398"/>
      <c r="L47" s="398"/>
      <c r="M47" s="398"/>
      <c r="N47" s="398"/>
      <c r="O47" s="398"/>
      <c r="P47" s="398"/>
      <c r="Q47" s="398"/>
      <c r="R47" s="398"/>
      <c r="S47" s="141"/>
    </row>
    <row r="48" spans="1:19" s="3" customFormat="1" ht="25.5">
      <c r="A48" s="43" t="s">
        <v>6</v>
      </c>
      <c r="B48" s="205" t="str">
        <f>B4</f>
        <v>Summary 
2001 to 2005*</v>
      </c>
      <c r="C48" s="205" t="str">
        <f>C4</f>
        <v>Summary 
2006 to 2010*</v>
      </c>
      <c r="D48" s="28">
        <v>2001</v>
      </c>
      <c r="E48" s="28">
        <v>2002</v>
      </c>
      <c r="F48" s="28">
        <v>2003</v>
      </c>
      <c r="G48" s="28">
        <v>2004</v>
      </c>
      <c r="H48" s="28">
        <v>2005</v>
      </c>
      <c r="I48" s="28">
        <v>2006</v>
      </c>
      <c r="J48" s="28">
        <v>2007</v>
      </c>
      <c r="K48" s="28">
        <v>2008</v>
      </c>
      <c r="L48" s="28">
        <v>2009</v>
      </c>
      <c r="M48" s="28">
        <v>2010</v>
      </c>
      <c r="N48" s="105">
        <v>2011</v>
      </c>
      <c r="O48" s="213" t="str">
        <f>O4</f>
        <v>(18 month)
2012-2013</v>
      </c>
      <c r="P48" s="213" t="str">
        <f>P4</f>
        <v>FY2014</v>
      </c>
      <c r="Q48" s="213" t="str">
        <f>Q4</f>
        <v>FY2015</v>
      </c>
      <c r="R48" s="124" t="str">
        <f>R4</f>
        <v>Total 
2001 ~ FY2015</v>
      </c>
      <c r="S48" s="141"/>
    </row>
    <row r="49" spans="1:18" s="3" customFormat="1" ht="12.75">
      <c r="A49" s="43" t="s">
        <v>407</v>
      </c>
      <c r="B49" s="40" t="s">
        <v>8</v>
      </c>
      <c r="C49" s="40" t="s">
        <v>8</v>
      </c>
      <c r="D49" s="40" t="s">
        <v>8</v>
      </c>
      <c r="E49" s="40" t="s">
        <v>8</v>
      </c>
      <c r="F49" s="40" t="s">
        <v>8</v>
      </c>
      <c r="G49" s="40" t="s">
        <v>8</v>
      </c>
      <c r="H49" s="40" t="s">
        <v>8</v>
      </c>
      <c r="I49" s="40" t="s">
        <v>8</v>
      </c>
      <c r="J49" s="40" t="s">
        <v>8</v>
      </c>
      <c r="K49" s="45" t="s">
        <v>8</v>
      </c>
      <c r="L49" s="45" t="s">
        <v>8</v>
      </c>
      <c r="M49" s="45" t="s">
        <v>8</v>
      </c>
      <c r="N49" s="87" t="s">
        <v>8</v>
      </c>
      <c r="O49" s="87" t="s">
        <v>8</v>
      </c>
      <c r="P49" s="87" t="s">
        <v>8</v>
      </c>
      <c r="Q49" s="87" t="s">
        <v>8</v>
      </c>
      <c r="R49" s="40" t="s">
        <v>8</v>
      </c>
    </row>
    <row r="50" spans="1:18" s="3" customFormat="1" ht="12.75">
      <c r="A50" s="15" t="s">
        <v>165</v>
      </c>
      <c r="B50" s="250">
        <f aca="true" t="shared" si="10" ref="B50:B59">SUM(D50:H50)</f>
        <v>220165</v>
      </c>
      <c r="C50" s="250">
        <f aca="true" t="shared" si="11" ref="C50:C59">SUM(I50:M50)</f>
        <v>824709.2</v>
      </c>
      <c r="D50" s="250">
        <v>0</v>
      </c>
      <c r="E50" s="250">
        <v>0</v>
      </c>
      <c r="F50" s="250">
        <v>61630</v>
      </c>
      <c r="G50" s="250">
        <v>95947</v>
      </c>
      <c r="H50" s="250">
        <v>62588</v>
      </c>
      <c r="I50" s="252">
        <v>0</v>
      </c>
      <c r="J50" s="252">
        <v>106450</v>
      </c>
      <c r="K50" s="252">
        <v>213772</v>
      </c>
      <c r="L50" s="252">
        <v>338254</v>
      </c>
      <c r="M50" s="252">
        <v>166233.2</v>
      </c>
      <c r="N50" s="252">
        <v>218398</v>
      </c>
      <c r="O50" s="252">
        <v>324344.9</v>
      </c>
      <c r="P50" s="252">
        <v>268456</v>
      </c>
      <c r="Q50" s="252">
        <v>174259.9938393001</v>
      </c>
      <c r="R50" s="250">
        <f aca="true" t="shared" si="12" ref="R50:R58">SUM(D50:Q50)</f>
        <v>2030333.0938393</v>
      </c>
    </row>
    <row r="51" spans="1:18" s="3" customFormat="1" ht="12.75">
      <c r="A51" s="15" t="s">
        <v>40</v>
      </c>
      <c r="B51" s="250">
        <f t="shared" si="10"/>
        <v>3730</v>
      </c>
      <c r="C51" s="250">
        <f t="shared" si="11"/>
        <v>3145</v>
      </c>
      <c r="D51" s="250">
        <v>0</v>
      </c>
      <c r="E51" s="250">
        <v>0</v>
      </c>
      <c r="F51" s="250">
        <v>1432</v>
      </c>
      <c r="G51" s="250">
        <v>1377</v>
      </c>
      <c r="H51" s="250">
        <v>921</v>
      </c>
      <c r="I51" s="252">
        <v>542</v>
      </c>
      <c r="J51" s="252">
        <v>767</v>
      </c>
      <c r="K51" s="252">
        <v>772</v>
      </c>
      <c r="L51" s="252">
        <v>425</v>
      </c>
      <c r="M51" s="252">
        <v>639</v>
      </c>
      <c r="N51" s="252">
        <v>13</v>
      </c>
      <c r="O51" s="316"/>
      <c r="P51" s="316"/>
      <c r="Q51" s="316"/>
      <c r="R51" s="250">
        <f t="shared" si="12"/>
        <v>6888</v>
      </c>
    </row>
    <row r="52" spans="1:18" s="3" customFormat="1" ht="12.75">
      <c r="A52" s="19" t="s">
        <v>182</v>
      </c>
      <c r="B52" s="250">
        <f t="shared" si="10"/>
        <v>0</v>
      </c>
      <c r="C52" s="250">
        <f t="shared" si="11"/>
        <v>9834</v>
      </c>
      <c r="D52" s="250"/>
      <c r="E52" s="250"/>
      <c r="F52" s="250"/>
      <c r="G52" s="250"/>
      <c r="H52" s="250"/>
      <c r="I52" s="316"/>
      <c r="J52" s="316"/>
      <c r="K52" s="252">
        <v>2837</v>
      </c>
      <c r="L52" s="252">
        <v>3248</v>
      </c>
      <c r="M52" s="252">
        <v>3749</v>
      </c>
      <c r="N52" s="252">
        <f>3106.5+9.9+642.4</f>
        <v>3758.8</v>
      </c>
      <c r="O52" s="253">
        <f>3426.8+49.6</f>
        <v>3476.4</v>
      </c>
      <c r="P52" s="253">
        <v>3149</v>
      </c>
      <c r="Q52" s="253">
        <v>2983.68</v>
      </c>
      <c r="R52" s="250">
        <f t="shared" si="12"/>
        <v>23201.88</v>
      </c>
    </row>
    <row r="53" spans="1:18" s="3" customFormat="1" ht="12.75">
      <c r="A53" s="15" t="s">
        <v>456</v>
      </c>
      <c r="B53" s="250">
        <f t="shared" si="10"/>
        <v>0</v>
      </c>
      <c r="C53" s="250">
        <f t="shared" si="11"/>
        <v>0</v>
      </c>
      <c r="D53" s="250"/>
      <c r="E53" s="250"/>
      <c r="F53" s="250"/>
      <c r="G53" s="250"/>
      <c r="H53" s="250"/>
      <c r="I53" s="316"/>
      <c r="J53" s="316"/>
      <c r="K53" s="316"/>
      <c r="L53" s="316"/>
      <c r="M53" s="316"/>
      <c r="N53" s="316"/>
      <c r="O53" s="316"/>
      <c r="P53" s="316"/>
      <c r="Q53" s="253">
        <v>74.8</v>
      </c>
      <c r="R53" s="250">
        <f t="shared" si="12"/>
        <v>74.8</v>
      </c>
    </row>
    <row r="54" spans="1:18" s="3" customFormat="1" ht="12.75">
      <c r="A54" s="19" t="s">
        <v>181</v>
      </c>
      <c r="B54" s="250">
        <f t="shared" si="10"/>
        <v>0</v>
      </c>
      <c r="C54" s="250">
        <f t="shared" si="11"/>
        <v>1365</v>
      </c>
      <c r="D54" s="250"/>
      <c r="E54" s="250"/>
      <c r="F54" s="250"/>
      <c r="G54" s="250"/>
      <c r="H54" s="250"/>
      <c r="I54" s="316"/>
      <c r="J54" s="316"/>
      <c r="K54" s="252">
        <v>382</v>
      </c>
      <c r="L54" s="252">
        <v>569</v>
      </c>
      <c r="M54" s="252">
        <v>414</v>
      </c>
      <c r="N54" s="252">
        <v>28</v>
      </c>
      <c r="O54" s="316"/>
      <c r="P54" s="316"/>
      <c r="Q54" s="316"/>
      <c r="R54" s="250">
        <f t="shared" si="12"/>
        <v>1393</v>
      </c>
    </row>
    <row r="55" spans="1:18" s="3" customFormat="1" ht="12.75">
      <c r="A55" s="19" t="s">
        <v>273</v>
      </c>
      <c r="B55" s="250">
        <f t="shared" si="10"/>
        <v>0</v>
      </c>
      <c r="C55" s="250">
        <f t="shared" si="11"/>
        <v>0</v>
      </c>
      <c r="D55" s="250"/>
      <c r="E55" s="250"/>
      <c r="F55" s="250"/>
      <c r="G55" s="250"/>
      <c r="H55" s="250"/>
      <c r="I55" s="316"/>
      <c r="J55" s="316"/>
      <c r="K55" s="316"/>
      <c r="L55" s="316"/>
      <c r="M55" s="316"/>
      <c r="N55" s="252">
        <v>515.9</v>
      </c>
      <c r="O55" s="253">
        <f>26.1+11.4</f>
        <v>37.5</v>
      </c>
      <c r="P55" s="253">
        <v>722</v>
      </c>
      <c r="Q55" s="253">
        <v>805.519</v>
      </c>
      <c r="R55" s="250">
        <f t="shared" si="12"/>
        <v>2080.919</v>
      </c>
    </row>
    <row r="56" spans="1:18" s="3" customFormat="1" ht="12.75">
      <c r="A56" s="19" t="s">
        <v>196</v>
      </c>
      <c r="B56" s="250">
        <f t="shared" si="10"/>
        <v>0</v>
      </c>
      <c r="C56" s="250">
        <f t="shared" si="11"/>
        <v>20940.6</v>
      </c>
      <c r="D56" s="250"/>
      <c r="E56" s="250"/>
      <c r="F56" s="250"/>
      <c r="G56" s="250"/>
      <c r="H56" s="250"/>
      <c r="I56" s="316"/>
      <c r="J56" s="316"/>
      <c r="K56" s="316"/>
      <c r="L56" s="252">
        <v>5540</v>
      </c>
      <c r="M56" s="252">
        <v>15400.6</v>
      </c>
      <c r="N56" s="252">
        <v>15560.9</v>
      </c>
      <c r="O56" s="252">
        <v>17469.5</v>
      </c>
      <c r="P56" s="252">
        <v>10991</v>
      </c>
      <c r="Q56" s="252">
        <v>10599.811200002023</v>
      </c>
      <c r="R56" s="250">
        <f t="shared" si="12"/>
        <v>75561.81120000202</v>
      </c>
    </row>
    <row r="57" spans="1:18" s="3" customFormat="1" ht="12.75">
      <c r="A57" s="19" t="s">
        <v>246</v>
      </c>
      <c r="B57" s="250">
        <f t="shared" si="10"/>
        <v>0</v>
      </c>
      <c r="C57" s="250">
        <f t="shared" si="11"/>
        <v>4707</v>
      </c>
      <c r="D57" s="250"/>
      <c r="E57" s="250"/>
      <c r="F57" s="250"/>
      <c r="G57" s="250"/>
      <c r="H57" s="250"/>
      <c r="I57" s="316"/>
      <c r="J57" s="316"/>
      <c r="K57" s="316"/>
      <c r="L57" s="316"/>
      <c r="M57" s="252">
        <v>4707</v>
      </c>
      <c r="N57" s="252">
        <v>8829.4</v>
      </c>
      <c r="O57" s="252">
        <v>7996.7</v>
      </c>
      <c r="P57" s="252">
        <v>3008</v>
      </c>
      <c r="Q57" s="252">
        <v>3051.522</v>
      </c>
      <c r="R57" s="250">
        <f t="shared" si="12"/>
        <v>27592.622</v>
      </c>
    </row>
    <row r="58" spans="1:18" s="3" customFormat="1" ht="12.75">
      <c r="A58" s="19" t="s">
        <v>274</v>
      </c>
      <c r="B58" s="250">
        <f t="shared" si="10"/>
        <v>0</v>
      </c>
      <c r="C58" s="250">
        <f t="shared" si="11"/>
        <v>0</v>
      </c>
      <c r="D58" s="250"/>
      <c r="E58" s="250"/>
      <c r="F58" s="250"/>
      <c r="G58" s="250"/>
      <c r="H58" s="250"/>
      <c r="I58" s="316"/>
      <c r="J58" s="316"/>
      <c r="K58" s="316"/>
      <c r="L58" s="316"/>
      <c r="M58" s="316"/>
      <c r="N58" s="252">
        <v>118.1</v>
      </c>
      <c r="O58" s="316"/>
      <c r="P58" s="316"/>
      <c r="Q58" s="316"/>
      <c r="R58" s="250">
        <f t="shared" si="12"/>
        <v>118.1</v>
      </c>
    </row>
    <row r="59" spans="1:18" s="3" customFormat="1" ht="12.75">
      <c r="A59" s="16" t="s">
        <v>1</v>
      </c>
      <c r="B59" s="263">
        <f t="shared" si="10"/>
        <v>223895</v>
      </c>
      <c r="C59" s="263">
        <f t="shared" si="11"/>
        <v>864700.8</v>
      </c>
      <c r="D59" s="263">
        <f>SUM(D50:D54)</f>
        <v>0</v>
      </c>
      <c r="E59" s="263">
        <f>SUM(E50:E54)</f>
        <v>0</v>
      </c>
      <c r="F59" s="263">
        <f>SUM(F50:F54)</f>
        <v>63062</v>
      </c>
      <c r="G59" s="263">
        <f>SUM(G50:G54)</f>
        <v>97324</v>
      </c>
      <c r="H59" s="254">
        <f aca="true" t="shared" si="13" ref="H59:R59">SUM(H50:H58)</f>
        <v>63509</v>
      </c>
      <c r="I59" s="254">
        <f t="shared" si="13"/>
        <v>542</v>
      </c>
      <c r="J59" s="254">
        <f t="shared" si="13"/>
        <v>107217</v>
      </c>
      <c r="K59" s="254">
        <f t="shared" si="13"/>
        <v>217763</v>
      </c>
      <c r="L59" s="254">
        <f t="shared" si="13"/>
        <v>348036</v>
      </c>
      <c r="M59" s="254">
        <f t="shared" si="13"/>
        <v>191142.80000000002</v>
      </c>
      <c r="N59" s="254">
        <f t="shared" si="13"/>
        <v>247222.09999999998</v>
      </c>
      <c r="O59" s="254">
        <f t="shared" si="13"/>
        <v>353325.00000000006</v>
      </c>
      <c r="P59" s="254">
        <f t="shared" si="13"/>
        <v>286326</v>
      </c>
      <c r="Q59" s="254">
        <f>SUM(Q50:Q58)</f>
        <v>191775.3260393021</v>
      </c>
      <c r="R59" s="254">
        <f t="shared" si="13"/>
        <v>2167244.226039302</v>
      </c>
    </row>
    <row r="60" spans="1:22" s="3" customFormat="1" ht="12.75">
      <c r="A60" s="21"/>
      <c r="B60" s="21"/>
      <c r="C60" s="21"/>
      <c r="D60" s="40"/>
      <c r="E60" s="40"/>
      <c r="F60" s="44"/>
      <c r="G60" s="44"/>
      <c r="H60" s="44"/>
      <c r="I60" s="58"/>
      <c r="J60" s="58"/>
      <c r="K60" s="58"/>
      <c r="L60" s="58"/>
      <c r="M60" s="58"/>
      <c r="N60" s="58"/>
      <c r="O60" s="58"/>
      <c r="P60" s="58"/>
      <c r="Q60" s="58"/>
      <c r="R60" s="44"/>
      <c r="S60" s="141"/>
      <c r="T60" s="141"/>
      <c r="U60" s="141"/>
      <c r="V60" s="141"/>
    </row>
    <row r="61" spans="1:22" s="3" customFormat="1" ht="12.75">
      <c r="A61" s="43" t="s">
        <v>408</v>
      </c>
      <c r="B61" s="63" t="s">
        <v>8</v>
      </c>
      <c r="C61" s="63" t="s">
        <v>8</v>
      </c>
      <c r="D61" s="40" t="s">
        <v>8</v>
      </c>
      <c r="E61" s="40" t="s">
        <v>8</v>
      </c>
      <c r="F61" s="40" t="s">
        <v>8</v>
      </c>
      <c r="G61" s="40" t="s">
        <v>8</v>
      </c>
      <c r="H61" s="40" t="s">
        <v>8</v>
      </c>
      <c r="I61" s="63" t="s">
        <v>8</v>
      </c>
      <c r="J61" s="40" t="s">
        <v>8</v>
      </c>
      <c r="K61" s="45" t="s">
        <v>8</v>
      </c>
      <c r="L61" s="45" t="s">
        <v>8</v>
      </c>
      <c r="M61" s="45" t="s">
        <v>8</v>
      </c>
      <c r="N61" s="87" t="s">
        <v>8</v>
      </c>
      <c r="O61" s="87" t="s">
        <v>8</v>
      </c>
      <c r="P61" s="87" t="s">
        <v>8</v>
      </c>
      <c r="Q61" s="87" t="s">
        <v>8</v>
      </c>
      <c r="R61" s="40" t="s">
        <v>8</v>
      </c>
      <c r="S61" s="141"/>
      <c r="T61" s="141"/>
      <c r="U61" s="141"/>
      <c r="V61" s="141"/>
    </row>
    <row r="62" spans="1:22" s="3" customFormat="1" ht="12.75">
      <c r="A62" s="15" t="s">
        <v>165</v>
      </c>
      <c r="B62" s="250">
        <f aca="true" t="shared" si="14" ref="B62:B71">SUM(D62:H62)</f>
        <v>1677956</v>
      </c>
      <c r="C62" s="250">
        <f aca="true" t="shared" si="15" ref="C62:C71">SUM(I62:M62)</f>
        <v>5460267</v>
      </c>
      <c r="D62" s="250">
        <v>0</v>
      </c>
      <c r="E62" s="250">
        <v>0</v>
      </c>
      <c r="F62" s="250">
        <v>359018</v>
      </c>
      <c r="G62" s="250">
        <v>790151</v>
      </c>
      <c r="H62" s="250">
        <v>528787</v>
      </c>
      <c r="I62" s="252">
        <v>0</v>
      </c>
      <c r="J62" s="252">
        <v>742908</v>
      </c>
      <c r="K62" s="252">
        <v>1368138</v>
      </c>
      <c r="L62" s="252">
        <v>2217915</v>
      </c>
      <c r="M62" s="252">
        <v>1131306</v>
      </c>
      <c r="N62" s="252">
        <v>1461053.1</v>
      </c>
      <c r="O62" s="252">
        <v>2241371.2</v>
      </c>
      <c r="P62" s="252">
        <v>2216737</v>
      </c>
      <c r="Q62" s="252">
        <v>1848765.5904660018</v>
      </c>
      <c r="R62" s="250">
        <f>SUM(D62:Q62)</f>
        <v>14906149.890466003</v>
      </c>
      <c r="S62" s="141"/>
      <c r="T62" s="141"/>
      <c r="U62" s="235"/>
      <c r="V62" s="64"/>
    </row>
    <row r="63" spans="1:22" s="3" customFormat="1" ht="12.75">
      <c r="A63" s="15" t="s">
        <v>40</v>
      </c>
      <c r="B63" s="250">
        <f t="shared" si="14"/>
        <v>37299</v>
      </c>
      <c r="C63" s="250">
        <f t="shared" si="15"/>
        <v>31444</v>
      </c>
      <c r="D63" s="250">
        <v>0</v>
      </c>
      <c r="E63" s="250">
        <v>0</v>
      </c>
      <c r="F63" s="250">
        <v>14318</v>
      </c>
      <c r="G63" s="250">
        <v>13773</v>
      </c>
      <c r="H63" s="252">
        <v>9208</v>
      </c>
      <c r="I63" s="252">
        <v>5418</v>
      </c>
      <c r="J63" s="252">
        <v>7672</v>
      </c>
      <c r="K63" s="252">
        <v>7722</v>
      </c>
      <c r="L63" s="252">
        <v>4246</v>
      </c>
      <c r="M63" s="252">
        <v>6386</v>
      </c>
      <c r="N63" s="252">
        <v>129.7</v>
      </c>
      <c r="O63" s="316"/>
      <c r="P63" s="316"/>
      <c r="Q63" s="316"/>
      <c r="R63" s="250">
        <f>SUM(D63:Q63)</f>
        <v>68872.7</v>
      </c>
      <c r="S63" s="141"/>
      <c r="T63" s="141"/>
      <c r="U63" s="235"/>
      <c r="V63" s="64"/>
    </row>
    <row r="64" spans="1:22" s="3" customFormat="1" ht="12.75">
      <c r="A64" s="15" t="s">
        <v>44</v>
      </c>
      <c r="B64" s="250">
        <f t="shared" si="14"/>
        <v>0</v>
      </c>
      <c r="C64" s="250">
        <f t="shared" si="15"/>
        <v>182489</v>
      </c>
      <c r="D64" s="250"/>
      <c r="E64" s="250"/>
      <c r="F64" s="250"/>
      <c r="G64" s="250"/>
      <c r="H64" s="250"/>
      <c r="I64" s="316"/>
      <c r="J64" s="316"/>
      <c r="K64" s="250">
        <v>42549</v>
      </c>
      <c r="L64" s="250">
        <v>64961</v>
      </c>
      <c r="M64" s="250">
        <v>74979</v>
      </c>
      <c r="N64" s="252">
        <f>62130.4+12848.6+197.9</f>
        <v>75176.9</v>
      </c>
      <c r="O64" s="252">
        <f>69270.1+1003.6</f>
        <v>70273.70000000001</v>
      </c>
      <c r="P64" s="252">
        <v>62984</v>
      </c>
      <c r="Q64" s="252">
        <v>32820.479999999996</v>
      </c>
      <c r="R64" s="250">
        <f>SUM(D64:Q64)</f>
        <v>423744.07999999996</v>
      </c>
      <c r="S64" s="141"/>
      <c r="T64" s="141"/>
      <c r="U64" s="235"/>
      <c r="V64" s="64"/>
    </row>
    <row r="65" spans="1:22" s="3" customFormat="1" ht="12.75">
      <c r="A65" s="15" t="s">
        <v>456</v>
      </c>
      <c r="B65" s="250">
        <f t="shared" si="14"/>
        <v>0</v>
      </c>
      <c r="C65" s="250">
        <f t="shared" si="15"/>
        <v>0</v>
      </c>
      <c r="D65" s="250"/>
      <c r="E65" s="250"/>
      <c r="F65" s="250"/>
      <c r="G65" s="250"/>
      <c r="H65" s="250"/>
      <c r="I65" s="316"/>
      <c r="J65" s="316"/>
      <c r="K65" s="316"/>
      <c r="L65" s="316"/>
      <c r="M65" s="316"/>
      <c r="N65" s="316"/>
      <c r="O65" s="316"/>
      <c r="P65" s="316"/>
      <c r="Q65" s="252">
        <v>897.6</v>
      </c>
      <c r="R65" s="250"/>
      <c r="S65" s="141"/>
      <c r="T65" s="141"/>
      <c r="U65" s="235"/>
      <c r="V65" s="64"/>
    </row>
    <row r="66" spans="1:22" s="3" customFormat="1" ht="12.75">
      <c r="A66" s="19" t="s">
        <v>181</v>
      </c>
      <c r="B66" s="250">
        <f t="shared" si="14"/>
        <v>0</v>
      </c>
      <c r="C66" s="250">
        <f t="shared" si="15"/>
        <v>14635</v>
      </c>
      <c r="D66" s="250"/>
      <c r="E66" s="250"/>
      <c r="F66" s="250"/>
      <c r="G66" s="250"/>
      <c r="H66" s="250"/>
      <c r="I66" s="316"/>
      <c r="J66" s="316"/>
      <c r="K66" s="252">
        <v>3820</v>
      </c>
      <c r="L66" s="252">
        <v>6261</v>
      </c>
      <c r="M66" s="252">
        <v>4554</v>
      </c>
      <c r="N66" s="252">
        <v>307.7</v>
      </c>
      <c r="O66" s="316"/>
      <c r="P66" s="316"/>
      <c r="Q66" s="316"/>
      <c r="R66" s="250">
        <f>SUM(D66:Q66)</f>
        <v>14942.7</v>
      </c>
      <c r="S66" s="141"/>
      <c r="T66" s="141"/>
      <c r="U66" s="235"/>
      <c r="V66" s="64"/>
    </row>
    <row r="67" spans="1:22" s="3" customFormat="1" ht="12.75">
      <c r="A67" s="19" t="s">
        <v>273</v>
      </c>
      <c r="B67" s="250">
        <f t="shared" si="14"/>
        <v>0</v>
      </c>
      <c r="C67" s="250">
        <f t="shared" si="15"/>
        <v>0</v>
      </c>
      <c r="D67" s="250"/>
      <c r="E67" s="250"/>
      <c r="F67" s="250"/>
      <c r="G67" s="250"/>
      <c r="H67" s="250"/>
      <c r="I67" s="316"/>
      <c r="J67" s="316"/>
      <c r="K67" s="316"/>
      <c r="L67" s="316"/>
      <c r="M67" s="316"/>
      <c r="N67" s="252">
        <v>8769.9</v>
      </c>
      <c r="O67" s="252">
        <f>447.7+196</f>
        <v>643.7</v>
      </c>
      <c r="P67" s="252">
        <v>12282</v>
      </c>
      <c r="Q67" s="252">
        <v>9666.228</v>
      </c>
      <c r="R67" s="250">
        <f>SUM(D67:Q67)</f>
        <v>31361.827999999998</v>
      </c>
      <c r="S67" s="130"/>
      <c r="T67" s="141"/>
      <c r="U67" s="235"/>
      <c r="V67" s="64"/>
    </row>
    <row r="68" spans="1:22" s="3" customFormat="1" ht="12.75">
      <c r="A68" s="19" t="s">
        <v>196</v>
      </c>
      <c r="B68" s="250">
        <f t="shared" si="14"/>
        <v>0</v>
      </c>
      <c r="C68" s="250">
        <f t="shared" si="15"/>
        <v>168228.4</v>
      </c>
      <c r="D68" s="250"/>
      <c r="E68" s="250"/>
      <c r="F68" s="250"/>
      <c r="G68" s="250"/>
      <c r="H68" s="250"/>
      <c r="I68" s="316"/>
      <c r="J68" s="316"/>
      <c r="K68" s="316"/>
      <c r="L68" s="252">
        <v>44319</v>
      </c>
      <c r="M68" s="252">
        <v>123909.4</v>
      </c>
      <c r="N68" s="252">
        <v>124487.2</v>
      </c>
      <c r="O68" s="252">
        <v>141268.3</v>
      </c>
      <c r="P68" s="252">
        <v>87931</v>
      </c>
      <c r="Q68" s="252">
        <v>84798.48960001618</v>
      </c>
      <c r="R68" s="250">
        <f>SUM(D68:Q68)</f>
        <v>606713.3896000162</v>
      </c>
      <c r="S68" s="130"/>
      <c r="T68" s="141"/>
      <c r="U68" s="235"/>
      <c r="V68" s="64"/>
    </row>
    <row r="69" spans="1:22" s="3" customFormat="1" ht="12.75">
      <c r="A69" s="19" t="s">
        <v>246</v>
      </c>
      <c r="B69" s="250">
        <f t="shared" si="14"/>
        <v>0</v>
      </c>
      <c r="C69" s="250">
        <f t="shared" si="15"/>
        <v>30564.8</v>
      </c>
      <c r="D69" s="250"/>
      <c r="E69" s="250"/>
      <c r="F69" s="250"/>
      <c r="G69" s="250"/>
      <c r="H69" s="250"/>
      <c r="I69" s="316"/>
      <c r="J69" s="316"/>
      <c r="K69" s="316"/>
      <c r="L69" s="316"/>
      <c r="M69" s="252">
        <v>30564.8</v>
      </c>
      <c r="N69" s="252">
        <v>35317.7</v>
      </c>
      <c r="O69" s="252">
        <v>32329.3</v>
      </c>
      <c r="P69" s="252">
        <v>12032</v>
      </c>
      <c r="Q69" s="252">
        <v>12206.088</v>
      </c>
      <c r="R69" s="250">
        <f>SUM(D69:Q69)</f>
        <v>122449.888</v>
      </c>
      <c r="S69" s="130"/>
      <c r="T69" s="141"/>
      <c r="U69" s="235"/>
      <c r="V69" s="64"/>
    </row>
    <row r="70" spans="1:22" s="3" customFormat="1" ht="12.75">
      <c r="A70" s="19" t="s">
        <v>274</v>
      </c>
      <c r="B70" s="250">
        <f t="shared" si="14"/>
        <v>0</v>
      </c>
      <c r="C70" s="250">
        <f t="shared" si="15"/>
        <v>0</v>
      </c>
      <c r="D70" s="250"/>
      <c r="E70" s="250"/>
      <c r="F70" s="250"/>
      <c r="G70" s="250"/>
      <c r="H70" s="250"/>
      <c r="I70" s="316"/>
      <c r="J70" s="316"/>
      <c r="K70" s="316"/>
      <c r="L70" s="316"/>
      <c r="M70" s="316"/>
      <c r="N70" s="252">
        <v>1535.1</v>
      </c>
      <c r="O70" s="316"/>
      <c r="P70" s="316"/>
      <c r="Q70" s="316"/>
      <c r="R70" s="250">
        <f>SUM(D70:Q70)</f>
        <v>1535.1</v>
      </c>
      <c r="S70" s="130"/>
      <c r="T70" s="141"/>
      <c r="U70" s="235"/>
      <c r="V70" s="64"/>
    </row>
    <row r="71" spans="1:22" s="3" customFormat="1" ht="12.75">
      <c r="A71" s="16" t="s">
        <v>1</v>
      </c>
      <c r="B71" s="263">
        <f t="shared" si="14"/>
        <v>1715255</v>
      </c>
      <c r="C71" s="263">
        <f t="shared" si="15"/>
        <v>5887628.2</v>
      </c>
      <c r="D71" s="263">
        <f>SUM(D62:D66)</f>
        <v>0</v>
      </c>
      <c r="E71" s="263">
        <f>SUM(E62:E66)</f>
        <v>0</v>
      </c>
      <c r="F71" s="263">
        <f>SUM(F62:F66)</f>
        <v>373336</v>
      </c>
      <c r="G71" s="263">
        <f>SUM(G62:G66)</f>
        <v>803924</v>
      </c>
      <c r="H71" s="263">
        <f aca="true" t="shared" si="16" ref="H71:R71">SUM(H62:H70)</f>
        <v>537995</v>
      </c>
      <c r="I71" s="263">
        <f t="shared" si="16"/>
        <v>5418</v>
      </c>
      <c r="J71" s="263">
        <f t="shared" si="16"/>
        <v>750580</v>
      </c>
      <c r="K71" s="263">
        <f t="shared" si="16"/>
        <v>1422229</v>
      </c>
      <c r="L71" s="263">
        <f t="shared" si="16"/>
        <v>2337702</v>
      </c>
      <c r="M71" s="263">
        <f t="shared" si="16"/>
        <v>1371699.2</v>
      </c>
      <c r="N71" s="263">
        <f t="shared" si="16"/>
        <v>1706777.2999999998</v>
      </c>
      <c r="O71" s="263">
        <f t="shared" si="16"/>
        <v>2485886.2</v>
      </c>
      <c r="P71" s="263">
        <f t="shared" si="16"/>
        <v>2391966</v>
      </c>
      <c r="Q71" s="263">
        <f>SUM(Q62:Q70)</f>
        <v>1989154.476066018</v>
      </c>
      <c r="R71" s="263">
        <f t="shared" si="16"/>
        <v>16175769.576066017</v>
      </c>
      <c r="S71" s="65"/>
      <c r="T71" s="141"/>
      <c r="U71" s="235"/>
      <c r="V71" s="64"/>
    </row>
    <row r="72" spans="1:22" s="3" customFormat="1" ht="12.75">
      <c r="A72" s="21"/>
      <c r="B72" s="21"/>
      <c r="C72" s="21"/>
      <c r="D72" s="40"/>
      <c r="E72" s="40"/>
      <c r="F72" s="44"/>
      <c r="G72" s="44"/>
      <c r="H72" s="44"/>
      <c r="I72" s="58"/>
      <c r="J72" s="58"/>
      <c r="K72" s="58"/>
      <c r="L72" s="58"/>
      <c r="M72" s="58"/>
      <c r="N72" s="58"/>
      <c r="O72" s="58"/>
      <c r="P72" s="58"/>
      <c r="Q72" s="58"/>
      <c r="R72" s="44"/>
      <c r="S72" s="141"/>
      <c r="T72" s="141"/>
      <c r="U72" s="141"/>
      <c r="V72" s="141"/>
    </row>
    <row r="73" spans="1:22" s="3" customFormat="1" ht="12.75">
      <c r="A73" s="43" t="s">
        <v>109</v>
      </c>
      <c r="B73" s="63" t="s">
        <v>397</v>
      </c>
      <c r="C73" s="63" t="s">
        <v>397</v>
      </c>
      <c r="D73" s="40" t="s">
        <v>397</v>
      </c>
      <c r="E73" s="40" t="s">
        <v>397</v>
      </c>
      <c r="F73" s="40" t="s">
        <v>397</v>
      </c>
      <c r="G73" s="40" t="s">
        <v>397</v>
      </c>
      <c r="H73" s="40" t="s">
        <v>397</v>
      </c>
      <c r="I73" s="63" t="s">
        <v>397</v>
      </c>
      <c r="J73" s="63" t="s">
        <v>397</v>
      </c>
      <c r="K73" s="87" t="s">
        <v>397</v>
      </c>
      <c r="L73" s="87" t="s">
        <v>397</v>
      </c>
      <c r="M73" s="87" t="s">
        <v>397</v>
      </c>
      <c r="N73" s="87" t="s">
        <v>397</v>
      </c>
      <c r="O73" s="87" t="s">
        <v>397</v>
      </c>
      <c r="P73" s="87" t="s">
        <v>397</v>
      </c>
      <c r="Q73" s="87" t="s">
        <v>397</v>
      </c>
      <c r="R73" s="40" t="s">
        <v>397</v>
      </c>
      <c r="S73" s="141"/>
      <c r="T73" s="141"/>
      <c r="U73" s="235"/>
      <c r="V73" s="141"/>
    </row>
    <row r="74" spans="1:22" s="3" customFormat="1" ht="12.75">
      <c r="A74" s="15" t="s">
        <v>165</v>
      </c>
      <c r="B74" s="252">
        <f aca="true" t="shared" si="17" ref="B74:B83">SUM(D74:H74)</f>
        <v>11898</v>
      </c>
      <c r="C74" s="252">
        <f aca="true" t="shared" si="18" ref="C74:C83">SUM(I74:M74)</f>
        <v>51986.4</v>
      </c>
      <c r="D74" s="250">
        <v>0</v>
      </c>
      <c r="E74" s="250">
        <v>0</v>
      </c>
      <c r="F74" s="250">
        <v>3587</v>
      </c>
      <c r="G74" s="250">
        <v>5089</v>
      </c>
      <c r="H74" s="250">
        <v>3222</v>
      </c>
      <c r="I74" s="252">
        <v>0</v>
      </c>
      <c r="J74" s="252">
        <v>5792</v>
      </c>
      <c r="K74" s="252">
        <v>10752</v>
      </c>
      <c r="L74" s="252">
        <v>16252</v>
      </c>
      <c r="M74" s="252">
        <v>19190.4</v>
      </c>
      <c r="N74" s="252">
        <v>25435.7</v>
      </c>
      <c r="O74" s="253">
        <v>45156.8</v>
      </c>
      <c r="P74" s="253">
        <v>26146</v>
      </c>
      <c r="Q74" s="253">
        <v>16577.20939999999</v>
      </c>
      <c r="R74" s="250">
        <f>SUM(D74:Q74)</f>
        <v>177200.10940000002</v>
      </c>
      <c r="S74" s="141"/>
      <c r="T74" s="157"/>
      <c r="U74" s="235"/>
      <c r="V74" s="64"/>
    </row>
    <row r="75" spans="1:22" s="3" customFormat="1" ht="12.75">
      <c r="A75" s="15" t="s">
        <v>40</v>
      </c>
      <c r="B75" s="252">
        <f t="shared" si="17"/>
        <v>4602</v>
      </c>
      <c r="C75" s="252">
        <f t="shared" si="18"/>
        <v>3290</v>
      </c>
      <c r="D75" s="250">
        <v>0</v>
      </c>
      <c r="E75" s="250">
        <v>0</v>
      </c>
      <c r="F75" s="250">
        <v>1499</v>
      </c>
      <c r="G75" s="250">
        <v>1441</v>
      </c>
      <c r="H75" s="250">
        <v>1662</v>
      </c>
      <c r="I75" s="252">
        <v>567</v>
      </c>
      <c r="J75" s="252">
        <v>803</v>
      </c>
      <c r="K75" s="252">
        <v>808</v>
      </c>
      <c r="L75" s="252">
        <v>444</v>
      </c>
      <c r="M75" s="252">
        <v>668</v>
      </c>
      <c r="N75" s="252">
        <v>13.6</v>
      </c>
      <c r="O75" s="316"/>
      <c r="P75" s="316"/>
      <c r="Q75" s="316"/>
      <c r="R75" s="250">
        <f>SUM(D75:Q75)</f>
        <v>7905.6</v>
      </c>
      <c r="S75" s="141"/>
      <c r="T75" s="157"/>
      <c r="U75" s="235"/>
      <c r="V75" s="64"/>
    </row>
    <row r="76" spans="1:22" s="3" customFormat="1" ht="12.75">
      <c r="A76" s="15" t="s">
        <v>44</v>
      </c>
      <c r="B76" s="252">
        <f t="shared" si="17"/>
        <v>0</v>
      </c>
      <c r="C76" s="252">
        <f t="shared" si="18"/>
        <v>1305</v>
      </c>
      <c r="D76" s="250"/>
      <c r="E76" s="250"/>
      <c r="F76" s="250"/>
      <c r="G76" s="250"/>
      <c r="H76" s="250"/>
      <c r="I76" s="316"/>
      <c r="J76" s="316"/>
      <c r="K76" s="252">
        <v>377</v>
      </c>
      <c r="L76" s="252">
        <v>431</v>
      </c>
      <c r="M76" s="252">
        <v>497</v>
      </c>
      <c r="N76" s="252">
        <f>411.7+85.5+1.2</f>
        <v>498.4</v>
      </c>
      <c r="O76" s="252">
        <f>1395.6+20.2</f>
        <v>1415.8</v>
      </c>
      <c r="P76" s="252">
        <v>418</v>
      </c>
      <c r="Q76" s="252">
        <v>396.26999999995394</v>
      </c>
      <c r="R76" s="250">
        <f>SUM(D76:Q76)</f>
        <v>4033.469999999954</v>
      </c>
      <c r="S76" s="141"/>
      <c r="T76" s="157"/>
      <c r="U76" s="235"/>
      <c r="V76" s="64"/>
    </row>
    <row r="77" spans="1:22" s="3" customFormat="1" ht="12.75">
      <c r="A77" s="15" t="s">
        <v>456</v>
      </c>
      <c r="B77" s="252">
        <f t="shared" si="17"/>
        <v>0</v>
      </c>
      <c r="C77" s="252">
        <f t="shared" si="18"/>
        <v>0</v>
      </c>
      <c r="D77" s="250"/>
      <c r="E77" s="250"/>
      <c r="F77" s="250"/>
      <c r="G77" s="250"/>
      <c r="H77" s="250"/>
      <c r="I77" s="316"/>
      <c r="J77" s="316"/>
      <c r="K77" s="316"/>
      <c r="L77" s="316"/>
      <c r="M77" s="316"/>
      <c r="N77" s="316"/>
      <c r="O77" s="316"/>
      <c r="P77" s="316"/>
      <c r="Q77" s="252">
        <v>156.39999999999944</v>
      </c>
      <c r="R77" s="250"/>
      <c r="S77" s="141"/>
      <c r="T77" s="157"/>
      <c r="U77" s="235"/>
      <c r="V77" s="64"/>
    </row>
    <row r="78" spans="1:22" s="3" customFormat="1" ht="12.75">
      <c r="A78" s="19" t="s">
        <v>181</v>
      </c>
      <c r="B78" s="252">
        <f t="shared" si="17"/>
        <v>0</v>
      </c>
      <c r="C78" s="252">
        <f t="shared" si="18"/>
        <v>189</v>
      </c>
      <c r="D78" s="250"/>
      <c r="E78" s="250"/>
      <c r="F78" s="250"/>
      <c r="G78" s="250"/>
      <c r="H78" s="250"/>
      <c r="I78" s="316"/>
      <c r="J78" s="316"/>
      <c r="K78" s="250">
        <v>53</v>
      </c>
      <c r="L78" s="250">
        <v>79</v>
      </c>
      <c r="M78" s="250">
        <v>57</v>
      </c>
      <c r="N78" s="252">
        <v>3.9</v>
      </c>
      <c r="O78" s="316"/>
      <c r="P78" s="316"/>
      <c r="Q78" s="316"/>
      <c r="R78" s="250">
        <f>SUM(D78:Q78)</f>
        <v>192.9</v>
      </c>
      <c r="S78" s="141"/>
      <c r="T78" s="236"/>
      <c r="U78" s="235"/>
      <c r="V78" s="64"/>
    </row>
    <row r="79" spans="1:22" s="3" customFormat="1" ht="12.75">
      <c r="A79" s="19" t="s">
        <v>273</v>
      </c>
      <c r="B79" s="250">
        <f t="shared" si="17"/>
        <v>0</v>
      </c>
      <c r="C79" s="250">
        <f t="shared" si="18"/>
        <v>0</v>
      </c>
      <c r="D79" s="250"/>
      <c r="E79" s="250"/>
      <c r="F79" s="250"/>
      <c r="G79" s="250"/>
      <c r="H79" s="250"/>
      <c r="I79" s="316"/>
      <c r="J79" s="316"/>
      <c r="K79" s="316"/>
      <c r="L79" s="316"/>
      <c r="M79" s="316"/>
      <c r="N79" s="252">
        <v>60.2</v>
      </c>
      <c r="O79" s="252">
        <f>9+3.9</f>
        <v>12.9</v>
      </c>
      <c r="P79" s="252">
        <v>83</v>
      </c>
      <c r="Q79" s="252">
        <v>92.23500000000223</v>
      </c>
      <c r="R79" s="250">
        <f>SUM(D79:Q79)</f>
        <v>248.33500000000225</v>
      </c>
      <c r="S79" s="130"/>
      <c r="T79" s="236"/>
      <c r="U79" s="235"/>
      <c r="V79" s="64"/>
    </row>
    <row r="80" spans="1:22" s="3" customFormat="1" ht="12.75">
      <c r="A80" s="19" t="s">
        <v>196</v>
      </c>
      <c r="B80" s="250">
        <f t="shared" si="17"/>
        <v>0</v>
      </c>
      <c r="C80" s="250">
        <f t="shared" si="18"/>
        <v>5133.3</v>
      </c>
      <c r="D80" s="250"/>
      <c r="E80" s="250"/>
      <c r="F80" s="250"/>
      <c r="G80" s="250"/>
      <c r="H80" s="250"/>
      <c r="I80" s="316"/>
      <c r="J80" s="316"/>
      <c r="K80" s="316"/>
      <c r="L80" s="250">
        <v>1385</v>
      </c>
      <c r="M80" s="250">
        <v>3748.3</v>
      </c>
      <c r="N80" s="252">
        <v>3765.8</v>
      </c>
      <c r="O80" s="252">
        <v>2846.1</v>
      </c>
      <c r="P80" s="252">
        <v>2660</v>
      </c>
      <c r="Q80" s="252">
        <v>2614.8299999996457</v>
      </c>
      <c r="R80" s="250">
        <f>SUM(D80:Q80)</f>
        <v>17020.029999999646</v>
      </c>
      <c r="S80" s="130"/>
      <c r="T80" s="236"/>
      <c r="U80" s="235"/>
      <c r="V80" s="64"/>
    </row>
    <row r="81" spans="1:22" s="3" customFormat="1" ht="12.75">
      <c r="A81" s="19" t="s">
        <v>246</v>
      </c>
      <c r="B81" s="250">
        <f t="shared" si="17"/>
        <v>0</v>
      </c>
      <c r="C81" s="250">
        <f t="shared" si="18"/>
        <v>526.9</v>
      </c>
      <c r="D81" s="250"/>
      <c r="E81" s="250"/>
      <c r="F81" s="250"/>
      <c r="G81" s="250"/>
      <c r="H81" s="250"/>
      <c r="I81" s="316"/>
      <c r="J81" s="316"/>
      <c r="K81" s="316"/>
      <c r="L81" s="316"/>
      <c r="M81" s="250">
        <v>526.9</v>
      </c>
      <c r="N81" s="252">
        <v>1005.1</v>
      </c>
      <c r="O81" s="252">
        <v>651.3</v>
      </c>
      <c r="P81" s="252">
        <v>342</v>
      </c>
      <c r="Q81" s="252">
        <v>347.3541</v>
      </c>
      <c r="R81" s="250">
        <f>SUM(D81:Q81)</f>
        <v>2872.6541</v>
      </c>
      <c r="S81" s="130"/>
      <c r="T81" s="236"/>
      <c r="U81" s="235"/>
      <c r="V81" s="64"/>
    </row>
    <row r="82" spans="1:22" s="3" customFormat="1" ht="12.75">
      <c r="A82" s="19" t="s">
        <v>274</v>
      </c>
      <c r="B82" s="250">
        <f t="shared" si="17"/>
        <v>0</v>
      </c>
      <c r="C82" s="250">
        <f t="shared" si="18"/>
        <v>0</v>
      </c>
      <c r="D82" s="250"/>
      <c r="E82" s="250"/>
      <c r="F82" s="250"/>
      <c r="G82" s="250"/>
      <c r="H82" s="250"/>
      <c r="I82" s="316"/>
      <c r="J82" s="316"/>
      <c r="K82" s="316"/>
      <c r="L82" s="316"/>
      <c r="M82" s="316"/>
      <c r="N82" s="252">
        <v>32.1</v>
      </c>
      <c r="O82" s="316"/>
      <c r="P82" s="316"/>
      <c r="Q82" s="316"/>
      <c r="R82" s="250">
        <f>SUM(D82:Q82)</f>
        <v>32.1</v>
      </c>
      <c r="S82" s="130"/>
      <c r="T82" s="236"/>
      <c r="U82" s="235"/>
      <c r="V82" s="64"/>
    </row>
    <row r="83" spans="1:22" s="3" customFormat="1" ht="12.75">
      <c r="A83" s="16" t="s">
        <v>1</v>
      </c>
      <c r="B83" s="263">
        <f t="shared" si="17"/>
        <v>16500</v>
      </c>
      <c r="C83" s="263">
        <f t="shared" si="18"/>
        <v>62430.600000000006</v>
      </c>
      <c r="D83" s="263">
        <f>SUM(D74:D78)</f>
        <v>0</v>
      </c>
      <c r="E83" s="263">
        <f>SUM(E74:E78)</f>
        <v>0</v>
      </c>
      <c r="F83" s="263">
        <f>SUM(F74:F78)</f>
        <v>5086</v>
      </c>
      <c r="G83" s="263">
        <f>SUM(G74:G78)</f>
        <v>6530</v>
      </c>
      <c r="H83" s="263">
        <f aca="true" t="shared" si="19" ref="H83:R83">SUM(H74:H82)</f>
        <v>4884</v>
      </c>
      <c r="I83" s="263">
        <f t="shared" si="19"/>
        <v>567</v>
      </c>
      <c r="J83" s="263">
        <f t="shared" si="19"/>
        <v>6595</v>
      </c>
      <c r="K83" s="263">
        <f t="shared" si="19"/>
        <v>11990</v>
      </c>
      <c r="L83" s="263">
        <f t="shared" si="19"/>
        <v>18591</v>
      </c>
      <c r="M83" s="263">
        <f t="shared" si="19"/>
        <v>24687.600000000002</v>
      </c>
      <c r="N83" s="263">
        <f t="shared" si="19"/>
        <v>30814.8</v>
      </c>
      <c r="O83" s="263">
        <f t="shared" si="19"/>
        <v>50082.90000000001</v>
      </c>
      <c r="P83" s="263">
        <f t="shared" si="19"/>
        <v>29649</v>
      </c>
      <c r="Q83" s="263">
        <f>SUM(Q74:Q82)</f>
        <v>20184.298499999586</v>
      </c>
      <c r="R83" s="263">
        <f t="shared" si="19"/>
        <v>209505.19849999962</v>
      </c>
      <c r="S83" s="141"/>
      <c r="T83" s="141"/>
      <c r="U83" s="235"/>
      <c r="V83" s="64"/>
    </row>
    <row r="84" spans="1:19" s="3" customFormat="1" ht="12.75">
      <c r="A84" s="5"/>
      <c r="B84" s="5"/>
      <c r="C84" s="5"/>
      <c r="N84" s="141"/>
      <c r="O84" s="141"/>
      <c r="P84" s="141"/>
      <c r="Q84" s="141"/>
      <c r="S84" s="141"/>
    </row>
    <row r="85" spans="1:19" s="3" customFormat="1" ht="12.75">
      <c r="A85" s="1" t="s">
        <v>409</v>
      </c>
      <c r="B85" s="40" t="s">
        <v>11</v>
      </c>
      <c r="C85" s="40" t="s">
        <v>11</v>
      </c>
      <c r="D85" s="40" t="s">
        <v>11</v>
      </c>
      <c r="E85" s="40" t="s">
        <v>11</v>
      </c>
      <c r="F85" s="40" t="s">
        <v>11</v>
      </c>
      <c r="G85" s="40" t="s">
        <v>11</v>
      </c>
      <c r="H85" s="40" t="s">
        <v>11</v>
      </c>
      <c r="I85" s="40" t="s">
        <v>11</v>
      </c>
      <c r="J85" s="40" t="s">
        <v>11</v>
      </c>
      <c r="K85" s="40" t="s">
        <v>11</v>
      </c>
      <c r="L85" s="40" t="s">
        <v>11</v>
      </c>
      <c r="M85" s="40" t="s">
        <v>11</v>
      </c>
      <c r="N85" s="63" t="s">
        <v>11</v>
      </c>
      <c r="O85" s="63" t="s">
        <v>11</v>
      </c>
      <c r="P85" s="63" t="s">
        <v>11</v>
      </c>
      <c r="Q85" s="63" t="s">
        <v>11</v>
      </c>
      <c r="R85" s="40" t="s">
        <v>11</v>
      </c>
      <c r="S85" s="141"/>
    </row>
    <row r="86" spans="1:19" s="3" customFormat="1" ht="12.75">
      <c r="A86" s="225" t="s">
        <v>38</v>
      </c>
      <c r="B86" s="252">
        <f>SUM(D86:H86)</f>
        <v>0</v>
      </c>
      <c r="C86" s="252">
        <f>SUM(I86:M86)</f>
        <v>1943</v>
      </c>
      <c r="D86" s="250">
        <v>0</v>
      </c>
      <c r="E86" s="250">
        <v>0</v>
      </c>
      <c r="F86" s="250">
        <v>0</v>
      </c>
      <c r="G86" s="250">
        <v>0</v>
      </c>
      <c r="H86" s="250">
        <v>0</v>
      </c>
      <c r="I86" s="252">
        <v>0</v>
      </c>
      <c r="J86" s="252">
        <v>1943</v>
      </c>
      <c r="K86" s="316"/>
      <c r="L86" s="316"/>
      <c r="M86" s="316"/>
      <c r="N86" s="316"/>
      <c r="O86" s="316"/>
      <c r="P86" s="316"/>
      <c r="Q86" s="316"/>
      <c r="R86" s="250">
        <f>SUM(D86:Q86)</f>
        <v>1943</v>
      </c>
      <c r="S86" s="141"/>
    </row>
    <row r="87" spans="1:19" ht="12.75">
      <c r="A87" s="225" t="s">
        <v>455</v>
      </c>
      <c r="B87" s="252">
        <f>SUM(D87:H87)</f>
        <v>0</v>
      </c>
      <c r="C87" s="252">
        <f>SUM(I87:M87)</f>
        <v>69389</v>
      </c>
      <c r="D87" s="250"/>
      <c r="E87" s="250"/>
      <c r="F87" s="250"/>
      <c r="G87" s="250"/>
      <c r="H87" s="250"/>
      <c r="I87" s="252"/>
      <c r="J87" s="252"/>
      <c r="K87" s="252">
        <v>20006</v>
      </c>
      <c r="L87" s="252">
        <v>22843</v>
      </c>
      <c r="M87" s="252">
        <v>26540</v>
      </c>
      <c r="N87" s="252">
        <v>26705</v>
      </c>
      <c r="O87" s="252">
        <v>24756</v>
      </c>
      <c r="P87" s="252">
        <v>22143</v>
      </c>
      <c r="Q87" s="252">
        <v>20979</v>
      </c>
      <c r="R87" s="250">
        <f>SUM(D87:Q87)</f>
        <v>163972</v>
      </c>
      <c r="S87" s="135"/>
    </row>
    <row r="88" spans="1:19" ht="12.75">
      <c r="A88" s="225" t="s">
        <v>454</v>
      </c>
      <c r="B88" s="252">
        <f>SUM(D88:H88)</f>
        <v>0</v>
      </c>
      <c r="C88" s="252">
        <f>SUM(I88:M88)</f>
        <v>0</v>
      </c>
      <c r="D88" s="250"/>
      <c r="E88" s="250"/>
      <c r="F88" s="250"/>
      <c r="G88" s="250"/>
      <c r="H88" s="250"/>
      <c r="I88" s="316"/>
      <c r="J88" s="316"/>
      <c r="K88" s="316"/>
      <c r="L88" s="316"/>
      <c r="M88" s="316"/>
      <c r="N88" s="316"/>
      <c r="O88" s="316"/>
      <c r="P88" s="316"/>
      <c r="Q88" s="252">
        <v>179.4</v>
      </c>
      <c r="R88" s="250"/>
      <c r="S88" s="135"/>
    </row>
    <row r="89" spans="1:18" ht="12.75">
      <c r="A89" s="181" t="s">
        <v>332</v>
      </c>
      <c r="B89" s="252">
        <f>SUM(D89:H89)</f>
        <v>0</v>
      </c>
      <c r="C89" s="252">
        <f>SUM(I89:M89)</f>
        <v>0</v>
      </c>
      <c r="D89" s="250"/>
      <c r="E89" s="250"/>
      <c r="F89" s="250"/>
      <c r="G89" s="250"/>
      <c r="H89" s="250"/>
      <c r="I89" s="250"/>
      <c r="J89" s="250"/>
      <c r="K89" s="250"/>
      <c r="L89" s="250"/>
      <c r="M89" s="250"/>
      <c r="N89" s="252">
        <v>350.6</v>
      </c>
      <c r="O89" s="316"/>
      <c r="P89" s="316"/>
      <c r="Q89" s="316"/>
      <c r="R89" s="250">
        <f>SUM(D89:Q89)</f>
        <v>350.6</v>
      </c>
    </row>
    <row r="90" spans="1:18" ht="12.75">
      <c r="A90" s="16" t="s">
        <v>1</v>
      </c>
      <c r="B90" s="254">
        <f>SUM(D90:H90)</f>
        <v>0</v>
      </c>
      <c r="C90" s="254">
        <f>SUM(I90:M90)</f>
        <v>71332</v>
      </c>
      <c r="D90" s="263">
        <f aca="true" t="shared" si="20" ref="D90:N90">SUM(D86:D89)</f>
        <v>0</v>
      </c>
      <c r="E90" s="263">
        <f t="shared" si="20"/>
        <v>0</v>
      </c>
      <c r="F90" s="263">
        <f t="shared" si="20"/>
        <v>0</v>
      </c>
      <c r="G90" s="263">
        <f t="shared" si="20"/>
        <v>0</v>
      </c>
      <c r="H90" s="263">
        <f t="shared" si="20"/>
        <v>0</v>
      </c>
      <c r="I90" s="263">
        <f t="shared" si="20"/>
        <v>0</v>
      </c>
      <c r="J90" s="263">
        <f t="shared" si="20"/>
        <v>1943</v>
      </c>
      <c r="K90" s="263">
        <f t="shared" si="20"/>
        <v>20006</v>
      </c>
      <c r="L90" s="263">
        <f t="shared" si="20"/>
        <v>22843</v>
      </c>
      <c r="M90" s="263">
        <f t="shared" si="20"/>
        <v>26540</v>
      </c>
      <c r="N90" s="254">
        <f t="shared" si="20"/>
        <v>27055.6</v>
      </c>
      <c r="O90" s="254">
        <v>24756</v>
      </c>
      <c r="P90" s="254">
        <f>SUM(P86:P89)</f>
        <v>22143</v>
      </c>
      <c r="Q90" s="254">
        <f>SUM(Q86:Q89)</f>
        <v>21158.4</v>
      </c>
      <c r="R90" s="263">
        <f>SUM(D90:Q90)</f>
        <v>166445</v>
      </c>
    </row>
    <row r="91" spans="1:18" ht="12.75">
      <c r="A91" s="21"/>
      <c r="B91" s="21"/>
      <c r="C91" s="21"/>
      <c r="D91" s="40"/>
      <c r="E91" s="40"/>
      <c r="F91" s="44"/>
      <c r="G91" s="44"/>
      <c r="H91" s="44"/>
      <c r="I91" s="58"/>
      <c r="J91" s="58"/>
      <c r="K91" s="58"/>
      <c r="R91" s="44"/>
    </row>
    <row r="92" spans="1:18" ht="12.75">
      <c r="A92" s="43" t="s">
        <v>410</v>
      </c>
      <c r="B92" s="40" t="s">
        <v>11</v>
      </c>
      <c r="C92" s="40" t="s">
        <v>11</v>
      </c>
      <c r="D92" s="40" t="s">
        <v>11</v>
      </c>
      <c r="E92" s="40" t="s">
        <v>11</v>
      </c>
      <c r="F92" s="40" t="s">
        <v>11</v>
      </c>
      <c r="G92" s="40" t="s">
        <v>11</v>
      </c>
      <c r="H92" s="40" t="s">
        <v>11</v>
      </c>
      <c r="I92" s="40" t="s">
        <v>11</v>
      </c>
      <c r="J92" s="40" t="s">
        <v>11</v>
      </c>
      <c r="K92" s="40" t="s">
        <v>11</v>
      </c>
      <c r="L92" s="40" t="s">
        <v>11</v>
      </c>
      <c r="M92" s="40" t="s">
        <v>11</v>
      </c>
      <c r="N92" s="63" t="s">
        <v>11</v>
      </c>
      <c r="O92" s="63" t="s">
        <v>11</v>
      </c>
      <c r="P92" s="63" t="s">
        <v>11</v>
      </c>
      <c r="Q92" s="63" t="s">
        <v>11</v>
      </c>
      <c r="R92" s="40" t="s">
        <v>11</v>
      </c>
    </row>
    <row r="93" spans="1:18" ht="12.75">
      <c r="A93" s="225" t="s">
        <v>38</v>
      </c>
      <c r="B93" s="252">
        <f>SUM(D93:H93)</f>
        <v>0</v>
      </c>
      <c r="C93" s="252">
        <f>SUM(I93:M93)</f>
        <v>19430</v>
      </c>
      <c r="D93" s="250">
        <v>0</v>
      </c>
      <c r="E93" s="250">
        <v>0</v>
      </c>
      <c r="F93" s="250">
        <v>0</v>
      </c>
      <c r="G93" s="250">
        <v>0</v>
      </c>
      <c r="H93" s="250">
        <v>0</v>
      </c>
      <c r="I93" s="252">
        <v>0</v>
      </c>
      <c r="J93" s="252">
        <v>19430</v>
      </c>
      <c r="K93" s="316"/>
      <c r="L93" s="316"/>
      <c r="M93" s="316"/>
      <c r="N93" s="316"/>
      <c r="O93" s="316"/>
      <c r="P93" s="316"/>
      <c r="Q93" s="316"/>
      <c r="R93" s="250">
        <f>SUM(D93:Q93)</f>
        <v>19430</v>
      </c>
    </row>
    <row r="94" spans="1:19" ht="12.75">
      <c r="A94" s="225" t="s">
        <v>455</v>
      </c>
      <c r="B94" s="252">
        <f>SUM(D94:H94)</f>
        <v>0</v>
      </c>
      <c r="C94" s="252">
        <f>SUM(I94:M94)</f>
        <v>1287738</v>
      </c>
      <c r="D94" s="250"/>
      <c r="E94" s="250"/>
      <c r="F94" s="250"/>
      <c r="G94" s="250"/>
      <c r="H94" s="252"/>
      <c r="I94" s="316"/>
      <c r="J94" s="316"/>
      <c r="K94" s="252">
        <v>300087</v>
      </c>
      <c r="L94" s="252">
        <v>456858</v>
      </c>
      <c r="M94" s="252">
        <v>530793</v>
      </c>
      <c r="N94" s="252">
        <v>534107</v>
      </c>
      <c r="O94" s="252">
        <v>495126</v>
      </c>
      <c r="P94" s="252">
        <v>442854</v>
      </c>
      <c r="Q94" s="252">
        <v>230769</v>
      </c>
      <c r="R94" s="250">
        <f>SUM(D94:Q94)</f>
        <v>2990594</v>
      </c>
      <c r="S94" s="135"/>
    </row>
    <row r="95" spans="1:19" ht="12.75">
      <c r="A95" s="225" t="s">
        <v>454</v>
      </c>
      <c r="B95" s="252">
        <f>SUM(D95:H95)</f>
        <v>0</v>
      </c>
      <c r="C95" s="252">
        <f>SUM(I95:M95)</f>
        <v>0</v>
      </c>
      <c r="D95" s="250"/>
      <c r="E95" s="250"/>
      <c r="F95" s="250"/>
      <c r="G95" s="250"/>
      <c r="H95" s="252"/>
      <c r="I95" s="316"/>
      <c r="J95" s="316"/>
      <c r="K95" s="316"/>
      <c r="L95" s="316"/>
      <c r="M95" s="316"/>
      <c r="N95" s="316"/>
      <c r="O95" s="316"/>
      <c r="P95" s="316"/>
      <c r="Q95" s="252">
        <v>2152.8</v>
      </c>
      <c r="R95" s="250"/>
      <c r="S95" s="135"/>
    </row>
    <row r="96" spans="1:18" ht="12.75">
      <c r="A96" s="181" t="s">
        <v>332</v>
      </c>
      <c r="B96" s="252">
        <f>SUM(D96:H96)</f>
        <v>0</v>
      </c>
      <c r="C96" s="252">
        <f>SUM(I96:M96)</f>
        <v>0</v>
      </c>
      <c r="D96" s="250"/>
      <c r="E96" s="250"/>
      <c r="F96" s="250"/>
      <c r="G96" s="250"/>
      <c r="H96" s="252"/>
      <c r="I96" s="316"/>
      <c r="J96" s="316"/>
      <c r="K96" s="316"/>
      <c r="L96" s="316"/>
      <c r="M96" s="316"/>
      <c r="N96" s="252">
        <v>4558</v>
      </c>
      <c r="O96" s="316"/>
      <c r="P96" s="316"/>
      <c r="Q96" s="316"/>
      <c r="R96" s="250">
        <f>SUM(D96:Q96)</f>
        <v>4558</v>
      </c>
    </row>
    <row r="97" spans="1:18" ht="12.75">
      <c r="A97" s="16" t="s">
        <v>1</v>
      </c>
      <c r="B97" s="254">
        <f>SUM(D97:H97)</f>
        <v>0</v>
      </c>
      <c r="C97" s="254">
        <f>SUM(I97:M97)</f>
        <v>1307168</v>
      </c>
      <c r="D97" s="263">
        <f aca="true" t="shared" si="21" ref="D97:N97">SUM(D93:D96)</f>
        <v>0</v>
      </c>
      <c r="E97" s="263">
        <f t="shared" si="21"/>
        <v>0</v>
      </c>
      <c r="F97" s="263">
        <f t="shared" si="21"/>
        <v>0</v>
      </c>
      <c r="G97" s="263">
        <f t="shared" si="21"/>
        <v>0</v>
      </c>
      <c r="H97" s="263">
        <f t="shared" si="21"/>
        <v>0</v>
      </c>
      <c r="I97" s="263">
        <f t="shared" si="21"/>
        <v>0</v>
      </c>
      <c r="J97" s="263">
        <f t="shared" si="21"/>
        <v>19430</v>
      </c>
      <c r="K97" s="263">
        <f t="shared" si="21"/>
        <v>300087</v>
      </c>
      <c r="L97" s="263">
        <f t="shared" si="21"/>
        <v>456858</v>
      </c>
      <c r="M97" s="263">
        <f t="shared" si="21"/>
        <v>530793</v>
      </c>
      <c r="N97" s="254">
        <f t="shared" si="21"/>
        <v>538665</v>
      </c>
      <c r="O97" s="254">
        <v>495126</v>
      </c>
      <c r="P97" s="254">
        <f>SUM(P93:P96)</f>
        <v>442854</v>
      </c>
      <c r="Q97" s="254">
        <f>SUM(Q93:Q96)</f>
        <v>232921.8</v>
      </c>
      <c r="R97" s="263">
        <f>SUM(D97:Q97)</f>
        <v>3016734.8</v>
      </c>
    </row>
    <row r="98" spans="1:19" ht="12.75">
      <c r="A98" s="2" t="str">
        <f>A46</f>
        <v>* These columns/years have been hidden in this worksheet for viewing &amp; printing purposes</v>
      </c>
      <c r="B98" s="2"/>
      <c r="C98" s="2"/>
      <c r="D98" s="8"/>
      <c r="S98" s="145"/>
    </row>
    <row r="100" spans="1:29" ht="12.75">
      <c r="A100" s="2"/>
      <c r="B100" s="2"/>
      <c r="C100" s="2"/>
      <c r="D100" s="9"/>
      <c r="E100" s="9"/>
      <c r="F100" s="9"/>
      <c r="G100" s="9"/>
      <c r="H100" s="9"/>
      <c r="I100" s="9"/>
      <c r="J100" s="9"/>
      <c r="K100" s="9"/>
      <c r="L100" s="9"/>
      <c r="M100" s="9"/>
      <c r="N100" s="142"/>
      <c r="O100" s="142"/>
      <c r="P100" s="142"/>
      <c r="Q100" s="142"/>
      <c r="R100" s="9"/>
      <c r="S100" s="142"/>
      <c r="T100" s="9"/>
      <c r="U100" s="9"/>
      <c r="V100" s="9"/>
      <c r="W100" s="9"/>
      <c r="X100" s="9"/>
      <c r="Y100" s="9"/>
      <c r="Z100" s="9"/>
      <c r="AA100" s="9"/>
      <c r="AB100" s="9"/>
      <c r="AC100" s="9"/>
    </row>
    <row r="101" spans="1:29" ht="12.75">
      <c r="A101" s="2"/>
      <c r="B101" s="2"/>
      <c r="C101" s="2"/>
      <c r="D101" s="9"/>
      <c r="E101" s="9"/>
      <c r="F101" s="9"/>
      <c r="G101" s="9"/>
      <c r="H101" s="9"/>
      <c r="I101" s="9"/>
      <c r="J101" s="9"/>
      <c r="K101" s="9"/>
      <c r="L101" s="9"/>
      <c r="M101" s="9"/>
      <c r="N101" s="142"/>
      <c r="O101" s="142"/>
      <c r="P101" s="142"/>
      <c r="Q101" s="142"/>
      <c r="R101" s="9"/>
      <c r="S101" s="142"/>
      <c r="T101" s="9"/>
      <c r="U101" s="9"/>
      <c r="V101" s="9"/>
      <c r="W101" s="9"/>
      <c r="X101" s="9"/>
      <c r="Y101" s="9"/>
      <c r="Z101" s="9"/>
      <c r="AA101" s="9"/>
      <c r="AB101" s="9"/>
      <c r="AC101" s="9"/>
    </row>
    <row r="102" spans="1:29" ht="12.75">
      <c r="A102" s="2"/>
      <c r="B102" s="2"/>
      <c r="C102" s="2"/>
      <c r="D102" s="9"/>
      <c r="E102" s="9"/>
      <c r="F102" s="9"/>
      <c r="G102" s="9"/>
      <c r="H102" s="9"/>
      <c r="I102" s="9"/>
      <c r="J102" s="9"/>
      <c r="K102" s="9"/>
      <c r="L102" s="9"/>
      <c r="M102" s="9"/>
      <c r="N102" s="142"/>
      <c r="O102" s="142"/>
      <c r="P102" s="142"/>
      <c r="Q102" s="142"/>
      <c r="R102" s="9"/>
      <c r="S102" s="142"/>
      <c r="T102" s="9"/>
      <c r="U102" s="9"/>
      <c r="V102" s="9"/>
      <c r="W102" s="9"/>
      <c r="X102" s="9"/>
      <c r="Y102" s="9"/>
      <c r="Z102" s="9"/>
      <c r="AA102" s="9"/>
      <c r="AB102" s="9"/>
      <c r="AC102" s="9"/>
    </row>
    <row r="103" spans="1:29" ht="12.75">
      <c r="A103" s="2"/>
      <c r="B103" s="2"/>
      <c r="C103" s="2"/>
      <c r="D103" s="9"/>
      <c r="E103" s="9"/>
      <c r="F103" s="9"/>
      <c r="G103" s="9"/>
      <c r="H103" s="9"/>
      <c r="J103" s="9"/>
      <c r="K103" s="9"/>
      <c r="L103" s="9"/>
      <c r="M103" s="9"/>
      <c r="N103" s="142"/>
      <c r="O103" s="142"/>
      <c r="P103" s="142"/>
      <c r="Q103" s="142"/>
      <c r="R103" s="9"/>
      <c r="S103" s="142"/>
      <c r="T103" s="9"/>
      <c r="U103" s="9"/>
      <c r="V103" s="9"/>
      <c r="W103" s="9"/>
      <c r="X103" s="9"/>
      <c r="Y103" s="9"/>
      <c r="Z103" s="9"/>
      <c r="AA103" s="9"/>
      <c r="AB103" s="9"/>
      <c r="AC103" s="9"/>
    </row>
    <row r="104" ht="12.75">
      <c r="D104" s="8"/>
    </row>
    <row r="106" spans="1:21" ht="12.75">
      <c r="A106" s="2"/>
      <c r="B106" s="2"/>
      <c r="C106" s="2"/>
      <c r="D106" s="9"/>
      <c r="E106" s="9"/>
      <c r="F106" s="9"/>
      <c r="G106" s="9"/>
      <c r="H106" s="9"/>
      <c r="I106" s="9"/>
      <c r="J106" s="9"/>
      <c r="K106" s="9"/>
      <c r="L106" s="9"/>
      <c r="M106" s="9"/>
      <c r="N106" s="142"/>
      <c r="O106" s="142"/>
      <c r="P106" s="142"/>
      <c r="Q106" s="142"/>
      <c r="R106" s="9"/>
      <c r="S106" s="142"/>
      <c r="T106" s="9"/>
      <c r="U106" s="9"/>
    </row>
    <row r="107" spans="1:21" ht="12.75">
      <c r="A107" s="2"/>
      <c r="B107" s="2"/>
      <c r="C107" s="2"/>
      <c r="D107" s="9"/>
      <c r="E107" s="9"/>
      <c r="F107" s="9"/>
      <c r="G107" s="9"/>
      <c r="H107" s="9"/>
      <c r="I107" s="9"/>
      <c r="J107" s="9"/>
      <c r="K107" s="9"/>
      <c r="L107" s="9"/>
      <c r="M107" s="9"/>
      <c r="N107" s="142"/>
      <c r="O107" s="142"/>
      <c r="P107" s="142"/>
      <c r="Q107" s="142"/>
      <c r="R107" s="9"/>
      <c r="S107" s="142"/>
      <c r="T107" s="9"/>
      <c r="U107" s="9"/>
    </row>
    <row r="108" spans="1:21" ht="12.75">
      <c r="A108" s="2"/>
      <c r="B108" s="2"/>
      <c r="C108" s="2"/>
      <c r="D108" s="9"/>
      <c r="E108" s="9"/>
      <c r="F108" s="9"/>
      <c r="G108" s="9"/>
      <c r="H108" s="9"/>
      <c r="I108" s="9"/>
      <c r="J108" s="9"/>
      <c r="K108" s="9"/>
      <c r="L108" s="9"/>
      <c r="M108" s="9"/>
      <c r="N108" s="142"/>
      <c r="O108" s="142"/>
      <c r="P108" s="142"/>
      <c r="Q108" s="142"/>
      <c r="R108" s="9"/>
      <c r="S108" s="142"/>
      <c r="T108" s="9"/>
      <c r="U108" s="9"/>
    </row>
    <row r="109" spans="4:21" ht="12.75">
      <c r="D109" s="9"/>
      <c r="E109" s="9"/>
      <c r="F109" s="9"/>
      <c r="G109" s="9"/>
      <c r="H109" s="9"/>
      <c r="I109" s="9"/>
      <c r="J109" s="9"/>
      <c r="K109" s="9"/>
      <c r="L109" s="9"/>
      <c r="M109" s="9"/>
      <c r="N109" s="142"/>
      <c r="O109" s="142"/>
      <c r="P109" s="142"/>
      <c r="Q109" s="142"/>
      <c r="R109" s="9"/>
      <c r="S109" s="142"/>
      <c r="T109" s="9"/>
      <c r="U109" s="9"/>
    </row>
    <row r="110" spans="1:19" ht="12.75">
      <c r="A110" s="2"/>
      <c r="B110" s="2"/>
      <c r="C110" s="2"/>
      <c r="D110" s="8"/>
      <c r="S110" s="145"/>
    </row>
    <row r="112" spans="1:21" ht="12.75">
      <c r="A112" s="2"/>
      <c r="B112" s="2"/>
      <c r="C112" s="2"/>
      <c r="D112" s="9"/>
      <c r="E112" s="9"/>
      <c r="F112" s="9"/>
      <c r="G112" s="9"/>
      <c r="H112" s="9"/>
      <c r="I112" s="9"/>
      <c r="J112" s="9"/>
      <c r="K112" s="9"/>
      <c r="L112" s="9"/>
      <c r="M112" s="9"/>
      <c r="N112" s="142"/>
      <c r="O112" s="142"/>
      <c r="P112" s="142"/>
      <c r="Q112" s="142"/>
      <c r="R112" s="9"/>
      <c r="S112" s="142"/>
      <c r="T112" s="9"/>
      <c r="U112" s="9"/>
    </row>
    <row r="113" spans="1:21" ht="12.75">
      <c r="A113" s="2"/>
      <c r="B113" s="2"/>
      <c r="C113" s="2"/>
      <c r="D113" s="9"/>
      <c r="E113" s="9"/>
      <c r="F113" s="9"/>
      <c r="G113" s="9"/>
      <c r="H113" s="9"/>
      <c r="I113" s="9"/>
      <c r="J113" s="9"/>
      <c r="K113" s="9"/>
      <c r="L113" s="9"/>
      <c r="M113" s="9"/>
      <c r="N113" s="142"/>
      <c r="O113" s="142"/>
      <c r="P113" s="142"/>
      <c r="Q113" s="142"/>
      <c r="R113" s="9"/>
      <c r="S113" s="142"/>
      <c r="T113" s="9"/>
      <c r="U113" s="9"/>
    </row>
    <row r="114" spans="1:21" ht="12.75">
      <c r="A114" s="2"/>
      <c r="B114" s="2"/>
      <c r="C114" s="2"/>
      <c r="D114" s="9"/>
      <c r="E114" s="9"/>
      <c r="F114" s="9"/>
      <c r="G114" s="9"/>
      <c r="H114" s="9"/>
      <c r="I114" s="9"/>
      <c r="J114" s="9"/>
      <c r="K114" s="9"/>
      <c r="L114" s="9"/>
      <c r="M114" s="9"/>
      <c r="N114" s="142"/>
      <c r="O114" s="142"/>
      <c r="P114" s="142"/>
      <c r="Q114" s="142"/>
      <c r="R114" s="9"/>
      <c r="S114" s="142"/>
      <c r="T114" s="9"/>
      <c r="U114" s="9"/>
    </row>
    <row r="115" spans="1:21" ht="12.75">
      <c r="A115" s="2"/>
      <c r="B115" s="2"/>
      <c r="C115" s="2"/>
      <c r="D115" s="9"/>
      <c r="E115" s="9"/>
      <c r="F115" s="9"/>
      <c r="G115" s="9"/>
      <c r="H115" s="9"/>
      <c r="I115" s="9"/>
      <c r="J115" s="9"/>
      <c r="K115" s="9"/>
      <c r="L115" s="9"/>
      <c r="M115" s="9"/>
      <c r="N115" s="142"/>
      <c r="O115" s="142"/>
      <c r="P115" s="142"/>
      <c r="Q115" s="142"/>
      <c r="R115" s="9"/>
      <c r="S115" s="142"/>
      <c r="T115" s="9"/>
      <c r="U115" s="9"/>
    </row>
    <row r="116" ht="12.75">
      <c r="D116" s="8"/>
    </row>
    <row r="118" spans="1:3" ht="12.75">
      <c r="A118" s="2"/>
      <c r="B118" s="2"/>
      <c r="C118" s="2"/>
    </row>
    <row r="119" spans="1:3" ht="12.75">
      <c r="A119" s="2"/>
      <c r="B119" s="2"/>
      <c r="C119" s="2"/>
    </row>
    <row r="120" spans="1:3" ht="12.75">
      <c r="A120" s="2"/>
      <c r="B120" s="2"/>
      <c r="C120" s="2"/>
    </row>
  </sheetData>
  <sheetProtection/>
  <mergeCells count="3">
    <mergeCell ref="A1:R1"/>
    <mergeCell ref="A17:R17"/>
    <mergeCell ref="A2:R2"/>
  </mergeCells>
  <printOptions/>
  <pageMargins left="0.17" right="0.17" top="0.4" bottom="0.6" header="0.24" footer="0.24"/>
  <pageSetup horizontalDpi="600" verticalDpi="600" orientation="landscape" scale="75" r:id="rId1"/>
  <headerFooter scaleWithDoc="0" alignWithMargins="0">
    <oddFooter>&amp;L&amp;6&amp;A - Results by Program Year&amp;R&amp;6printed &amp;D at &amp;T</oddFooter>
  </headerFooter>
  <rowBreaks count="1" manualBreakCount="1">
    <brk id="46" max="14" man="1"/>
  </rowBreaks>
  <ignoredErrors>
    <ignoredError sqref="D15:H1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Gabel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Ambrosio</dc:creator>
  <cp:keywords/>
  <dc:description/>
  <cp:lastModifiedBy>Deecken, Brian</cp:lastModifiedBy>
  <cp:lastPrinted>2016-06-16T18:28:46Z</cp:lastPrinted>
  <dcterms:created xsi:type="dcterms:W3CDTF">2005-05-24T13:44:04Z</dcterms:created>
  <dcterms:modified xsi:type="dcterms:W3CDTF">2016-12-05T22:35:44Z</dcterms:modified>
  <cp:category/>
  <cp:version/>
  <cp:contentType/>
  <cp:contentStatus/>
</cp:coreProperties>
</file>