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320" windowHeight="11940" tabRatio="857" activeTab="6"/>
  </bookViews>
  <sheets>
    <sheet name="2001-2011 Summary" sheetId="1" r:id="rId1"/>
    <sheet name="2001-2011 Summary Breakdown" sheetId="2" r:id="rId2"/>
    <sheet name="Bar Charts" sheetId="3" r:id="rId3"/>
    <sheet name="2011 Summary" sheetId="4" r:id="rId4"/>
    <sheet name="Annual Savings" sheetId="5" r:id="rId5"/>
    <sheet name="Lifetime Savings" sheetId="6" r:id="rId6"/>
    <sheet name="Participants" sheetId="7" r:id="rId7"/>
    <sheet name="Cumulative Demand" sheetId="8" r:id="rId8"/>
    <sheet name="Res HVAC" sheetId="9" r:id="rId9"/>
    <sheet name="RNC" sheetId="10" r:id="rId10"/>
    <sheet name="Energy Star" sheetId="11" r:id="rId11"/>
    <sheet name="Home Perf" sheetId="12" r:id="rId12"/>
    <sheet name="Low-income" sheetId="13" r:id="rId13"/>
    <sheet name="C&amp;I" sheetId="14" r:id="rId14"/>
    <sheet name="P4P " sheetId="15" r:id="rId15"/>
    <sheet name="P4P NC" sheetId="16" r:id="rId16"/>
    <sheet name="Direct Install" sheetId="17" r:id="rId17"/>
    <sheet name="CHP" sheetId="18" r:id="rId18"/>
    <sheet name="lgea" sheetId="19" r:id="rId19"/>
    <sheet name="Appliance Cycling" sheetId="20" r:id="rId20"/>
    <sheet name="Cool Cities" sheetId="21" r:id="rId21"/>
    <sheet name="Other EE-RE" sheetId="22" r:id="rId22"/>
    <sheet name="CORE" sheetId="23" r:id="rId23"/>
    <sheet name="REIP" sheetId="24" r:id="rId24"/>
    <sheet name="REC" sheetId="25" r:id="rId25"/>
    <sheet name="RE Grants and Financing" sheetId="26" r:id="rId26"/>
    <sheet name="RE Business Venture Fin" sheetId="27" r:id="rId27"/>
    <sheet name="Edison Inn CEF" sheetId="28" r:id="rId28"/>
    <sheet name="EDA" sheetId="29" r:id="rId29"/>
    <sheet name="RE Grid Connected" sheetId="30" r:id="rId30"/>
    <sheet name="Clean Power Choice" sheetId="31" r:id="rId31"/>
    <sheet name="Admin" sheetId="32" r:id="rId32"/>
    <sheet name="emision reductions 2011" sheetId="33" r:id="rId33"/>
    <sheet name="emmission reductions" sheetId="34" r:id="rId34"/>
  </sheets>
  <definedNames>
    <definedName name="_xlnm.Print_Area" localSheetId="0">'2001-2011 Summary'!$A$1:$M$39</definedName>
    <definedName name="_xlnm.Print_Area" localSheetId="1">'2001-2011 Summary Breakdown'!$A$1:$M$49</definedName>
    <definedName name="_xlnm.Print_Area" localSheetId="3">'2011 Summary'!$A$1:$E$62</definedName>
    <definedName name="_xlnm.Print_Area" localSheetId="31">'Admin'!$A$1:$I$16</definedName>
    <definedName name="_xlnm.Print_Area" localSheetId="4">'Annual Savings'!$A$1:$M$161</definedName>
    <definedName name="_xlnm.Print_Area" localSheetId="19">'Appliance Cycling'!$A$1:$F$17</definedName>
    <definedName name="_xlnm.Print_Area" localSheetId="2">'Bar Charts'!$A$1:$L$86</definedName>
    <definedName name="_xlnm.Print_Area" localSheetId="13">'C&amp;I'!$A$1:$M$106</definedName>
    <definedName name="_xlnm.Print_Area" localSheetId="17">'CHP'!$A$1:$M$65</definedName>
    <definedName name="_xlnm.Print_Area" localSheetId="30">'Clean Power Choice'!$A$1:$I$12</definedName>
    <definedName name="_xlnm.Print_Area" localSheetId="20">'Cool Cities'!$A$1:$I$26</definedName>
    <definedName name="_xlnm.Print_Area" localSheetId="22">'CORE'!$A$1:$M$36</definedName>
    <definedName name="_xlnm.Print_Area" localSheetId="7">'Cumulative Demand'!$A$1:$M$45</definedName>
    <definedName name="_xlnm.Print_Area" localSheetId="16">'Direct Install'!$A$1:$F$50</definedName>
    <definedName name="_xlnm.Print_Area" localSheetId="27">'Edison Inn CEF'!$A$1:$E$15</definedName>
    <definedName name="_xlnm.Print_Area" localSheetId="32">'emision reductions 2011'!$A$1:$F$23</definedName>
    <definedName name="_xlnm.Print_Area" localSheetId="33">'emmission reductions'!$A$1:$M$49</definedName>
    <definedName name="_xlnm.Print_Area" localSheetId="10">'Energy Star'!$A$1:$M$91</definedName>
    <definedName name="_xlnm.Print_Area" localSheetId="11">'Home Perf'!$A$1:$H$32</definedName>
    <definedName name="_xlnm.Print_Area" localSheetId="5">'Lifetime Savings'!$A$1:$M$97</definedName>
    <definedName name="_xlnm.Print_Area" localSheetId="12">'Low-income'!$A$1:$M$40</definedName>
    <definedName name="_xlnm.Print_Area" localSheetId="21">'Other EE-RE'!$A$1:$I$74</definedName>
    <definedName name="_xlnm.Print_Area" localSheetId="14">'P4P '!$A$1:$F$53</definedName>
    <definedName name="_xlnm.Print_Area" localSheetId="15">'P4P NC'!$A$1:$D$53</definedName>
    <definedName name="_xlnm.Print_Area" localSheetId="6">'Participants'!$A$1:$M$50</definedName>
    <definedName name="_xlnm.Print_Area" localSheetId="26">'RE Business Venture Fin'!$A$1:$L$14</definedName>
    <definedName name="_xlnm.Print_Area" localSheetId="25">'RE Grants and Financing'!$A$1:$L$51</definedName>
    <definedName name="_xlnm.Print_Area" localSheetId="29">'RE Grid Connected'!$A$1:$E$31</definedName>
    <definedName name="_xlnm.Print_Area" localSheetId="24">'REC'!$A$1:$G$28</definedName>
    <definedName name="_xlnm.Print_Area" localSheetId="23">'REIP'!$A$1:$E$34</definedName>
    <definedName name="_xlnm.Print_Area" localSheetId="8">'Res HVAC'!$A$1:$M$32</definedName>
    <definedName name="_xlnm.Print_Area" localSheetId="9">'RNC'!$A$1:$M$41</definedName>
  </definedNames>
  <calcPr fullCalcOnLoad="1"/>
</workbook>
</file>

<file path=xl/sharedStrings.xml><?xml version="1.0" encoding="utf-8"?>
<sst xmlns="http://schemas.openxmlformats.org/spreadsheetml/2006/main" count="2509" uniqueCount="399">
  <si>
    <t>Residential Low-income Program Results</t>
  </si>
  <si>
    <t>Total</t>
  </si>
  <si>
    <t>Comfort Partners</t>
  </si>
  <si>
    <t>Senior Weatherization Pilot</t>
  </si>
  <si>
    <t>NA</t>
  </si>
  <si>
    <t>Participants</t>
  </si>
  <si>
    <t>Energy Savings</t>
  </si>
  <si>
    <t>Electric</t>
  </si>
  <si>
    <t>MWh</t>
  </si>
  <si>
    <t>Annual Savings</t>
  </si>
  <si>
    <t>Lifetime Savings</t>
  </si>
  <si>
    <t>KW</t>
  </si>
  <si>
    <t>Gas</t>
  </si>
  <si>
    <t>Dtherm</t>
  </si>
  <si>
    <t>Annual savings</t>
  </si>
  <si>
    <t>Residential HVAC Program Results</t>
  </si>
  <si>
    <t>Res HVAC Electric</t>
  </si>
  <si>
    <t>Res HVAC Gas</t>
  </si>
  <si>
    <t>Residential New Construction Program Results</t>
  </si>
  <si>
    <t>Actual Expenditures</t>
  </si>
  <si>
    <t>Committed Expenditures</t>
  </si>
  <si>
    <t>Actual + Committed</t>
  </si>
  <si>
    <t xml:space="preserve">Actual </t>
  </si>
  <si>
    <t>Committed</t>
  </si>
  <si>
    <t>Actual</t>
  </si>
  <si>
    <t>Residential ENERGY STAR Products Program Results</t>
  </si>
  <si>
    <t xml:space="preserve">Energy Star Windows </t>
  </si>
  <si>
    <t>Energy Star Appliances</t>
  </si>
  <si>
    <t>Combined Program (02)</t>
  </si>
  <si>
    <t>MWH</t>
  </si>
  <si>
    <t>Appliance Cycling Program Results</t>
  </si>
  <si>
    <t>CORE Program Results</t>
  </si>
  <si>
    <t>Actual expenditures</t>
  </si>
  <si>
    <t>Actual &amp; committed expenditures</t>
  </si>
  <si>
    <t>2004</t>
  </si>
  <si>
    <t>Combined-Total Electric &amp; Gas</t>
  </si>
  <si>
    <t>Annual demand reductions</t>
  </si>
  <si>
    <t xml:space="preserve">Energy Savings </t>
  </si>
  <si>
    <t>Actual-Electric</t>
  </si>
  <si>
    <t>Committed-Electric</t>
  </si>
  <si>
    <t>Actual-Gas</t>
  </si>
  <si>
    <t>Committed-Gas</t>
  </si>
  <si>
    <t>Expenditures ($000)</t>
  </si>
  <si>
    <t># Participants</t>
  </si>
  <si>
    <t xml:space="preserve">Energy Star Lighting </t>
  </si>
  <si>
    <t xml:space="preserve">Energy Star Maintenance </t>
  </si>
  <si>
    <t xml:space="preserve">Room AC </t>
  </si>
  <si>
    <t xml:space="preserve">Lighting and Other </t>
  </si>
  <si>
    <t>Home Energy Audit</t>
  </si>
  <si>
    <t xml:space="preserve">  Room AC</t>
  </si>
  <si>
    <t xml:space="preserve">  Room AC </t>
  </si>
  <si>
    <t xml:space="preserve">  Home Energy Audit</t>
  </si>
  <si>
    <t xml:space="preserve">  Lighting Promotion</t>
  </si>
  <si>
    <t xml:space="preserve">  Clothes Washers</t>
  </si>
  <si>
    <t xml:space="preserve">  Thermostats</t>
  </si>
  <si>
    <t>C&amp;I Construction</t>
  </si>
  <si>
    <t>Building O&amp;M</t>
  </si>
  <si>
    <t>Compressed Air</t>
  </si>
  <si>
    <t>C&amp;I New Construction</t>
  </si>
  <si>
    <t>CHP</t>
  </si>
  <si>
    <t>Total C&amp;I</t>
  </si>
  <si>
    <t>C&amp;I Retrofit</t>
  </si>
  <si>
    <t>New School Construction</t>
  </si>
  <si>
    <t>Participants-Actual</t>
  </si>
  <si>
    <t>Participants-Committed</t>
  </si>
  <si>
    <t>Budget ($000)</t>
  </si>
  <si>
    <t>Cool Cities Program Results</t>
  </si>
  <si>
    <t># Trees Planted</t>
  </si>
  <si>
    <t>TBD</t>
  </si>
  <si>
    <t>Actual Expenditures *</t>
  </si>
  <si>
    <t>Energy Savings**</t>
  </si>
  <si>
    <t>* As of June 2004 this program is no longer funded through the NJCEP</t>
  </si>
  <si>
    <t>Renewable Energy Generation</t>
  </si>
  <si>
    <t>Annual generation</t>
  </si>
  <si>
    <t>Lifetime generation</t>
  </si>
  <si>
    <t xml:space="preserve">Annual demand </t>
  </si>
  <si>
    <t>Lifetime savings</t>
  </si>
  <si>
    <t>Gas Savings</t>
  </si>
  <si>
    <t>New Jersey's Clean Energy Program</t>
  </si>
  <si>
    <t xml:space="preserve">  Energy Efficiency</t>
  </si>
  <si>
    <t xml:space="preserve">  Renewable Energy</t>
  </si>
  <si>
    <t>Residential HVAC - Electric &amp; Gas</t>
  </si>
  <si>
    <t>Residential New Construction</t>
  </si>
  <si>
    <t>Energy Star Products</t>
  </si>
  <si>
    <t xml:space="preserve">     Room Air Conditioning</t>
  </si>
  <si>
    <t xml:space="preserve">     Lighting and Other</t>
  </si>
  <si>
    <t xml:space="preserve">     Home Energy Audit</t>
  </si>
  <si>
    <t>Residential Low Income</t>
  </si>
  <si>
    <t>Sub-Total:  Residential</t>
  </si>
  <si>
    <t>Commercial/Industrial Construction:</t>
  </si>
  <si>
    <t>Total Energy Efficiency</t>
  </si>
  <si>
    <t xml:space="preserve">  CORE</t>
  </si>
  <si>
    <t>** This program does result in any MWh savings</t>
  </si>
  <si>
    <t>C&amp;I Energy Efficient Construction Program Results</t>
  </si>
  <si>
    <t>Home Performance with Energy Star</t>
  </si>
  <si>
    <t>STAC SEER/EER Evaluation</t>
  </si>
  <si>
    <t>Pay for Performance</t>
  </si>
  <si>
    <t>Special Studies/Pilot Studies</t>
  </si>
  <si>
    <t>Energy Efficiency</t>
  </si>
  <si>
    <t>Renewable Energy</t>
  </si>
  <si>
    <t>Annual MWh</t>
  </si>
  <si>
    <t>Annual Dekatherms</t>
  </si>
  <si>
    <t>Cumulative Lifetime MWh</t>
  </si>
  <si>
    <t xml:space="preserve"> </t>
  </si>
  <si>
    <t>Annual Energy Savings</t>
  </si>
  <si>
    <t>Annual Renewable Energy Generation</t>
  </si>
  <si>
    <t>Total Annual Dtherm Savings</t>
  </si>
  <si>
    <t>Total Annual MWH Savings</t>
  </si>
  <si>
    <t>Cumulative Lifetime Dekatherms</t>
  </si>
  <si>
    <t>Annual Renewable Energy KW</t>
  </si>
  <si>
    <t>Lifetime Renewable Energy Generation</t>
  </si>
  <si>
    <t>CORE</t>
  </si>
  <si>
    <t>2005</t>
  </si>
  <si>
    <t>Renewable Energy Advanced Power Program/RE Grants &amp; Financing</t>
  </si>
  <si>
    <t>* BPU set overall RE budget but did not allocate to programs</t>
  </si>
  <si>
    <t>Infrastructure/REED/RE Business Venture Financing</t>
  </si>
  <si>
    <t>Committed Expenditures ($000)</t>
  </si>
  <si>
    <t>Renewable Energy Generation - Annual</t>
  </si>
  <si>
    <t>Renewable Energy Generation - Lifetime</t>
  </si>
  <si>
    <t>Cool Cities</t>
  </si>
  <si>
    <t>Lifetime Energy Savings by Program</t>
  </si>
  <si>
    <t>Annual Energy Savings/Renewable Energy Generation by Program</t>
  </si>
  <si>
    <t>Administration</t>
  </si>
  <si>
    <t>OCE Admin &amp; Overhead</t>
  </si>
  <si>
    <t>Evaluation and related Research</t>
  </si>
  <si>
    <t>Outreach and Education</t>
  </si>
  <si>
    <t xml:space="preserve">  Administration</t>
  </si>
  <si>
    <t>BPU Grid Program</t>
  </si>
  <si>
    <t>Lifetime MWh</t>
  </si>
  <si>
    <t>Lifetime Dekatherms</t>
  </si>
  <si>
    <t>Annual Demand Reductions</t>
  </si>
  <si>
    <t>Total KW Reductions</t>
  </si>
  <si>
    <t>Demand Savings: KW</t>
  </si>
  <si>
    <t>Appliance Cycling</t>
  </si>
  <si>
    <t>Energy Savings: Electric</t>
  </si>
  <si>
    <t>Demand</t>
  </si>
  <si>
    <t>Res New Construction</t>
  </si>
  <si>
    <t>All C&amp;I</t>
  </si>
  <si>
    <t># customers</t>
  </si>
  <si>
    <t>Refridgerator Turn In</t>
  </si>
  <si>
    <t>Public Entity Financing</t>
  </si>
  <si>
    <t xml:space="preserve">  Re Grants and Financing</t>
  </si>
  <si>
    <t>Renewable Energy Generation - Demand</t>
  </si>
  <si>
    <t>Committed Savings</t>
  </si>
  <si>
    <t>Installed Savings</t>
  </si>
  <si>
    <t>Lifetime Energy Savings</t>
  </si>
  <si>
    <t>Annual savings - Total</t>
  </si>
  <si>
    <t xml:space="preserve">  C&amp;I New Construction</t>
  </si>
  <si>
    <t xml:space="preserve">  C&amp;I Retrofit</t>
  </si>
  <si>
    <t xml:space="preserve">  Schools</t>
  </si>
  <si>
    <t xml:space="preserve">  CHP</t>
  </si>
  <si>
    <t>Lifetime Savings - Total</t>
  </si>
  <si>
    <t>Electric - Annual</t>
  </si>
  <si>
    <t>Electric - Lifetime</t>
  </si>
  <si>
    <t>Gas - Annual</t>
  </si>
  <si>
    <t>Gas - Lifetime</t>
  </si>
  <si>
    <t>Annual Savings - Total</t>
  </si>
  <si>
    <r>
      <t>Sub-Total C&amp;I</t>
    </r>
    <r>
      <rPr>
        <b/>
        <sz val="10"/>
        <rFont val="Arial"/>
        <family val="2"/>
      </rPr>
      <t>Construction:</t>
    </r>
  </si>
  <si>
    <t>NJDEP Cool Cities</t>
  </si>
  <si>
    <t>Committed Re Generation - Annual</t>
  </si>
  <si>
    <t>Committed RE Demand - Annual</t>
  </si>
  <si>
    <t>Committed RE Generation - Lifetime</t>
  </si>
  <si>
    <t>DTherm</t>
  </si>
  <si>
    <t>Annual RE Generation</t>
  </si>
  <si>
    <t xml:space="preserve">Sub-Total C&amp;I </t>
  </si>
  <si>
    <t>CO2</t>
  </si>
  <si>
    <t>NOX</t>
  </si>
  <si>
    <t>SO2</t>
  </si>
  <si>
    <t>HG (LBS)</t>
  </si>
  <si>
    <t>Total Annual</t>
  </si>
  <si>
    <t>RE Business Venture Financing Program Results</t>
  </si>
  <si>
    <t>Actual Participants</t>
  </si>
  <si>
    <t>RE Projects Grants and Financing Program Results</t>
  </si>
  <si>
    <t>Demand Savings: kW</t>
  </si>
  <si>
    <t>2006</t>
  </si>
  <si>
    <t>DCA Weatherization</t>
  </si>
  <si>
    <t>WRAP</t>
  </si>
  <si>
    <t>Energy Savings - Annual</t>
  </si>
  <si>
    <t>Energy Savings - Lifetime</t>
  </si>
  <si>
    <t>Demand Reductions</t>
  </si>
  <si>
    <t>kW</t>
  </si>
  <si>
    <t>DCA Green Homes</t>
  </si>
  <si>
    <t>Energy Conservation Kits</t>
  </si>
  <si>
    <t>Clean Energy Financing for Business</t>
  </si>
  <si>
    <t>Other Programs</t>
  </si>
  <si>
    <t>RE</t>
  </si>
  <si>
    <t>Manufacturing Incentive</t>
  </si>
  <si>
    <t>Combined Heat and Power</t>
  </si>
  <si>
    <t>Lifetime CHP Generation</t>
  </si>
  <si>
    <t xml:space="preserve">Budget </t>
  </si>
  <si>
    <t>OCE Oversight</t>
  </si>
  <si>
    <t>2005 corrected from 4Q05 report</t>
  </si>
  <si>
    <t>corrected</t>
  </si>
  <si>
    <t>reported</t>
  </si>
  <si>
    <t>Energy Savings: Gas</t>
  </si>
  <si>
    <t xml:space="preserve">  CPC</t>
  </si>
  <si>
    <t>Cumulative Demand Reductions</t>
  </si>
  <si>
    <t>Renewable Energy Capacity</t>
  </si>
  <si>
    <t>CHP Capacity</t>
  </si>
  <si>
    <t>Annual*</t>
  </si>
  <si>
    <t>Lifetime*</t>
  </si>
  <si>
    <t>MWh **</t>
  </si>
  <si>
    <t>** corrected value provided subsequent to issuance of 4Q report.</t>
  </si>
  <si>
    <t>2007</t>
  </si>
  <si>
    <t>Home Performance w Energy Star</t>
  </si>
  <si>
    <t>Home Performance with ENERGY STAR Program Results</t>
  </si>
  <si>
    <t>Note:  prior to 2007 HPwES was incorporated as part of ES Products Program</t>
  </si>
  <si>
    <t>Res MM Transition</t>
  </si>
  <si>
    <t>C&amp;I MM Transition</t>
  </si>
  <si>
    <t>Utility Transition</t>
  </si>
  <si>
    <t>RE MM Transition</t>
  </si>
  <si>
    <t>DEP Ecoloogical Baseline Study</t>
  </si>
  <si>
    <t xml:space="preserve">  REC/SREC</t>
  </si>
  <si>
    <t xml:space="preserve">  Lighting and Other </t>
  </si>
  <si>
    <t>Clean PowerChoice</t>
  </si>
  <si>
    <t>CHP Generation</t>
  </si>
  <si>
    <t>CHP Gas Savings</t>
  </si>
  <si>
    <t>Annual CHP Generation</t>
  </si>
  <si>
    <t>Annual CHP KW</t>
  </si>
  <si>
    <t>Lifetime Energy Savings/Renewable - CHP Electic Generation</t>
  </si>
  <si>
    <t>Annual Energy Savings/Renewable - CHP Electric Generation</t>
  </si>
  <si>
    <t>CHP Participants</t>
  </si>
  <si>
    <t>Renewable Energy Participants</t>
  </si>
  <si>
    <t>Energy Efficiency Participants</t>
  </si>
  <si>
    <t>Committed Participants</t>
  </si>
  <si>
    <t xml:space="preserve">CHP </t>
  </si>
  <si>
    <t>Lighting and Other</t>
  </si>
  <si>
    <t>Total RE</t>
  </si>
  <si>
    <t>C&amp;I Committed Expenditures</t>
  </si>
  <si>
    <t>Actual CHP</t>
  </si>
  <si>
    <t xml:space="preserve">  RE Business Venture Financing</t>
  </si>
  <si>
    <t>Total Gas Savings</t>
  </si>
  <si>
    <t xml:space="preserve">  CORE (Fuel Cells)</t>
  </si>
  <si>
    <t xml:space="preserve">Total </t>
  </si>
  <si>
    <t>Total WO Appliance Cycling</t>
  </si>
  <si>
    <t xml:space="preserve">     Clothes Washers</t>
  </si>
  <si>
    <t>Emission Reductions</t>
  </si>
  <si>
    <t>Dtherms</t>
  </si>
  <si>
    <t>RE Generation</t>
  </si>
  <si>
    <t>Annual Generation</t>
  </si>
  <si>
    <t>Annual CO2 Reductions</t>
  </si>
  <si>
    <t>metric tons</t>
  </si>
  <si>
    <t>2008</t>
  </si>
  <si>
    <t xml:space="preserve">  Dehumidifier</t>
  </si>
  <si>
    <t xml:space="preserve">  Clothes Washer</t>
  </si>
  <si>
    <t>Community Based Efficieny Initiative</t>
  </si>
  <si>
    <t>Direct Install</t>
  </si>
  <si>
    <t>TEACH</t>
  </si>
  <si>
    <t>Clean Energy Tech Fund</t>
  </si>
  <si>
    <t>REDI</t>
  </si>
  <si>
    <t>Offshore wind solicitation</t>
  </si>
  <si>
    <t>Clean Energy Manufacturing Fund</t>
  </si>
  <si>
    <t xml:space="preserve">     Dehumidifier</t>
  </si>
  <si>
    <t>EE (Electric)</t>
  </si>
  <si>
    <t>EE (Gas)</t>
  </si>
  <si>
    <t xml:space="preserve">     Clothes Washer</t>
  </si>
  <si>
    <t>2007 MWh, KW and Dtherms updated to include revised PSEG reported savings.</t>
  </si>
  <si>
    <t xml:space="preserve">  Energy Efficiency &amp; RE</t>
  </si>
  <si>
    <t>Sub-Total EE</t>
  </si>
  <si>
    <t>REC/SREC Program Results</t>
  </si>
  <si>
    <t xml:space="preserve">  REC/SREC (subscribed)</t>
  </si>
  <si>
    <t>Electric Generation</t>
  </si>
  <si>
    <t>Committed Electric  Generation</t>
  </si>
  <si>
    <t>Committed Gas Savings</t>
  </si>
  <si>
    <t xml:space="preserve">  RE Certificates/SREC</t>
  </si>
  <si>
    <t xml:space="preserve">  RE Grants and Financing</t>
  </si>
  <si>
    <t xml:space="preserve">  CHP Electric Demand Reductions</t>
  </si>
  <si>
    <t>2009</t>
  </si>
  <si>
    <t xml:space="preserve">  Refrigerator Turn in</t>
  </si>
  <si>
    <t>REIP Program Results</t>
  </si>
  <si>
    <t xml:space="preserve">     Refrigerator Turn-In</t>
  </si>
  <si>
    <t xml:space="preserve">  REIP</t>
  </si>
  <si>
    <t xml:space="preserve">  Edison Innovation CEF (CST)</t>
  </si>
  <si>
    <t>REIP</t>
  </si>
  <si>
    <t>Edison Innovation CEF (CST)</t>
  </si>
  <si>
    <t xml:space="preserve">  Comfort Partners</t>
  </si>
  <si>
    <t>Total = Cumulative Lifetime Savings</t>
  </si>
  <si>
    <t xml:space="preserve">  CHP Gas savings</t>
  </si>
  <si>
    <t>Sub-Total C&amp;I:</t>
  </si>
  <si>
    <t>Committed Electric Savings: Lifetime</t>
  </si>
  <si>
    <t>HG</t>
  </si>
  <si>
    <t>Total to the $</t>
  </si>
  <si>
    <t xml:space="preserve">Program Budget </t>
  </si>
  <si>
    <t xml:space="preserve">Expenditures </t>
  </si>
  <si>
    <t>Other Budgets and Expenditures</t>
  </si>
  <si>
    <t>Residential Marketing</t>
  </si>
  <si>
    <t>C&amp;I Marketing</t>
  </si>
  <si>
    <t>Clean Energy Conference</t>
  </si>
  <si>
    <t>RE Marketing</t>
  </si>
  <si>
    <t>Tier 1</t>
  </si>
  <si>
    <t>Teir 3</t>
  </si>
  <si>
    <t>LGEA</t>
  </si>
  <si>
    <t>Sub-Total:  C&amp;I</t>
  </si>
  <si>
    <t>C&amp;I Retro and New Construction</t>
  </si>
  <si>
    <t>Edison Innovation CEF Program Results</t>
  </si>
  <si>
    <t xml:space="preserve">  Edison Innovation CEMF</t>
  </si>
  <si>
    <t xml:space="preserve">  Edison Innovation CEF</t>
  </si>
  <si>
    <t>Annual CO2 Emissions Reductions</t>
  </si>
  <si>
    <t>Energy Effciency - Electric</t>
  </si>
  <si>
    <t>Energy Effciency - Gas</t>
  </si>
  <si>
    <t>Renewable (Gas &amp; Electric)</t>
  </si>
  <si>
    <t>Annual NOX Emissions Reductions</t>
  </si>
  <si>
    <t>Annual S02 Emissions Reductions</t>
  </si>
  <si>
    <t>Annual Hg Emissions Reductions (lbs)</t>
  </si>
  <si>
    <t>Lifetime CO2 Emissions Reductions</t>
  </si>
  <si>
    <t>Lifetime NOX Emissions Reductions</t>
  </si>
  <si>
    <t>Lifetime SO2 Emissions Reductions</t>
  </si>
  <si>
    <t>Lifetime Hg Emissions Reductions (lbs)</t>
  </si>
  <si>
    <t>No energy savings were reported for the programs on this sheet for.</t>
  </si>
  <si>
    <t>Total = Cumulative Lifetime Emission Reductions</t>
  </si>
  <si>
    <t>Actual to the $</t>
  </si>
  <si>
    <t>2010</t>
  </si>
  <si>
    <t>Total 2001-2010</t>
  </si>
  <si>
    <t>(2001 - 2004 cells hidden)</t>
  </si>
  <si>
    <t>Actual Expenses</t>
  </si>
  <si>
    <t>Committed Expenses</t>
  </si>
  <si>
    <t>Pay-for Performance Program</t>
  </si>
  <si>
    <t>Approved ERPs</t>
  </si>
  <si>
    <t>Completed Projects</t>
  </si>
  <si>
    <t>Pay-for Performance New Construction Program</t>
  </si>
  <si>
    <t>Direct Install Program</t>
  </si>
  <si>
    <t>Pay-for-Performance</t>
  </si>
  <si>
    <t>Pay-for-Performance New Construction</t>
  </si>
  <si>
    <t>Actual Savings</t>
  </si>
  <si>
    <t>Pay for Performance NC</t>
  </si>
  <si>
    <t xml:space="preserve">Committed Participants </t>
  </si>
  <si>
    <t xml:space="preserve">Actual Participants </t>
  </si>
  <si>
    <t>Starting in 2009 REC program expenses are included in REIP program budget</t>
  </si>
  <si>
    <t>2003*</t>
  </si>
  <si>
    <t>Edison Innovation CEMF (EDA)</t>
  </si>
  <si>
    <t>*Included in EE emissions reductions</t>
  </si>
  <si>
    <t>Expenses</t>
  </si>
  <si>
    <t>EE Sav + RE Gen</t>
  </si>
  <si>
    <t xml:space="preserve">  </t>
  </si>
  <si>
    <t>Participants by Program</t>
  </si>
  <si>
    <t xml:space="preserve">  Consumer Electronics</t>
  </si>
  <si>
    <t>*The annual generation data listed above has been updated in reponse to a data quality verification performed in 2010. The old data reported by the NJBPU is listed in the table at the bottom of this page.</t>
  </si>
  <si>
    <t>*The lifetime generation data listed above has been updated in reponse to a data quality verification performed in 2010. The old data reported by the NJBPU is listed in the table at the bottom of this page.</t>
  </si>
  <si>
    <t>*The demand data listed above has been updated in reponse to a data quality verification performed in 2010. The old data reported by the NJBPU is listed in the table at the bottom of this page.</t>
  </si>
  <si>
    <t>Actual Energy Generation</t>
  </si>
  <si>
    <t>Committed Energy Generation</t>
  </si>
  <si>
    <t>RE Grid Connected (REDI) Program Results</t>
  </si>
  <si>
    <t>RE Grid Connected (REDI)</t>
  </si>
  <si>
    <t xml:space="preserve">  RE Grid Connected (REDI)</t>
  </si>
  <si>
    <t xml:space="preserve">     Consumer Electronics</t>
  </si>
  <si>
    <t xml:space="preserve">  Res. Energy Efficiency</t>
  </si>
  <si>
    <t xml:space="preserve">  C&amp;I Energy Efficiency</t>
  </si>
  <si>
    <t>Expenditures</t>
  </si>
  <si>
    <t>Program Budget</t>
  </si>
  <si>
    <t xml:space="preserve">Program Expenditures </t>
  </si>
  <si>
    <t xml:space="preserve">Actual Expenditures </t>
  </si>
  <si>
    <t>Note:  Prior to 2009 budgets and expendiitures were reported to the $000.  The total line rounds up to the $000 so these amounts can be added to more recent amounts which are now reported to the $.</t>
  </si>
  <si>
    <t>Note: Prior to 2009 budgets and expendiitures were reported to the $000.  The total line rounds up to the $000 so these amounts can be added to more recent amounts which are now reported to the $.</t>
  </si>
  <si>
    <t>Program Summary: 2001 - 2011</t>
  </si>
  <si>
    <t>Summary of 2011 Statewide Results</t>
  </si>
  <si>
    <t>2011 Expenditures</t>
  </si>
  <si>
    <t>2011 Energy Savings</t>
  </si>
  <si>
    <t>2011 Renewwable Energy Generation</t>
  </si>
  <si>
    <t>2011 CHP Generation</t>
  </si>
  <si>
    <t>2011</t>
  </si>
  <si>
    <t>Total 2001-2011</t>
  </si>
  <si>
    <t>Program Terminated im 2010</t>
  </si>
  <si>
    <t>Emission Reductions - 2011</t>
  </si>
  <si>
    <t>* Annual and lifetime emission reductions are for measures installed in 2011</t>
  </si>
  <si>
    <t>Annual Emission Reductions (Metric Tons) from Measures Installed in 2011</t>
  </si>
  <si>
    <t>Lifetime Emission Reductions (Metric Tons) from Measures Installed in 2011</t>
  </si>
  <si>
    <t>Cumulative Lifetime Emission Reductions (Metric Tons) 2001 - 2011</t>
  </si>
  <si>
    <t xml:space="preserve">EE Budgets </t>
  </si>
  <si>
    <t xml:space="preserve">RE Budgets </t>
  </si>
  <si>
    <t xml:space="preserve">EE Actual Expenditures </t>
  </si>
  <si>
    <t xml:space="preserve">RE Actual Expenditures </t>
  </si>
  <si>
    <t xml:space="preserve">  EDA</t>
  </si>
  <si>
    <t xml:space="preserve">  True Grant</t>
  </si>
  <si>
    <t xml:space="preserve"> Res = Res + LI</t>
  </si>
  <si>
    <t>C&amp;I = C&amp;I + Other EE</t>
  </si>
  <si>
    <t>Large Energy Uers pilot</t>
  </si>
  <si>
    <t>Multi-family financing pilot</t>
  </si>
  <si>
    <t>Green jobs and building code training</t>
  </si>
  <si>
    <t>Sustainable Jersey</t>
  </si>
  <si>
    <t>Competitive grant loan solicitation</t>
  </si>
  <si>
    <t>EDA Edison Innovation CEMF Program Results</t>
  </si>
  <si>
    <t>EDA Innovation Green Growth Fund</t>
  </si>
  <si>
    <t>EE Revolving Loan Fund</t>
  </si>
  <si>
    <t>admin includes memberships</t>
  </si>
  <si>
    <t>Tier 2</t>
  </si>
  <si>
    <t>2011 participants = completions</t>
  </si>
  <si>
    <t>applications completed</t>
  </si>
  <si>
    <t>EDA</t>
  </si>
  <si>
    <t>True Grant</t>
  </si>
  <si>
    <t>Total Annual KW Savings</t>
  </si>
  <si>
    <t>Total Expenses + Commitments</t>
  </si>
  <si>
    <t xml:space="preserve">  Refrigerator</t>
  </si>
  <si>
    <t xml:space="preserve">  Dishwasher</t>
  </si>
  <si>
    <t xml:space="preserve">     Refrigerator</t>
  </si>
  <si>
    <t xml:space="preserve">     Dishwasher</t>
  </si>
  <si>
    <t>Note:  participants not cumulative so total =2011</t>
  </si>
  <si>
    <t xml:space="preserve">     Refrigerator </t>
  </si>
  <si>
    <t>Audits Reviewed and Processed</t>
  </si>
  <si>
    <t>Local Government Energy Audit Program (LGEA)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</si>
</sst>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%"/>
    <numFmt numFmtId="167" formatCode="#,##0.0000"/>
    <numFmt numFmtId="168" formatCode="0.0000"/>
    <numFmt numFmtId="169" formatCode="&quot;$&quot;#,##0.0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58" applyFont="1" applyBorder="1" applyAlignment="1">
      <alignment wrapText="1"/>
      <protection/>
    </xf>
    <xf numFmtId="3" fontId="0" fillId="0" borderId="10" xfId="0" applyNumberForma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0" xfId="58" applyFont="1" applyFill="1" applyBorder="1" applyAlignment="1">
      <alignment wrapText="1"/>
      <protection/>
    </xf>
    <xf numFmtId="0" fontId="4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5" fillId="0" borderId="0" xfId="58" applyFont="1" applyFill="1" applyBorder="1" applyAlignment="1">
      <alignment wrapText="1"/>
      <protection/>
    </xf>
    <xf numFmtId="3" fontId="0" fillId="0" borderId="0" xfId="0" applyNumberForma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10" xfId="58" applyFont="1" applyFill="1" applyBorder="1" applyAlignment="1">
      <alignment wrapText="1"/>
      <protection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6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5" fillId="0" borderId="10" xfId="58" applyFont="1" applyBorder="1" applyAlignment="1">
      <alignment wrapText="1"/>
      <protection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0" xfId="0" applyNumberFormat="1" applyFill="1" applyBorder="1" applyAlignment="1">
      <alignment/>
    </xf>
    <xf numFmtId="0" fontId="4" fillId="0" borderId="0" xfId="58" applyFont="1" applyFill="1" applyBorder="1" applyAlignment="1">
      <alignment wrapText="1"/>
      <protection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0" xfId="58" applyFont="1" applyBorder="1" applyAlignment="1">
      <alignment wrapText="1"/>
      <protection/>
    </xf>
    <xf numFmtId="3" fontId="0" fillId="32" borderId="10" xfId="0" applyNumberFormat="1" applyFill="1" applyBorder="1" applyAlignment="1">
      <alignment horizontal="center"/>
    </xf>
    <xf numFmtId="0" fontId="0" fillId="32" borderId="0" xfId="0" applyFill="1" applyBorder="1" applyAlignment="1">
      <alignment horizontal="left"/>
    </xf>
    <xf numFmtId="0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58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10" xfId="58" applyFont="1" applyFill="1" applyBorder="1" applyAlignment="1">
      <alignment wrapText="1"/>
      <protection/>
    </xf>
    <xf numFmtId="0" fontId="4" fillId="0" borderId="1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1" xfId="0" applyNumberFormat="1" applyBorder="1" applyAlignment="1">
      <alignment horizontal="center"/>
    </xf>
    <xf numFmtId="168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169" fontId="0" fillId="0" borderId="1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0" fillId="0" borderId="1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69" fontId="0" fillId="0" borderId="1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6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49" fontId="4" fillId="0" borderId="0" xfId="0" applyNumberFormat="1" applyFont="1" applyBorder="1" applyAlignment="1">
      <alignment horizontal="center" wrapText="1"/>
    </xf>
    <xf numFmtId="168" fontId="0" fillId="0" borderId="0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right"/>
    </xf>
    <xf numFmtId="168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11" xfId="0" applyNumberForma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3" fontId="0" fillId="0" borderId="0" xfId="0" applyNumberFormat="1" applyBorder="1" applyAlignment="1">
      <alignment horizontal="left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6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Alignment="1">
      <alignment horizontal="left"/>
    </xf>
    <xf numFmtId="0" fontId="0" fillId="0" borderId="0" xfId="57">
      <alignment/>
      <protection/>
    </xf>
    <xf numFmtId="3" fontId="0" fillId="0" borderId="10" xfId="57" applyNumberFormat="1" applyFill="1" applyBorder="1" applyAlignment="1">
      <alignment horizontal="center"/>
      <protection/>
    </xf>
    <xf numFmtId="0" fontId="0" fillId="0" borderId="10" xfId="57" applyFont="1" applyBorder="1" applyAlignment="1">
      <alignment horizontal="left"/>
      <protection/>
    </xf>
    <xf numFmtId="0" fontId="0" fillId="0" borderId="0" xfId="57" applyBorder="1" applyAlignment="1">
      <alignment horizontal="center"/>
      <protection/>
    </xf>
    <xf numFmtId="0" fontId="4" fillId="0" borderId="0" xfId="57" applyFont="1" applyBorder="1" applyAlignment="1">
      <alignment horizontal="left"/>
      <protection/>
    </xf>
    <xf numFmtId="0" fontId="0" fillId="0" borderId="0" xfId="57" applyBorder="1" applyAlignment="1">
      <alignment horizontal="left"/>
      <protection/>
    </xf>
    <xf numFmtId="164" fontId="0" fillId="0" borderId="10" xfId="57" applyNumberFormat="1" applyBorder="1" applyAlignment="1">
      <alignment horizontal="right"/>
      <protection/>
    </xf>
    <xf numFmtId="0" fontId="0" fillId="0" borderId="10" xfId="57" applyBorder="1" applyAlignment="1">
      <alignment horizontal="left"/>
      <protection/>
    </xf>
    <xf numFmtId="0" fontId="0" fillId="0" borderId="0" xfId="57" applyBorder="1" applyAlignment="1">
      <alignment horizontal="right"/>
      <protection/>
    </xf>
    <xf numFmtId="49" fontId="0" fillId="0" borderId="0" xfId="57" applyNumberFormat="1" applyBorder="1" applyAlignment="1">
      <alignment horizontal="right"/>
      <protection/>
    </xf>
    <xf numFmtId="0" fontId="4" fillId="0" borderId="0" xfId="57" applyFont="1" applyBorder="1">
      <alignment/>
      <protection/>
    </xf>
    <xf numFmtId="0" fontId="0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3" fontId="0" fillId="0" borderId="0" xfId="57" applyNumberFormat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RDC Budget and Incentives 000112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Electric Savings (MWh)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395"/>
          <c:w val="0.9782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Charts'!$B$1:$L$1</c:f>
              <c:numCache/>
            </c:numRef>
          </c:cat>
          <c:val>
            <c:numRef>
              <c:f>'Bar Charts'!$B$3:$L$3</c:f>
              <c:numCache/>
            </c:numRef>
          </c:val>
        </c:ser>
        <c:axId val="51360743"/>
        <c:axId val="59593504"/>
      </c:bar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93504"/>
        <c:crosses val="autoZero"/>
        <c:auto val="1"/>
        <c:lblOffset val="100"/>
        <c:tickLblSkip val="1"/>
        <c:noMultiLvlLbl val="0"/>
      </c:catAx>
      <c:valAx>
        <c:axId val="59593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60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Renewable Energy Generation (MWh)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43"/>
          <c:w val="0.976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Charts'!$C$1:$L$1</c:f>
              <c:numCache/>
            </c:numRef>
          </c:cat>
          <c:val>
            <c:numRef>
              <c:f>'Bar Charts'!$C$8:$L$8</c:f>
              <c:numCache/>
            </c:numRef>
          </c:val>
        </c:ser>
        <c:axId val="66579489"/>
        <c:axId val="62344490"/>
      </c:bar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44490"/>
        <c:crosses val="autoZero"/>
        <c:auto val="1"/>
        <c:lblOffset val="100"/>
        <c:tickLblSkip val="1"/>
        <c:noMultiLvlLbl val="0"/>
      </c:catAx>
      <c:valAx>
        <c:axId val="62344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79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CO2 Emission Reductions (metric tons)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415"/>
          <c:w val="0.977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Charts'!$C$1:$L$1</c:f>
              <c:numCache/>
            </c:numRef>
          </c:cat>
          <c:val>
            <c:numRef>
              <c:f>'Bar Charts'!$C$13:$L$13</c:f>
              <c:numCache/>
            </c:numRef>
          </c:val>
        </c:ser>
        <c:axId val="24229499"/>
        <c:axId val="16738900"/>
      </c:bar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38900"/>
        <c:crosses val="autoZero"/>
        <c:auto val="1"/>
        <c:lblOffset val="100"/>
        <c:tickLblSkip val="1"/>
        <c:noMultiLvlLbl val="0"/>
      </c:catAx>
      <c:valAx>
        <c:axId val="16738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29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Natural Gas Savings (Dtherms)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42"/>
          <c:w val="0.974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Charts'!$C$1:$L$1</c:f>
              <c:numCache/>
            </c:numRef>
          </c:cat>
          <c:val>
            <c:numRef>
              <c:f>'Bar Charts'!$C$4:$L$4</c:f>
              <c:numCache/>
            </c:numRef>
          </c:val>
        </c:ser>
        <c:axId val="16432373"/>
        <c:axId val="13673630"/>
      </c:bar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73630"/>
        <c:crosses val="autoZero"/>
        <c:auto val="1"/>
        <c:lblOffset val="100"/>
        <c:tickLblSkip val="1"/>
        <c:noMultiLvlLbl val="0"/>
      </c:catAx>
      <c:valAx>
        <c:axId val="13673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32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CHP Generation (MWh)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43"/>
          <c:w val="0.976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Charts'!$C$1:$L$1</c:f>
              <c:numCache/>
            </c:numRef>
          </c:cat>
          <c:val>
            <c:numRef>
              <c:f>'Bar Charts'!$C$9:$L$9</c:f>
              <c:numCache/>
            </c:numRef>
          </c:val>
        </c:ser>
        <c:axId val="55953807"/>
        <c:axId val="33822216"/>
      </c:bar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22216"/>
        <c:crosses val="autoZero"/>
        <c:auto val="1"/>
        <c:lblOffset val="100"/>
        <c:tickLblSkip val="1"/>
        <c:noMultiLvlLbl val="0"/>
      </c:catAx>
      <c:valAx>
        <c:axId val="33822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53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Expenditures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325"/>
          <c:w val="0.952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Charts'!$B$1:$L$1</c:f>
              <c:numCache/>
            </c:numRef>
          </c:cat>
          <c:val>
            <c:numRef>
              <c:f>'Bar Charts'!$B$5:$L$5</c:f>
              <c:numCache/>
            </c:numRef>
          </c:val>
        </c:ser>
        <c:axId val="35964489"/>
        <c:axId val="55244946"/>
      </c:barChart>
      <c:cat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44946"/>
        <c:crosses val="autoZero"/>
        <c:auto val="1"/>
        <c:lblOffset val="100"/>
        <c:tickLblSkip val="1"/>
        <c:noMultiLvlLbl val="0"/>
      </c:catAx>
      <c:valAx>
        <c:axId val="55244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64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EE Savings + RE Generation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"/>
          <c:y val="0.13375"/>
          <c:w val="0.968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Charts'!$B$1:$L$1</c:f>
              <c:numCache/>
            </c:numRef>
          </c:cat>
          <c:val>
            <c:numRef>
              <c:f>'Bar Charts'!$B$10:$L$10</c:f>
              <c:numCache/>
            </c:numRef>
          </c:val>
        </c:ser>
        <c:axId val="27442467"/>
        <c:axId val="45655612"/>
      </c:bar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55612"/>
        <c:crosses val="autoZero"/>
        <c:auto val="1"/>
        <c:lblOffset val="100"/>
        <c:tickLblSkip val="1"/>
        <c:noMultiLvlLbl val="0"/>
      </c:catAx>
      <c:valAx>
        <c:axId val="45655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42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0</xdr:rowOff>
    </xdr:from>
    <xdr:to>
      <xdr:col>5</xdr:col>
      <xdr:colOff>781050</xdr:colOff>
      <xdr:row>32</xdr:row>
      <xdr:rowOff>57150</xdr:rowOff>
    </xdr:to>
    <xdr:graphicFrame>
      <xdr:nvGraphicFramePr>
        <xdr:cNvPr id="1" name="Chart 4"/>
        <xdr:cNvGraphicFramePr/>
      </xdr:nvGraphicFramePr>
      <xdr:xfrm>
        <a:off x="9525" y="2428875"/>
        <a:ext cx="56483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142875</xdr:rowOff>
    </xdr:from>
    <xdr:to>
      <xdr:col>5</xdr:col>
      <xdr:colOff>771525</xdr:colOff>
      <xdr:row>49</xdr:row>
      <xdr:rowOff>133350</xdr:rowOff>
    </xdr:to>
    <xdr:graphicFrame>
      <xdr:nvGraphicFramePr>
        <xdr:cNvPr id="2" name="Chart 6"/>
        <xdr:cNvGraphicFramePr/>
      </xdr:nvGraphicFramePr>
      <xdr:xfrm>
        <a:off x="9525" y="5324475"/>
        <a:ext cx="5638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51</xdr:row>
      <xdr:rowOff>57150</xdr:rowOff>
    </xdr:from>
    <xdr:to>
      <xdr:col>5</xdr:col>
      <xdr:colOff>762000</xdr:colOff>
      <xdr:row>68</xdr:row>
      <xdr:rowOff>76200</xdr:rowOff>
    </xdr:to>
    <xdr:graphicFrame>
      <xdr:nvGraphicFramePr>
        <xdr:cNvPr id="3" name="Chart 8"/>
        <xdr:cNvGraphicFramePr/>
      </xdr:nvGraphicFramePr>
      <xdr:xfrm>
        <a:off x="19050" y="8315325"/>
        <a:ext cx="56197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51</xdr:row>
      <xdr:rowOff>57150</xdr:rowOff>
    </xdr:from>
    <xdr:to>
      <xdr:col>12</xdr:col>
      <xdr:colOff>0</xdr:colOff>
      <xdr:row>68</xdr:row>
      <xdr:rowOff>66675</xdr:rowOff>
    </xdr:to>
    <xdr:graphicFrame>
      <xdr:nvGraphicFramePr>
        <xdr:cNvPr id="4" name="Chart 5"/>
        <xdr:cNvGraphicFramePr/>
      </xdr:nvGraphicFramePr>
      <xdr:xfrm>
        <a:off x="5791200" y="8315325"/>
        <a:ext cx="5067300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69</xdr:row>
      <xdr:rowOff>28575</xdr:rowOff>
    </xdr:from>
    <xdr:to>
      <xdr:col>5</xdr:col>
      <xdr:colOff>752475</xdr:colOff>
      <xdr:row>86</xdr:row>
      <xdr:rowOff>19050</xdr:rowOff>
    </xdr:to>
    <xdr:graphicFrame>
      <xdr:nvGraphicFramePr>
        <xdr:cNvPr id="5" name="Chart 7"/>
        <xdr:cNvGraphicFramePr/>
      </xdr:nvGraphicFramePr>
      <xdr:xfrm>
        <a:off x="66675" y="11201400"/>
        <a:ext cx="55626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38100</xdr:colOff>
      <xdr:row>15</xdr:row>
      <xdr:rowOff>9525</xdr:rowOff>
    </xdr:from>
    <xdr:to>
      <xdr:col>12</xdr:col>
      <xdr:colOff>9525</xdr:colOff>
      <xdr:row>32</xdr:row>
      <xdr:rowOff>47625</xdr:rowOff>
    </xdr:to>
    <xdr:graphicFrame>
      <xdr:nvGraphicFramePr>
        <xdr:cNvPr id="6" name="Chart 2"/>
        <xdr:cNvGraphicFramePr/>
      </xdr:nvGraphicFramePr>
      <xdr:xfrm>
        <a:off x="5800725" y="2438400"/>
        <a:ext cx="5067300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38100</xdr:colOff>
      <xdr:row>33</xdr:row>
      <xdr:rowOff>0</xdr:rowOff>
    </xdr:from>
    <xdr:to>
      <xdr:col>12</xdr:col>
      <xdr:colOff>9525</xdr:colOff>
      <xdr:row>49</xdr:row>
      <xdr:rowOff>133350</xdr:rowOff>
    </xdr:to>
    <xdr:graphicFrame>
      <xdr:nvGraphicFramePr>
        <xdr:cNvPr id="7" name="Chart 3"/>
        <xdr:cNvGraphicFramePr/>
      </xdr:nvGraphicFramePr>
      <xdr:xfrm>
        <a:off x="5800725" y="5343525"/>
        <a:ext cx="506730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N1" sqref="N1"/>
    </sheetView>
  </sheetViews>
  <sheetFormatPr defaultColWidth="9.140625" defaultRowHeight="12.75"/>
  <cols>
    <col min="1" max="1" width="20.7109375" style="0" customWidth="1"/>
    <col min="2" max="2" width="11.8515625" style="0" customWidth="1"/>
    <col min="3" max="3" width="13.00390625" style="0" customWidth="1"/>
    <col min="4" max="4" width="12.57421875" style="0" customWidth="1"/>
    <col min="5" max="5" width="13.28125" style="0" customWidth="1"/>
    <col min="6" max="12" width="12.140625" style="0" customWidth="1"/>
    <col min="13" max="13" width="14.00390625" style="0" customWidth="1"/>
    <col min="14" max="14" width="13.8515625" style="0" bestFit="1" customWidth="1"/>
    <col min="15" max="15" width="10.140625" style="0" bestFit="1" customWidth="1"/>
  </cols>
  <sheetData>
    <row r="1" spans="1:13" ht="12.75">
      <c r="A1" s="234" t="s">
        <v>78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>
      <c r="A2" s="234" t="s">
        <v>353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5">
      <c r="A3" s="185" t="s">
        <v>313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>
      <c r="A4" s="24"/>
      <c r="B4" s="35">
        <v>2001</v>
      </c>
      <c r="C4" s="35">
        <v>2002</v>
      </c>
      <c r="D4" s="35">
        <v>2003</v>
      </c>
      <c r="E4" s="35">
        <v>2004</v>
      </c>
      <c r="F4" s="35">
        <v>2005</v>
      </c>
      <c r="G4" s="35">
        <v>2006</v>
      </c>
      <c r="H4" s="35">
        <v>2007</v>
      </c>
      <c r="I4" s="35">
        <v>2008</v>
      </c>
      <c r="J4" s="35">
        <v>2009</v>
      </c>
      <c r="K4" s="35">
        <v>2010</v>
      </c>
      <c r="L4" s="35">
        <v>2011</v>
      </c>
      <c r="M4" s="35" t="s">
        <v>1</v>
      </c>
    </row>
    <row r="5" spans="1:13" ht="12.75">
      <c r="A5" s="14" t="s">
        <v>347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t="12.75">
      <c r="A6" s="24" t="s">
        <v>79</v>
      </c>
      <c r="B6" s="18">
        <f>56570*1000</f>
        <v>56570000</v>
      </c>
      <c r="C6" s="18">
        <f>93258*1000</f>
        <v>93258000</v>
      </c>
      <c r="D6" s="18">
        <f>88314*1000</f>
        <v>88314000</v>
      </c>
      <c r="E6" s="18">
        <f>92753*1000</f>
        <v>92753000</v>
      </c>
      <c r="F6" s="18">
        <f>85414.16*1000</f>
        <v>85414160</v>
      </c>
      <c r="G6" s="18">
        <f>79642*1000</f>
        <v>79642000</v>
      </c>
      <c r="H6" s="18">
        <f>90078*1000</f>
        <v>90078000</v>
      </c>
      <c r="I6" s="18">
        <f>82452*1000</f>
        <v>82452000</v>
      </c>
      <c r="J6" s="18">
        <v>120958657.9</v>
      </c>
      <c r="K6" s="18">
        <v>153712920.29</v>
      </c>
      <c r="L6" s="18">
        <v>139035801.19</v>
      </c>
      <c r="M6" s="18">
        <f aca="true" t="shared" si="0" ref="M6:M11">SUM(B6:L6)</f>
        <v>1082188539.3799999</v>
      </c>
      <c r="N6" t="s">
        <v>103</v>
      </c>
      <c r="O6" t="s">
        <v>103</v>
      </c>
    </row>
    <row r="7" spans="1:13" ht="12.75">
      <c r="A7" s="24" t="s">
        <v>80</v>
      </c>
      <c r="B7" s="18">
        <f>985*1000</f>
        <v>985000</v>
      </c>
      <c r="C7" s="18">
        <f>6646*1000</f>
        <v>6646000</v>
      </c>
      <c r="D7" s="18">
        <f>(9269+203)*1000</f>
        <v>9472000</v>
      </c>
      <c r="E7" s="18">
        <f>14749*1000</f>
        <v>14749000</v>
      </c>
      <c r="F7" s="18">
        <f>35524.382*1000</f>
        <v>35524382</v>
      </c>
      <c r="G7" s="18">
        <f>84279*1000</f>
        <v>84279000</v>
      </c>
      <c r="H7" s="18">
        <f>78210*1000</f>
        <v>78210000</v>
      </c>
      <c r="I7" s="18">
        <f>56930*1000</f>
        <v>56930000</v>
      </c>
      <c r="J7" s="18">
        <v>52677504.54</v>
      </c>
      <c r="K7" s="18">
        <f>57588771.13+4745714</f>
        <v>62334485.13</v>
      </c>
      <c r="L7" s="18">
        <v>38963321.6</v>
      </c>
      <c r="M7" s="18">
        <f t="shared" si="0"/>
        <v>440770693.27000004</v>
      </c>
    </row>
    <row r="8" spans="1:13" ht="12.75">
      <c r="A8" s="24" t="s">
        <v>371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>
        <v>6335017</v>
      </c>
      <c r="M8" s="18">
        <f t="shared" si="0"/>
        <v>6335017</v>
      </c>
    </row>
    <row r="9" spans="1:13" ht="12.75">
      <c r="A9" s="24" t="s">
        <v>126</v>
      </c>
      <c r="B9" s="18">
        <v>0</v>
      </c>
      <c r="C9" s="18">
        <v>0</v>
      </c>
      <c r="D9" s="18">
        <v>0</v>
      </c>
      <c r="E9" s="18">
        <v>0</v>
      </c>
      <c r="F9" s="18">
        <f>3654*1000</f>
        <v>3654000</v>
      </c>
      <c r="G9" s="18">
        <f>7276*1000</f>
        <v>7276000</v>
      </c>
      <c r="H9" s="18">
        <f>8523*1000</f>
        <v>8523000</v>
      </c>
      <c r="I9" s="18">
        <f>8168*1000</f>
        <v>8168000</v>
      </c>
      <c r="J9" s="18">
        <v>4528037.29</v>
      </c>
      <c r="K9" s="18">
        <v>3537798.94</v>
      </c>
      <c r="L9" s="18">
        <v>4331674.86</v>
      </c>
      <c r="M9" s="18">
        <f t="shared" si="0"/>
        <v>40018511.089999996</v>
      </c>
    </row>
    <row r="10" spans="1:13" ht="12.75">
      <c r="A10" s="24" t="s">
        <v>372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>
        <v>3210125.71</v>
      </c>
      <c r="M10" s="18">
        <f t="shared" si="0"/>
        <v>3210125.71</v>
      </c>
    </row>
    <row r="11" spans="1:14" ht="12.75">
      <c r="A11" s="24" t="s">
        <v>1</v>
      </c>
      <c r="B11" s="18">
        <f aca="true" t="shared" si="1" ref="B11:K11">SUM(B6:B9)</f>
        <v>57555000</v>
      </c>
      <c r="C11" s="18">
        <f t="shared" si="1"/>
        <v>99904000</v>
      </c>
      <c r="D11" s="18">
        <f t="shared" si="1"/>
        <v>97786000</v>
      </c>
      <c r="E11" s="18">
        <f t="shared" si="1"/>
        <v>107502000</v>
      </c>
      <c r="F11" s="18">
        <f t="shared" si="1"/>
        <v>124592542</v>
      </c>
      <c r="G11" s="18">
        <f t="shared" si="1"/>
        <v>171197000</v>
      </c>
      <c r="H11" s="18">
        <f t="shared" si="1"/>
        <v>176811000</v>
      </c>
      <c r="I11" s="18">
        <f t="shared" si="1"/>
        <v>147550000</v>
      </c>
      <c r="J11" s="18">
        <f t="shared" si="1"/>
        <v>178164199.73</v>
      </c>
      <c r="K11" s="18">
        <f t="shared" si="1"/>
        <v>219585204.35999998</v>
      </c>
      <c r="L11" s="18">
        <f>SUM(L6:L10)</f>
        <v>191875940.36</v>
      </c>
      <c r="M11" s="18">
        <f t="shared" si="0"/>
        <v>1572522886.4499998</v>
      </c>
      <c r="N11" s="12"/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.75">
      <c r="A13" s="14" t="s">
        <v>220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5" ht="12.75">
      <c r="A14" s="14"/>
      <c r="B14" s="22" t="s">
        <v>8</v>
      </c>
      <c r="C14" s="22" t="s">
        <v>8</v>
      </c>
      <c r="D14" s="22" t="s">
        <v>8</v>
      </c>
      <c r="E14" s="22" t="s">
        <v>8</v>
      </c>
      <c r="F14" s="22" t="s">
        <v>8</v>
      </c>
      <c r="G14" s="22" t="s">
        <v>8</v>
      </c>
      <c r="H14" s="22" t="s">
        <v>8</v>
      </c>
      <c r="I14" s="22" t="s">
        <v>8</v>
      </c>
      <c r="J14" s="22" t="s">
        <v>8</v>
      </c>
      <c r="K14" s="22" t="s">
        <v>8</v>
      </c>
      <c r="L14" s="22" t="s">
        <v>8</v>
      </c>
      <c r="M14" s="22" t="s">
        <v>8</v>
      </c>
      <c r="N14" s="26"/>
      <c r="O14" s="77" t="s">
        <v>103</v>
      </c>
    </row>
    <row r="15" spans="1:14" ht="12.75">
      <c r="A15" s="24" t="s">
        <v>79</v>
      </c>
      <c r="B15" s="19">
        <f>'Annual Savings'!B32</f>
        <v>50672</v>
      </c>
      <c r="C15" s="19">
        <f>'Annual Savings'!C32</f>
        <v>168796</v>
      </c>
      <c r="D15" s="19">
        <f>'Annual Savings'!D32</f>
        <v>285577</v>
      </c>
      <c r="E15" s="19">
        <f>'Annual Savings'!E32</f>
        <v>328513</v>
      </c>
      <c r="F15" s="19">
        <f>'Annual Savings'!F32</f>
        <v>242659</v>
      </c>
      <c r="G15" s="19">
        <f>'Annual Savings'!G32</f>
        <v>128252</v>
      </c>
      <c r="H15" s="19">
        <f>'Annual Savings'!H32</f>
        <v>228721</v>
      </c>
      <c r="I15" s="19">
        <f>'Annual Savings'!I32</f>
        <v>335001</v>
      </c>
      <c r="J15" s="19">
        <f>'Annual Savings'!J32</f>
        <v>462162</v>
      </c>
      <c r="K15" s="19">
        <f>'Annual Savings'!K32</f>
        <v>347906.80000000005</v>
      </c>
      <c r="L15" s="19">
        <f>'Annual Savings'!L32</f>
        <v>453682.1</v>
      </c>
      <c r="M15" s="19">
        <f>SUM(B15:L15)</f>
        <v>3031941.9</v>
      </c>
      <c r="N15" s="25"/>
    </row>
    <row r="16" spans="1:13" ht="12.75">
      <c r="A16" s="24" t="s">
        <v>80</v>
      </c>
      <c r="B16" s="19">
        <f>'Annual Savings'!B100</f>
        <v>11</v>
      </c>
      <c r="C16" s="19">
        <f>'Annual Savings'!C100</f>
        <v>2896</v>
      </c>
      <c r="D16" s="19">
        <f>'Annual Savings'!D100</f>
        <v>7239</v>
      </c>
      <c r="E16" s="19">
        <f>'Annual Savings'!E100</f>
        <v>6515</v>
      </c>
      <c r="F16" s="19">
        <f>'Annual Savings'!F100</f>
        <v>29136</v>
      </c>
      <c r="G16" s="19">
        <f>'Annual Savings'!G100</f>
        <v>44659</v>
      </c>
      <c r="H16" s="19">
        <f>'Annual Savings'!H100</f>
        <v>140229</v>
      </c>
      <c r="I16" s="19">
        <f>'Annual Savings'!I100</f>
        <v>188968.72</v>
      </c>
      <c r="J16" s="19">
        <f>'Annual Savings'!J100</f>
        <v>169101</v>
      </c>
      <c r="K16" s="19">
        <f>'Annual Savings'!K100</f>
        <v>327579</v>
      </c>
      <c r="L16" s="19">
        <f>'Annual Savings'!L100</f>
        <v>382066</v>
      </c>
      <c r="M16" s="19">
        <f>SUM(B16:L16)</f>
        <v>1298399.72</v>
      </c>
    </row>
    <row r="17" spans="1:13" ht="12.75">
      <c r="A17" s="24" t="s">
        <v>150</v>
      </c>
      <c r="B17" s="19">
        <f>CHP!B49</f>
        <v>0</v>
      </c>
      <c r="C17" s="19">
        <f>CHP!C49</f>
        <v>0</v>
      </c>
      <c r="D17" s="19">
        <f>CHP!D49</f>
        <v>0</v>
      </c>
      <c r="E17" s="19">
        <f>CHP!E49</f>
        <v>0</v>
      </c>
      <c r="F17" s="19">
        <f>'Annual Savings'!F34</f>
        <v>767</v>
      </c>
      <c r="G17" s="19">
        <f>'Annual Savings'!G34</f>
        <v>12575</v>
      </c>
      <c r="H17" s="19">
        <f>'Annual Savings'!H34</f>
        <v>102125</v>
      </c>
      <c r="I17" s="19">
        <f>'Annual Savings'!I34</f>
        <v>9114</v>
      </c>
      <c r="J17" s="19">
        <f>'Annual Savings'!J34</f>
        <v>35317</v>
      </c>
      <c r="K17" s="19">
        <f>'Annual Savings'!K34</f>
        <v>47743</v>
      </c>
      <c r="L17" s="19">
        <f>'Annual Savings'!L34</f>
        <v>0</v>
      </c>
      <c r="M17" s="19">
        <f>SUM(B17:L17)</f>
        <v>207641</v>
      </c>
    </row>
    <row r="18" spans="1:15" ht="12.75">
      <c r="A18" s="24" t="s">
        <v>1</v>
      </c>
      <c r="B18" s="19">
        <f aca="true" t="shared" si="2" ref="B18:H18">SUM(B15:B17)</f>
        <v>50683</v>
      </c>
      <c r="C18" s="19">
        <f t="shared" si="2"/>
        <v>171692</v>
      </c>
      <c r="D18" s="19">
        <f t="shared" si="2"/>
        <v>292816</v>
      </c>
      <c r="E18" s="19">
        <f t="shared" si="2"/>
        <v>335028</v>
      </c>
      <c r="F18" s="19">
        <f t="shared" si="2"/>
        <v>272562</v>
      </c>
      <c r="G18" s="19">
        <f t="shared" si="2"/>
        <v>185486</v>
      </c>
      <c r="H18" s="19">
        <f t="shared" si="2"/>
        <v>471075</v>
      </c>
      <c r="I18" s="19">
        <f>SUM(I15:I17)</f>
        <v>533083.72</v>
      </c>
      <c r="J18" s="19">
        <f>SUM(J15:J17)</f>
        <v>666580</v>
      </c>
      <c r="K18" s="19">
        <f>SUM(K15:K17)</f>
        <v>723228.8</v>
      </c>
      <c r="L18" s="19">
        <f>SUM(L15:L17)</f>
        <v>835748.1</v>
      </c>
      <c r="M18" s="19">
        <f>SUM(B18:L18)</f>
        <v>4537982.619999999</v>
      </c>
      <c r="O18" s="25"/>
    </row>
    <row r="19" spans="1:13" ht="12.75">
      <c r="A19" s="2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24"/>
      <c r="B20" s="22" t="s">
        <v>11</v>
      </c>
      <c r="C20" s="22" t="s">
        <v>11</v>
      </c>
      <c r="D20" s="22" t="s">
        <v>11</v>
      </c>
      <c r="E20" s="22" t="s">
        <v>11</v>
      </c>
      <c r="F20" s="22" t="s">
        <v>11</v>
      </c>
      <c r="G20" s="22" t="s">
        <v>11</v>
      </c>
      <c r="H20" s="22" t="s">
        <v>11</v>
      </c>
      <c r="I20" s="22" t="s">
        <v>11</v>
      </c>
      <c r="J20" s="22" t="s">
        <v>11</v>
      </c>
      <c r="K20" s="22" t="s">
        <v>11</v>
      </c>
      <c r="L20" s="22" t="s">
        <v>11</v>
      </c>
      <c r="M20" s="13" t="s">
        <v>11</v>
      </c>
    </row>
    <row r="21" spans="1:13" ht="12.75">
      <c r="A21" s="24" t="s">
        <v>79</v>
      </c>
      <c r="B21" s="19">
        <f>'Annual Savings'!B86</f>
        <v>18168</v>
      </c>
      <c r="C21" s="19">
        <f>'Annual Savings'!C86</f>
        <v>44617</v>
      </c>
      <c r="D21" s="19">
        <f>'Annual Savings'!D86</f>
        <v>67564</v>
      </c>
      <c r="E21" s="19">
        <f>'Annual Savings'!E86</f>
        <v>78754</v>
      </c>
      <c r="F21" s="19">
        <f>'Annual Savings'!F86</f>
        <v>73461</v>
      </c>
      <c r="G21" s="19">
        <f>'Annual Savings'!G86</f>
        <v>51449</v>
      </c>
      <c r="H21" s="19">
        <f>'Annual Savings'!H86</f>
        <v>48860</v>
      </c>
      <c r="I21" s="19">
        <f>'Annual Savings'!I86</f>
        <v>40666</v>
      </c>
      <c r="J21" s="19">
        <f>'Annual Savings'!J86</f>
        <v>46349</v>
      </c>
      <c r="K21" s="19">
        <f>'Annual Savings'!K86</f>
        <v>62520.600000000006</v>
      </c>
      <c r="L21" s="19">
        <f>'Annual Savings'!L86</f>
        <v>129665.8</v>
      </c>
      <c r="M21" s="19">
        <f>SUM(B21:L21)</f>
        <v>662074.4</v>
      </c>
    </row>
    <row r="22" spans="1:13" ht="12.75">
      <c r="A22" s="24" t="s">
        <v>80</v>
      </c>
      <c r="B22" s="19">
        <f>'Annual Savings'!B104:F104</f>
        <v>8</v>
      </c>
      <c r="C22" s="19">
        <v>1142</v>
      </c>
      <c r="D22" s="19">
        <v>1743</v>
      </c>
      <c r="E22" s="19">
        <v>2644</v>
      </c>
      <c r="F22" s="19">
        <f>'Annual Savings'!F110</f>
        <v>8986</v>
      </c>
      <c r="G22" s="19">
        <f>'Annual Savings'!G110</f>
        <v>18725</v>
      </c>
      <c r="H22" s="19">
        <f>'Annual Savings'!H110</f>
        <v>28920</v>
      </c>
      <c r="I22" s="19">
        <f>'Annual Savings'!I110</f>
        <v>32805</v>
      </c>
      <c r="J22" s="19">
        <f>'Annual Savings'!J110</f>
        <v>50778</v>
      </c>
      <c r="K22" s="19">
        <f>'Annual Savings'!K110</f>
        <v>183244</v>
      </c>
      <c r="L22" s="19">
        <f>'Annual Savings'!L110</f>
        <v>318387</v>
      </c>
      <c r="M22" s="19">
        <f>SUM(B22:L22)</f>
        <v>647382</v>
      </c>
    </row>
    <row r="23" spans="1:13" ht="12.75">
      <c r="A23" s="24" t="s">
        <v>150</v>
      </c>
      <c r="B23" s="19">
        <f>'Annual Savings'!B88</f>
        <v>0</v>
      </c>
      <c r="C23" s="19">
        <f>'Annual Savings'!C88</f>
        <v>0</v>
      </c>
      <c r="D23" s="19">
        <f>'Annual Savings'!D88</f>
        <v>0</v>
      </c>
      <c r="E23" s="19">
        <f>'Annual Savings'!E88</f>
        <v>0</v>
      </c>
      <c r="F23" s="19">
        <f>'Annual Savings'!F88</f>
        <v>140</v>
      </c>
      <c r="G23" s="19">
        <f>'Annual Savings'!G88</f>
        <v>3175</v>
      </c>
      <c r="H23" s="19">
        <f>'Annual Savings'!H88</f>
        <v>4925</v>
      </c>
      <c r="I23" s="19">
        <f>'Annual Savings'!I88</f>
        <v>1276</v>
      </c>
      <c r="J23" s="19">
        <f>'Annual Savings'!J88</f>
        <v>4700</v>
      </c>
      <c r="K23" s="19">
        <f>'Annual Savings'!K88</f>
        <v>5535</v>
      </c>
      <c r="L23" s="19">
        <f>'Annual Savings'!L88</f>
        <v>0</v>
      </c>
      <c r="M23" s="19">
        <f>SUM(B23:L23)</f>
        <v>19751</v>
      </c>
    </row>
    <row r="24" spans="1:15" ht="12.75">
      <c r="A24" s="24" t="s">
        <v>1</v>
      </c>
      <c r="B24" s="19">
        <f aca="true" t="shared" si="3" ref="B24:I24">SUM(B21:B23)</f>
        <v>18176</v>
      </c>
      <c r="C24" s="19">
        <f t="shared" si="3"/>
        <v>45759</v>
      </c>
      <c r="D24" s="19">
        <f t="shared" si="3"/>
        <v>69307</v>
      </c>
      <c r="E24" s="19">
        <f t="shared" si="3"/>
        <v>81398</v>
      </c>
      <c r="F24" s="19">
        <f t="shared" si="3"/>
        <v>82587</v>
      </c>
      <c r="G24" s="19">
        <f t="shared" si="3"/>
        <v>73349</v>
      </c>
      <c r="H24" s="19">
        <f t="shared" si="3"/>
        <v>82705</v>
      </c>
      <c r="I24" s="19">
        <f t="shared" si="3"/>
        <v>74747</v>
      </c>
      <c r="J24" s="19">
        <f>SUM(J21:J23)</f>
        <v>101827</v>
      </c>
      <c r="K24" s="19">
        <f>SUM(K21:K23)</f>
        <v>251299.6</v>
      </c>
      <c r="L24" s="19">
        <f>SUM(L21:L23)</f>
        <v>448052.8</v>
      </c>
      <c r="M24" s="19">
        <f>SUM(B24:L24)</f>
        <v>1329207.4</v>
      </c>
      <c r="O24" s="25"/>
    </row>
    <row r="25" spans="1:13" ht="12.75">
      <c r="A25" s="2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24"/>
      <c r="B26" s="22" t="s">
        <v>13</v>
      </c>
      <c r="C26" s="22" t="s">
        <v>13</v>
      </c>
      <c r="D26" s="22" t="s">
        <v>13</v>
      </c>
      <c r="E26" s="22" t="s">
        <v>13</v>
      </c>
      <c r="F26" s="22" t="s">
        <v>13</v>
      </c>
      <c r="G26" s="22" t="s">
        <v>13</v>
      </c>
      <c r="H26" s="22" t="s">
        <v>13</v>
      </c>
      <c r="I26" s="22" t="s">
        <v>13</v>
      </c>
      <c r="J26" s="22" t="s">
        <v>13</v>
      </c>
      <c r="K26" s="22" t="s">
        <v>13</v>
      </c>
      <c r="L26" s="22" t="s">
        <v>13</v>
      </c>
      <c r="M26" s="13" t="s">
        <v>13</v>
      </c>
    </row>
    <row r="27" spans="1:13" ht="12.75">
      <c r="A27" s="24" t="s">
        <v>79</v>
      </c>
      <c r="B27" s="19">
        <f>'Annual Savings'!B56</f>
        <v>243146</v>
      </c>
      <c r="C27" s="19">
        <f>'Annual Savings'!C56</f>
        <v>339172</v>
      </c>
      <c r="D27" s="19">
        <f>'Annual Savings'!D56</f>
        <v>410818</v>
      </c>
      <c r="E27" s="19">
        <f>'Annual Savings'!E56</f>
        <v>432759</v>
      </c>
      <c r="F27" s="19">
        <f>'Annual Savings'!F56</f>
        <v>617261</v>
      </c>
      <c r="G27" s="19">
        <f>'Annual Savings'!G56</f>
        <v>640179</v>
      </c>
      <c r="H27" s="19">
        <f>'Annual Savings'!H56</f>
        <v>979662</v>
      </c>
      <c r="I27" s="19">
        <f>'Annual Savings'!I56</f>
        <v>489724</v>
      </c>
      <c r="J27" s="19">
        <f>'Annual Savings'!J56</f>
        <v>636343</v>
      </c>
      <c r="K27" s="19">
        <f>'Annual Savings'!K56</f>
        <v>934826</v>
      </c>
      <c r="L27" s="19">
        <f>'Annual Savings'!L56</f>
        <v>782556.95</v>
      </c>
      <c r="M27" s="19">
        <f>SUM(B27:L27)</f>
        <v>6506446.95</v>
      </c>
    </row>
    <row r="28" spans="1:13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2.75">
      <c r="A29" s="14" t="s">
        <v>219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2.75">
      <c r="A30" s="24"/>
      <c r="B30" s="35">
        <v>2001</v>
      </c>
      <c r="C30" s="35">
        <v>2002</v>
      </c>
      <c r="D30" s="35">
        <v>2003</v>
      </c>
      <c r="E30" s="35">
        <v>2004</v>
      </c>
      <c r="F30" s="35">
        <v>2005</v>
      </c>
      <c r="G30" s="35">
        <v>2006</v>
      </c>
      <c r="H30" s="35">
        <v>2007</v>
      </c>
      <c r="I30" s="35">
        <v>2008</v>
      </c>
      <c r="J30" s="35">
        <v>2009</v>
      </c>
      <c r="K30" s="35">
        <v>2010</v>
      </c>
      <c r="L30" s="35">
        <v>2011</v>
      </c>
      <c r="M30" s="35" t="s">
        <v>1</v>
      </c>
    </row>
    <row r="31" spans="1:13" ht="12.75">
      <c r="A31" s="14"/>
      <c r="B31" s="22" t="s">
        <v>8</v>
      </c>
      <c r="C31" s="22" t="s">
        <v>8</v>
      </c>
      <c r="D31" s="22" t="s">
        <v>8</v>
      </c>
      <c r="E31" s="22" t="s">
        <v>8</v>
      </c>
      <c r="F31" s="22" t="s">
        <v>8</v>
      </c>
      <c r="G31" s="22" t="s">
        <v>8</v>
      </c>
      <c r="H31" s="22" t="s">
        <v>8</v>
      </c>
      <c r="I31" s="22" t="s">
        <v>8</v>
      </c>
      <c r="J31" s="22" t="s">
        <v>8</v>
      </c>
      <c r="K31" s="22" t="s">
        <v>8</v>
      </c>
      <c r="L31" s="22" t="s">
        <v>8</v>
      </c>
      <c r="M31" s="22" t="s">
        <v>8</v>
      </c>
    </row>
    <row r="32" spans="1:13" ht="12.75">
      <c r="A32" s="24" t="s">
        <v>79</v>
      </c>
      <c r="B32" s="19">
        <f>'Lifetime Savings'!B32</f>
        <v>797595</v>
      </c>
      <c r="C32" s="19">
        <f>'Lifetime Savings'!C32</f>
        <v>2548628</v>
      </c>
      <c r="D32" s="19">
        <f>'Lifetime Savings'!D32</f>
        <v>3739163</v>
      </c>
      <c r="E32" s="19">
        <f>'Lifetime Savings'!E32</f>
        <v>4308771</v>
      </c>
      <c r="F32" s="19">
        <f>'Lifetime Savings'!F32</f>
        <v>3482554</v>
      </c>
      <c r="G32" s="19">
        <f>'Lifetime Savings'!G32</f>
        <v>1935790</v>
      </c>
      <c r="H32" s="19">
        <f>'Lifetime Savings'!H32</f>
        <v>2645703</v>
      </c>
      <c r="I32" s="19">
        <f>'Lifetime Savings'!I32</f>
        <v>3160279</v>
      </c>
      <c r="J32" s="19">
        <f>'Lifetime Savings'!J32</f>
        <v>3986481</v>
      </c>
      <c r="K32" s="19">
        <f>'Lifetime Savings'!K32</f>
        <v>3414351.2</v>
      </c>
      <c r="L32" s="19">
        <f>'Lifetime Savings'!L32</f>
        <v>4880985.3</v>
      </c>
      <c r="M32" s="19">
        <f>SUM(B32:L32)</f>
        <v>34900300.5</v>
      </c>
    </row>
    <row r="33" spans="1:13" ht="12.75">
      <c r="A33" s="24" t="s">
        <v>80</v>
      </c>
      <c r="B33" s="19">
        <f>'Lifetime Savings'!B57</f>
        <v>173</v>
      </c>
      <c r="C33" s="19">
        <f>'Lifetime Savings'!C57</f>
        <v>56330</v>
      </c>
      <c r="D33" s="19">
        <f>'Lifetime Savings'!D57</f>
        <v>109981</v>
      </c>
      <c r="E33" s="19">
        <f>'Lifetime Savings'!E57</f>
        <v>82996</v>
      </c>
      <c r="F33" s="19">
        <f>'Lifetime Savings'!F62</f>
        <v>538919</v>
      </c>
      <c r="G33" s="19">
        <f>'Lifetime Savings'!G62</f>
        <v>449400</v>
      </c>
      <c r="H33" s="19">
        <f>'Lifetime Savings'!H62</f>
        <v>966155</v>
      </c>
      <c r="I33" s="19">
        <f>'Lifetime Savings'!I62</f>
        <v>1994960</v>
      </c>
      <c r="J33" s="19">
        <f>'Lifetime Savings'!J62</f>
        <v>1356920</v>
      </c>
      <c r="K33" s="19">
        <f>'Lifetime Savings'!K62</f>
        <v>4851133</v>
      </c>
      <c r="L33" s="19">
        <f>'Lifetime Savings'!L62</f>
        <v>7641312</v>
      </c>
      <c r="M33" s="19">
        <f>SUM(B33:L33)</f>
        <v>18048279</v>
      </c>
    </row>
    <row r="34" spans="1:13" ht="12.75">
      <c r="A34" s="24" t="s">
        <v>150</v>
      </c>
      <c r="B34" s="19">
        <f>'Lifetime Savings'!B65</f>
        <v>0</v>
      </c>
      <c r="C34" s="19">
        <f>'Lifetime Savings'!C65</f>
        <v>0</v>
      </c>
      <c r="D34" s="19">
        <f>'Lifetime Savings'!D65</f>
        <v>0</v>
      </c>
      <c r="E34" s="19">
        <f>'Lifetime Savings'!E65</f>
        <v>0</v>
      </c>
      <c r="F34" s="19">
        <f>'Lifetime Savings'!F65</f>
        <v>11498</v>
      </c>
      <c r="G34" s="19">
        <f>'Lifetime Savings'!G65</f>
        <v>112759</v>
      </c>
      <c r="H34" s="19">
        <f>'Lifetime Savings'!H65</f>
        <v>1225505</v>
      </c>
      <c r="I34" s="19">
        <f>'Lifetime Savings'!I65</f>
        <v>109364</v>
      </c>
      <c r="J34" s="19">
        <f>'Lifetime Savings'!J65</f>
        <v>423802</v>
      </c>
      <c r="K34" s="19">
        <f>'Lifetime Savings'!K65</f>
        <v>524075</v>
      </c>
      <c r="L34" s="19">
        <f>'Lifetime Savings'!L65</f>
        <v>0</v>
      </c>
      <c r="M34" s="19">
        <f>SUM(B34:L34)</f>
        <v>2407003</v>
      </c>
    </row>
    <row r="35" spans="1:15" ht="12.75">
      <c r="A35" s="24" t="s">
        <v>1</v>
      </c>
      <c r="B35" s="19">
        <f aca="true" t="shared" si="4" ref="B35:H35">SUM(B32:B34)</f>
        <v>797768</v>
      </c>
      <c r="C35" s="19">
        <f t="shared" si="4"/>
        <v>2604958</v>
      </c>
      <c r="D35" s="19">
        <f t="shared" si="4"/>
        <v>3849144</v>
      </c>
      <c r="E35" s="19">
        <f t="shared" si="4"/>
        <v>4391767</v>
      </c>
      <c r="F35" s="19">
        <f t="shared" si="4"/>
        <v>4032971</v>
      </c>
      <c r="G35" s="19">
        <f t="shared" si="4"/>
        <v>2497949</v>
      </c>
      <c r="H35" s="19">
        <f t="shared" si="4"/>
        <v>4837363</v>
      </c>
      <c r="I35" s="19">
        <f>SUM(I32:I34)</f>
        <v>5264603</v>
      </c>
      <c r="J35" s="19">
        <f>SUM(J32:J34)</f>
        <v>5767203</v>
      </c>
      <c r="K35" s="19">
        <f>SUM(K32:K34)</f>
        <v>8789559.2</v>
      </c>
      <c r="L35" s="19">
        <f>SUM(L32:L34)</f>
        <v>12522297.3</v>
      </c>
      <c r="M35" s="19">
        <f>SUM(B35:L35)</f>
        <v>55355582.5</v>
      </c>
      <c r="O35" s="25"/>
    </row>
    <row r="36" spans="1:13" ht="12.75">
      <c r="A36" s="2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24"/>
      <c r="B37" s="22" t="s">
        <v>13</v>
      </c>
      <c r="C37" s="22" t="s">
        <v>13</v>
      </c>
      <c r="D37" s="22" t="s">
        <v>13</v>
      </c>
      <c r="E37" s="22" t="s">
        <v>13</v>
      </c>
      <c r="F37" s="22" t="s">
        <v>13</v>
      </c>
      <c r="G37" s="22" t="s">
        <v>13</v>
      </c>
      <c r="H37" s="22" t="s">
        <v>13</v>
      </c>
      <c r="I37" s="22" t="s">
        <v>13</v>
      </c>
      <c r="J37" s="22" t="s">
        <v>13</v>
      </c>
      <c r="K37" s="22" t="s">
        <v>13</v>
      </c>
      <c r="L37" s="22" t="s">
        <v>13</v>
      </c>
      <c r="M37" s="22" t="s">
        <v>13</v>
      </c>
    </row>
    <row r="38" spans="1:13" ht="12.75">
      <c r="A38" s="24" t="s">
        <v>79</v>
      </c>
      <c r="B38" s="19">
        <f>'Lifetime Savings'!B52</f>
        <v>4802982</v>
      </c>
      <c r="C38" s="19">
        <f>'Lifetime Savings'!C52</f>
        <v>6532702</v>
      </c>
      <c r="D38" s="19">
        <f>'Lifetime Savings'!D52</f>
        <v>7706430</v>
      </c>
      <c r="E38" s="19">
        <f>'Lifetime Savings'!E52</f>
        <v>8107801</v>
      </c>
      <c r="F38" s="19">
        <f>'Lifetime Savings'!F52</f>
        <v>11677400</v>
      </c>
      <c r="G38" s="19">
        <f>'Lifetime Savings'!G52</f>
        <v>9137230</v>
      </c>
      <c r="H38" s="19">
        <f>'Lifetime Savings'!H52</f>
        <v>13732484</v>
      </c>
      <c r="I38" s="19">
        <f>'Lifetime Savings'!I52</f>
        <v>8571226</v>
      </c>
      <c r="J38" s="19">
        <f>'Lifetime Savings'!J52</f>
        <v>10524058</v>
      </c>
      <c r="K38" s="19">
        <f>'Lifetime Savings'!K52</f>
        <v>16475728</v>
      </c>
      <c r="L38" s="19">
        <f>'Lifetime Savings'!L52</f>
        <v>14493173.84</v>
      </c>
      <c r="M38" s="19">
        <f>SUM(B38:L38)</f>
        <v>111761214.84</v>
      </c>
    </row>
    <row r="39" ht="12.75">
      <c r="A39" s="90"/>
    </row>
  </sheetData>
  <sheetProtection/>
  <mergeCells count="2">
    <mergeCell ref="A1:M1"/>
    <mergeCell ref="A2:M2"/>
  </mergeCells>
  <printOptions/>
  <pageMargins left="0.75" right="0.75" top="1" bottom="1" header="0.5" footer="0.5"/>
  <pageSetup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4"/>
  <sheetViews>
    <sheetView zoomScalePageLayoutView="0" workbookViewId="0" topLeftCell="A1">
      <selection activeCell="L30" sqref="L30"/>
    </sheetView>
  </sheetViews>
  <sheetFormatPr defaultColWidth="10.7109375" defaultRowHeight="12.75"/>
  <cols>
    <col min="1" max="1" width="25.7109375" style="3" customWidth="1"/>
    <col min="2" max="2" width="14.8515625" style="6" customWidth="1"/>
    <col min="3" max="3" width="16.140625" style="6" customWidth="1"/>
    <col min="4" max="4" width="15.57421875" style="6" customWidth="1"/>
    <col min="5" max="5" width="16.140625" style="6" customWidth="1"/>
    <col min="6" max="6" width="15.7109375" style="6" bestFit="1" customWidth="1"/>
    <col min="7" max="8" width="16.140625" style="6" bestFit="1" customWidth="1"/>
    <col min="9" max="9" width="13.8515625" style="6" customWidth="1"/>
    <col min="10" max="12" width="14.00390625" style="6" customWidth="1"/>
    <col min="13" max="13" width="17.00390625" style="6" bestFit="1" customWidth="1"/>
    <col min="14" max="14" width="11.140625" style="6" bestFit="1" customWidth="1"/>
    <col min="15" max="15" width="11.00390625" style="6" bestFit="1" customWidth="1"/>
    <col min="16" max="16384" width="10.7109375" style="6" customWidth="1"/>
  </cols>
  <sheetData>
    <row r="1" spans="1:13" ht="15">
      <c r="A1" s="238" t="s">
        <v>18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5">
      <c r="A2" s="144"/>
      <c r="B2" s="152"/>
      <c r="C2" s="152"/>
      <c r="D2" s="152"/>
      <c r="E2" s="152"/>
      <c r="F2" s="152"/>
      <c r="H2" s="152"/>
      <c r="I2" s="152"/>
      <c r="J2" s="152"/>
      <c r="K2" s="152"/>
      <c r="L2" s="152"/>
      <c r="M2" s="152"/>
    </row>
    <row r="3" ht="12.75">
      <c r="A3" s="33"/>
    </row>
    <row r="4" spans="1:13" ht="12.75">
      <c r="A4" s="33" t="s">
        <v>282</v>
      </c>
      <c r="B4" s="31">
        <v>2001</v>
      </c>
      <c r="C4" s="31">
        <v>2002</v>
      </c>
      <c r="D4" s="31">
        <v>2003</v>
      </c>
      <c r="E4" s="31">
        <v>2004</v>
      </c>
      <c r="F4" s="31">
        <v>2005</v>
      </c>
      <c r="G4" s="31">
        <v>2006</v>
      </c>
      <c r="H4" s="31">
        <v>2007</v>
      </c>
      <c r="I4" s="31">
        <v>2008</v>
      </c>
      <c r="J4" s="31">
        <v>2009</v>
      </c>
      <c r="K4" s="31">
        <v>2010</v>
      </c>
      <c r="L4" s="31">
        <v>2011</v>
      </c>
      <c r="M4" s="162" t="s">
        <v>360</v>
      </c>
    </row>
    <row r="5" spans="1:13" ht="12.75">
      <c r="A5" s="61" t="s">
        <v>136</v>
      </c>
      <c r="B5" s="132">
        <v>15758000</v>
      </c>
      <c r="C5" s="132">
        <v>14677000</v>
      </c>
      <c r="D5" s="132">
        <v>19669000</v>
      </c>
      <c r="E5" s="132">
        <v>22754000</v>
      </c>
      <c r="F5" s="155">
        <v>22950000</v>
      </c>
      <c r="G5" s="155">
        <v>27720000</v>
      </c>
      <c r="H5" s="155">
        <v>27678000</v>
      </c>
      <c r="I5" s="155">
        <v>37141000</v>
      </c>
      <c r="J5" s="155">
        <v>42576218.09</v>
      </c>
      <c r="K5" s="155">
        <v>20262610.08</v>
      </c>
      <c r="L5" s="155">
        <v>19943969.5</v>
      </c>
      <c r="M5" s="155">
        <f>SUM(B5:L5)</f>
        <v>271129797.67</v>
      </c>
    </row>
    <row r="6" spans="1:13" ht="26.25" customHeight="1">
      <c r="A6" s="237" t="s">
        <v>351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</row>
    <row r="7" spans="1:13" ht="13.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6" ht="12.75">
      <c r="A8" s="33" t="s">
        <v>283</v>
      </c>
      <c r="B8" s="133"/>
      <c r="C8" s="133"/>
      <c r="D8" s="133"/>
      <c r="E8" s="133"/>
      <c r="F8" s="156"/>
      <c r="G8" s="156"/>
      <c r="H8" s="156"/>
      <c r="I8" s="156"/>
      <c r="J8" s="156"/>
      <c r="K8" s="156"/>
      <c r="L8" s="156"/>
      <c r="M8" s="156"/>
      <c r="N8" s="3"/>
      <c r="O8" s="3"/>
      <c r="P8" s="3"/>
    </row>
    <row r="9" spans="1:13" s="3" customFormat="1" ht="12.75">
      <c r="A9" s="16" t="s">
        <v>19</v>
      </c>
      <c r="B9" s="132">
        <v>6813</v>
      </c>
      <c r="C9" s="132">
        <v>10945</v>
      </c>
      <c r="D9" s="132">
        <v>15365</v>
      </c>
      <c r="E9" s="132">
        <v>21736</v>
      </c>
      <c r="F9" s="155">
        <v>23261</v>
      </c>
      <c r="G9" s="155">
        <v>19728</v>
      </c>
      <c r="H9" s="155">
        <v>19854</v>
      </c>
      <c r="I9" s="155">
        <v>11282</v>
      </c>
      <c r="J9" s="155">
        <v>9082800.43</v>
      </c>
      <c r="K9" s="155">
        <v>9059247.24</v>
      </c>
      <c r="L9" s="155">
        <v>7039315.47</v>
      </c>
      <c r="M9" s="155"/>
    </row>
    <row r="10" spans="1:13" s="3" customFormat="1" ht="12.75">
      <c r="A10" s="16" t="s">
        <v>20</v>
      </c>
      <c r="B10" s="132">
        <v>6325</v>
      </c>
      <c r="C10" s="132">
        <v>25135</v>
      </c>
      <c r="D10" s="132">
        <v>30765</v>
      </c>
      <c r="E10" s="132">
        <v>24347</v>
      </c>
      <c r="F10" s="155">
        <v>43693</v>
      </c>
      <c r="G10" s="155">
        <v>42932</v>
      </c>
      <c r="H10" s="155">
        <v>14208</v>
      </c>
      <c r="I10" s="155">
        <v>18815</v>
      </c>
      <c r="J10" s="157">
        <v>13498385.32</v>
      </c>
      <c r="K10" s="157">
        <v>9569800</v>
      </c>
      <c r="L10" s="157">
        <v>8455672</v>
      </c>
      <c r="M10" s="155"/>
    </row>
    <row r="11" spans="1:13" s="3" customFormat="1" ht="12.75">
      <c r="A11" s="16" t="s">
        <v>21</v>
      </c>
      <c r="B11" s="132">
        <f aca="true" t="shared" si="0" ref="B11:H11">SUM(B9:B10)</f>
        <v>13138</v>
      </c>
      <c r="C11" s="132">
        <f t="shared" si="0"/>
        <v>36080</v>
      </c>
      <c r="D11" s="132">
        <f t="shared" si="0"/>
        <v>46130</v>
      </c>
      <c r="E11" s="132">
        <f t="shared" si="0"/>
        <v>46083</v>
      </c>
      <c r="F11" s="155">
        <f t="shared" si="0"/>
        <v>66954</v>
      </c>
      <c r="G11" s="155">
        <f t="shared" si="0"/>
        <v>62660</v>
      </c>
      <c r="H11" s="155">
        <f t="shared" si="0"/>
        <v>34062</v>
      </c>
      <c r="I11" s="155">
        <f>SUM(I9:I10)</f>
        <v>30097</v>
      </c>
      <c r="J11" s="155"/>
      <c r="K11" s="155"/>
      <c r="L11" s="155"/>
      <c r="M11" s="155"/>
    </row>
    <row r="12" spans="1:13" s="3" customFormat="1" ht="12.75">
      <c r="A12" s="21" t="s">
        <v>281</v>
      </c>
      <c r="B12" s="132">
        <f>B11*1000</f>
        <v>13138000</v>
      </c>
      <c r="C12" s="132">
        <f aca="true" t="shared" si="1" ref="C12:I12">C11*1000</f>
        <v>36080000</v>
      </c>
      <c r="D12" s="132">
        <f t="shared" si="1"/>
        <v>46130000</v>
      </c>
      <c r="E12" s="132">
        <f t="shared" si="1"/>
        <v>46083000</v>
      </c>
      <c r="F12" s="155">
        <f t="shared" si="1"/>
        <v>66954000</v>
      </c>
      <c r="G12" s="155">
        <f t="shared" si="1"/>
        <v>62660000</v>
      </c>
      <c r="H12" s="155">
        <f t="shared" si="1"/>
        <v>34062000</v>
      </c>
      <c r="I12" s="155">
        <f t="shared" si="1"/>
        <v>30097000</v>
      </c>
      <c r="J12" s="155">
        <f>SUM(J9:J11)</f>
        <v>22581185.75</v>
      </c>
      <c r="K12" s="155">
        <f>SUM(K9:K11)</f>
        <v>18629047.240000002</v>
      </c>
      <c r="L12" s="155">
        <f>SUM(L9:L11)</f>
        <v>15494987.469999999</v>
      </c>
      <c r="M12" s="155"/>
    </row>
    <row r="13" spans="1:13" s="3" customFormat="1" ht="12.75">
      <c r="A13" s="21" t="s">
        <v>310</v>
      </c>
      <c r="B13" s="132">
        <f aca="true" t="shared" si="2" ref="B13:I13">B9*1000</f>
        <v>6813000</v>
      </c>
      <c r="C13" s="132">
        <f t="shared" si="2"/>
        <v>10945000</v>
      </c>
      <c r="D13" s="132">
        <f t="shared" si="2"/>
        <v>15365000</v>
      </c>
      <c r="E13" s="132">
        <f t="shared" si="2"/>
        <v>21736000</v>
      </c>
      <c r="F13" s="155">
        <f t="shared" si="2"/>
        <v>23261000</v>
      </c>
      <c r="G13" s="155">
        <f t="shared" si="2"/>
        <v>19728000</v>
      </c>
      <c r="H13" s="155">
        <f t="shared" si="2"/>
        <v>19854000</v>
      </c>
      <c r="I13" s="155">
        <f t="shared" si="2"/>
        <v>11282000</v>
      </c>
      <c r="J13" s="155">
        <f>J9</f>
        <v>9082800.43</v>
      </c>
      <c r="K13" s="155">
        <f>K9</f>
        <v>9059247.24</v>
      </c>
      <c r="L13" s="155">
        <f>L9</f>
        <v>7039315.47</v>
      </c>
      <c r="M13" s="155">
        <f>SUM(B13:L13)</f>
        <v>154165363.14000002</v>
      </c>
    </row>
    <row r="14" spans="1:13" s="3" customFormat="1" ht="12.75">
      <c r="A14" s="23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4" s="3" customFormat="1" ht="12.75">
      <c r="A15" s="49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77"/>
      <c r="M15" s="77"/>
      <c r="N15" s="197"/>
    </row>
    <row r="16" spans="1:14" s="3" customFormat="1" ht="12.75">
      <c r="A16" s="16" t="s">
        <v>22</v>
      </c>
      <c r="B16" s="13"/>
      <c r="C16" s="13">
        <v>1881</v>
      </c>
      <c r="D16" s="13">
        <v>4936</v>
      </c>
      <c r="E16" s="13">
        <v>5974</v>
      </c>
      <c r="F16" s="13">
        <v>8009</v>
      </c>
      <c r="G16" s="13">
        <v>5509</v>
      </c>
      <c r="H16" s="13">
        <v>6180</v>
      </c>
      <c r="I16" s="13">
        <v>4012</v>
      </c>
      <c r="J16" s="13">
        <v>3236</v>
      </c>
      <c r="K16" s="13">
        <v>4437</v>
      </c>
      <c r="L16" s="65">
        <v>3905</v>
      </c>
      <c r="M16" s="65">
        <f>SUM(B16:L16)</f>
        <v>48079</v>
      </c>
      <c r="N16" s="170" t="s">
        <v>385</v>
      </c>
    </row>
    <row r="17" spans="1:14" s="3" customFormat="1" ht="12.75">
      <c r="A17" s="16" t="s">
        <v>23</v>
      </c>
      <c r="B17" s="13">
        <v>4553</v>
      </c>
      <c r="C17" s="13">
        <v>10490</v>
      </c>
      <c r="D17" s="13">
        <v>12168</v>
      </c>
      <c r="E17" s="13">
        <v>6526</v>
      </c>
      <c r="F17" s="13">
        <v>8337</v>
      </c>
      <c r="G17" s="13">
        <v>6808</v>
      </c>
      <c r="H17" s="13">
        <v>7137</v>
      </c>
      <c r="I17" s="13">
        <v>10170</v>
      </c>
      <c r="J17" s="13">
        <v>7865</v>
      </c>
      <c r="K17" s="13">
        <v>3647</v>
      </c>
      <c r="L17" s="65">
        <v>1893</v>
      </c>
      <c r="M17" s="65">
        <f>SUM(B17:L17)</f>
        <v>79594</v>
      </c>
      <c r="N17" s="170"/>
    </row>
    <row r="18" spans="1:14" s="3" customFormat="1" ht="12.75">
      <c r="A18" s="16" t="s">
        <v>21</v>
      </c>
      <c r="B18" s="13">
        <f aca="true" t="shared" si="3" ref="B18:G18">SUM(B16:B17)</f>
        <v>4553</v>
      </c>
      <c r="C18" s="13">
        <f t="shared" si="3"/>
        <v>12371</v>
      </c>
      <c r="D18" s="13">
        <f t="shared" si="3"/>
        <v>17104</v>
      </c>
      <c r="E18" s="13">
        <f t="shared" si="3"/>
        <v>12500</v>
      </c>
      <c r="F18" s="13">
        <f t="shared" si="3"/>
        <v>16346</v>
      </c>
      <c r="G18" s="13">
        <f t="shared" si="3"/>
        <v>12317</v>
      </c>
      <c r="H18" s="13">
        <f>SUM(H16:H17)</f>
        <v>13317</v>
      </c>
      <c r="I18" s="13">
        <f>SUM(I16:I17)</f>
        <v>14182</v>
      </c>
      <c r="J18" s="13">
        <f>SUM(J16:J17)</f>
        <v>11101</v>
      </c>
      <c r="K18" s="13">
        <f>SUM(K16:K17)</f>
        <v>8084</v>
      </c>
      <c r="L18" s="65">
        <f>SUM(L16:L17)</f>
        <v>5798</v>
      </c>
      <c r="M18" s="65">
        <f>SUM(B18:L18)</f>
        <v>127673</v>
      </c>
      <c r="N18" s="170"/>
    </row>
    <row r="19" spans="1:14" s="3" customFormat="1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77"/>
      <c r="M19" s="77"/>
      <c r="N19" s="197"/>
    </row>
    <row r="20" spans="1:13" s="3" customFormat="1" ht="12.75">
      <c r="A20" s="49" t="s">
        <v>37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s="3" customFormat="1" ht="12.75">
      <c r="A21" s="56" t="s">
        <v>38</v>
      </c>
      <c r="B21" s="46" t="s">
        <v>8</v>
      </c>
      <c r="C21" s="46" t="s">
        <v>8</v>
      </c>
      <c r="D21" s="46" t="s">
        <v>8</v>
      </c>
      <c r="E21" s="46" t="s">
        <v>8</v>
      </c>
      <c r="F21" s="46" t="s">
        <v>8</v>
      </c>
      <c r="G21" s="46" t="s">
        <v>8</v>
      </c>
      <c r="H21" s="46" t="s">
        <v>8</v>
      </c>
      <c r="I21" s="51" t="s">
        <v>8</v>
      </c>
      <c r="J21" s="51" t="s">
        <v>8</v>
      </c>
      <c r="K21" s="51" t="s">
        <v>8</v>
      </c>
      <c r="L21" s="51" t="s">
        <v>8</v>
      </c>
      <c r="M21" s="46" t="s">
        <v>8</v>
      </c>
    </row>
    <row r="22" spans="1:13" ht="12.75">
      <c r="A22" s="16" t="s">
        <v>14</v>
      </c>
      <c r="B22" s="13">
        <v>119</v>
      </c>
      <c r="C22" s="13">
        <v>3262</v>
      </c>
      <c r="D22" s="13">
        <v>4773</v>
      </c>
      <c r="E22" s="13">
        <v>4551</v>
      </c>
      <c r="F22" s="13">
        <v>6123</v>
      </c>
      <c r="G22" s="13">
        <v>5181</v>
      </c>
      <c r="H22" s="13">
        <v>5829</v>
      </c>
      <c r="I22" s="13">
        <v>3343</v>
      </c>
      <c r="J22" s="13">
        <v>2652</v>
      </c>
      <c r="K22" s="13">
        <v>4379</v>
      </c>
      <c r="L22" s="13">
        <v>4562</v>
      </c>
      <c r="M22" s="13">
        <f>SUM(B22:L22)</f>
        <v>44774</v>
      </c>
    </row>
    <row r="23" spans="1:13" ht="12.75">
      <c r="A23" s="16" t="s">
        <v>10</v>
      </c>
      <c r="B23" s="13">
        <v>2376</v>
      </c>
      <c r="C23" s="13">
        <v>65231</v>
      </c>
      <c r="D23" s="13">
        <v>95460</v>
      </c>
      <c r="E23" s="13">
        <v>91026</v>
      </c>
      <c r="F23" s="13">
        <v>122461</v>
      </c>
      <c r="G23" s="13">
        <v>93829</v>
      </c>
      <c r="H23" s="13">
        <v>107137</v>
      </c>
      <c r="I23" s="13">
        <v>66860</v>
      </c>
      <c r="J23" s="13">
        <v>53040</v>
      </c>
      <c r="K23" s="13">
        <v>87580</v>
      </c>
      <c r="L23" s="13">
        <v>91240</v>
      </c>
      <c r="M23" s="13">
        <f>SUM(B23:L23)</f>
        <v>876240</v>
      </c>
    </row>
    <row r="24" spans="1:15" ht="12.75">
      <c r="A24" s="23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87">
        <v>2006</v>
      </c>
      <c r="O24" s="87">
        <v>2006</v>
      </c>
    </row>
    <row r="25" spans="1:15" ht="12.75">
      <c r="A25" s="56" t="s">
        <v>135</v>
      </c>
      <c r="B25" s="46" t="s">
        <v>11</v>
      </c>
      <c r="C25" s="46" t="s">
        <v>11</v>
      </c>
      <c r="D25" s="46" t="s">
        <v>11</v>
      </c>
      <c r="E25" s="46" t="s">
        <v>11</v>
      </c>
      <c r="F25" s="46" t="s">
        <v>11</v>
      </c>
      <c r="G25" s="46" t="s">
        <v>11</v>
      </c>
      <c r="H25" s="46" t="s">
        <v>11</v>
      </c>
      <c r="I25" s="51" t="s">
        <v>11</v>
      </c>
      <c r="J25" s="51" t="s">
        <v>11</v>
      </c>
      <c r="K25" s="51" t="s">
        <v>11</v>
      </c>
      <c r="L25" s="51" t="s">
        <v>11</v>
      </c>
      <c r="M25" s="46" t="s">
        <v>11</v>
      </c>
      <c r="N25" s="6" t="s">
        <v>193</v>
      </c>
      <c r="O25" s="6" t="s">
        <v>192</v>
      </c>
    </row>
    <row r="26" spans="1:15" ht="12.75">
      <c r="A26" s="16" t="s">
        <v>36</v>
      </c>
      <c r="B26" s="13">
        <v>11</v>
      </c>
      <c r="C26" s="13">
        <v>3415</v>
      </c>
      <c r="D26" s="13">
        <v>11201</v>
      </c>
      <c r="E26" s="13">
        <v>14869</v>
      </c>
      <c r="F26" s="13">
        <v>18897</v>
      </c>
      <c r="G26" s="65">
        <v>13285</v>
      </c>
      <c r="H26" s="65">
        <v>12497</v>
      </c>
      <c r="I26" s="65">
        <v>8179</v>
      </c>
      <c r="J26" s="65">
        <v>5736</v>
      </c>
      <c r="K26" s="65">
        <v>6841</v>
      </c>
      <c r="L26" s="65">
        <v>4616</v>
      </c>
      <c r="M26" s="13">
        <f>SUM(B26:L26)</f>
        <v>99547</v>
      </c>
      <c r="N26" s="79">
        <v>36575</v>
      </c>
      <c r="O26" s="6">
        <f>N26-26081+2791</f>
        <v>13285</v>
      </c>
    </row>
    <row r="27" spans="1:13" ht="12.75">
      <c r="A27" s="23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12.75">
      <c r="A28" s="56" t="s">
        <v>40</v>
      </c>
      <c r="B28" s="50" t="s">
        <v>13</v>
      </c>
      <c r="C28" s="50" t="s">
        <v>13</v>
      </c>
      <c r="D28" s="50" t="s">
        <v>13</v>
      </c>
      <c r="E28" s="50" t="s">
        <v>13</v>
      </c>
      <c r="F28" s="50" t="s">
        <v>13</v>
      </c>
      <c r="G28" s="50" t="s">
        <v>13</v>
      </c>
      <c r="H28" s="50" t="s">
        <v>13</v>
      </c>
      <c r="I28" s="105" t="s">
        <v>13</v>
      </c>
      <c r="J28" s="105" t="s">
        <v>13</v>
      </c>
      <c r="K28" s="105" t="s">
        <v>13</v>
      </c>
      <c r="L28" s="105" t="s">
        <v>13</v>
      </c>
      <c r="M28" s="50" t="s">
        <v>13</v>
      </c>
    </row>
    <row r="29" spans="1:13" ht="12.75">
      <c r="A29" s="16" t="s">
        <v>14</v>
      </c>
      <c r="B29" s="13">
        <v>356</v>
      </c>
      <c r="C29" s="13">
        <v>83638</v>
      </c>
      <c r="D29" s="13">
        <v>136914</v>
      </c>
      <c r="E29" s="13">
        <v>183693</v>
      </c>
      <c r="F29" s="13">
        <v>239568</v>
      </c>
      <c r="G29" s="13">
        <v>164504</v>
      </c>
      <c r="H29" s="13">
        <v>156698</v>
      </c>
      <c r="I29" s="13">
        <v>109223</v>
      </c>
      <c r="J29" s="13">
        <v>76797</v>
      </c>
      <c r="K29" s="13">
        <v>79178</v>
      </c>
      <c r="L29" s="13">
        <v>60733</v>
      </c>
      <c r="M29" s="13">
        <f>SUM(B29:L29)</f>
        <v>1291302</v>
      </c>
    </row>
    <row r="30" spans="1:13" ht="12.75">
      <c r="A30" s="16" t="s">
        <v>10</v>
      </c>
      <c r="B30" s="13">
        <v>7120</v>
      </c>
      <c r="C30" s="13">
        <v>1672762</v>
      </c>
      <c r="D30" s="13">
        <v>2738286</v>
      </c>
      <c r="E30" s="13">
        <v>3673856</v>
      </c>
      <c r="F30" s="13">
        <v>4791352</v>
      </c>
      <c r="G30" s="13">
        <v>2191094</v>
      </c>
      <c r="H30" s="13">
        <v>1937986</v>
      </c>
      <c r="I30" s="65">
        <v>2184460</v>
      </c>
      <c r="J30" s="65">
        <v>1535940</v>
      </c>
      <c r="K30" s="65">
        <v>1583560</v>
      </c>
      <c r="L30" s="65">
        <v>1214660</v>
      </c>
      <c r="M30" s="13">
        <f>SUM(B30:L30)</f>
        <v>23531076</v>
      </c>
    </row>
    <row r="31" spans="1:13" ht="12.75">
      <c r="A31" s="23"/>
      <c r="B31" s="50"/>
      <c r="C31" s="50"/>
      <c r="D31" s="50"/>
      <c r="E31" s="50"/>
      <c r="F31" s="50"/>
      <c r="G31" s="50"/>
      <c r="H31" s="50"/>
      <c r="I31" s="69"/>
      <c r="J31" s="69"/>
      <c r="K31" s="69"/>
      <c r="L31" s="69"/>
      <c r="M31" s="50"/>
    </row>
    <row r="32" spans="1:17" ht="12.75">
      <c r="A32" s="56" t="s">
        <v>39</v>
      </c>
      <c r="B32" s="46" t="s">
        <v>8</v>
      </c>
      <c r="C32" s="46" t="s">
        <v>8</v>
      </c>
      <c r="D32" s="46" t="s">
        <v>8</v>
      </c>
      <c r="E32" s="46" t="s">
        <v>8</v>
      </c>
      <c r="F32" s="46" t="s">
        <v>8</v>
      </c>
      <c r="G32" s="46" t="s">
        <v>8</v>
      </c>
      <c r="H32" s="46" t="s">
        <v>8</v>
      </c>
      <c r="I32" s="109" t="s">
        <v>8</v>
      </c>
      <c r="J32" s="51" t="s">
        <v>8</v>
      </c>
      <c r="K32" s="51" t="s">
        <v>8</v>
      </c>
      <c r="L32" s="51" t="s">
        <v>8</v>
      </c>
      <c r="M32" s="46" t="s">
        <v>8</v>
      </c>
      <c r="N32" s="3"/>
      <c r="O32" s="3"/>
      <c r="P32" s="3"/>
      <c r="Q32" s="3"/>
    </row>
    <row r="33" spans="1:13" ht="12.75">
      <c r="A33" s="16" t="s">
        <v>14</v>
      </c>
      <c r="B33" s="13">
        <v>6574</v>
      </c>
      <c r="C33" s="13">
        <v>30773</v>
      </c>
      <c r="D33" s="13">
        <v>22039</v>
      </c>
      <c r="E33" s="13">
        <v>3954</v>
      </c>
      <c r="F33" s="13">
        <v>18261</v>
      </c>
      <c r="G33" s="13">
        <v>19356</v>
      </c>
      <c r="H33" s="13">
        <v>8253</v>
      </c>
      <c r="I33" s="65">
        <v>11187</v>
      </c>
      <c r="J33" s="65">
        <v>4608</v>
      </c>
      <c r="K33" s="65">
        <v>3884</v>
      </c>
      <c r="L33" s="65">
        <v>2082</v>
      </c>
      <c r="M33" s="13">
        <f>SUM(B33:L33)</f>
        <v>130971</v>
      </c>
    </row>
    <row r="34" spans="1:13" ht="12.75">
      <c r="A34" s="16" t="s">
        <v>10</v>
      </c>
      <c r="B34" s="13">
        <v>131481</v>
      </c>
      <c r="C34" s="13">
        <v>504649</v>
      </c>
      <c r="D34" s="13">
        <v>440776</v>
      </c>
      <c r="E34" s="13">
        <v>79079</v>
      </c>
      <c r="F34" s="13">
        <v>365223</v>
      </c>
      <c r="G34" s="13">
        <v>347822</v>
      </c>
      <c r="H34" s="13">
        <v>165060</v>
      </c>
      <c r="I34" s="65">
        <v>223740</v>
      </c>
      <c r="J34" s="65">
        <v>92158</v>
      </c>
      <c r="K34" s="65">
        <v>77682</v>
      </c>
      <c r="L34" s="65">
        <v>41646</v>
      </c>
      <c r="M34" s="13">
        <f>SUM(B34:L34)</f>
        <v>2469316</v>
      </c>
    </row>
    <row r="35" spans="1:13" ht="12.75">
      <c r="A35" s="23"/>
      <c r="B35" s="50"/>
      <c r="C35" s="50"/>
      <c r="D35" s="50"/>
      <c r="E35" s="50"/>
      <c r="F35" s="50"/>
      <c r="G35" s="50"/>
      <c r="H35" s="50"/>
      <c r="I35" s="69"/>
      <c r="J35" s="69"/>
      <c r="K35" s="69"/>
      <c r="L35" s="69"/>
      <c r="M35" s="50"/>
    </row>
    <row r="36" spans="1:13" ht="12.75">
      <c r="A36" s="46"/>
      <c r="B36" s="50" t="s">
        <v>11</v>
      </c>
      <c r="C36" s="50" t="s">
        <v>11</v>
      </c>
      <c r="D36" s="50" t="s">
        <v>11</v>
      </c>
      <c r="E36" s="50" t="s">
        <v>11</v>
      </c>
      <c r="F36" s="50" t="s">
        <v>11</v>
      </c>
      <c r="G36" s="50" t="s">
        <v>11</v>
      </c>
      <c r="H36" s="46" t="s">
        <v>11</v>
      </c>
      <c r="I36" s="109" t="s">
        <v>11</v>
      </c>
      <c r="J36" s="109" t="s">
        <v>11</v>
      </c>
      <c r="K36" s="109" t="s">
        <v>11</v>
      </c>
      <c r="L36" s="109" t="s">
        <v>11</v>
      </c>
      <c r="M36" s="50" t="s">
        <v>11</v>
      </c>
    </row>
    <row r="37" spans="1:13" ht="12.75">
      <c r="A37" s="16" t="s">
        <v>36</v>
      </c>
      <c r="B37" s="13">
        <v>6547</v>
      </c>
      <c r="C37" s="13">
        <v>31455</v>
      </c>
      <c r="D37" s="13">
        <v>39030</v>
      </c>
      <c r="E37" s="13">
        <v>10985</v>
      </c>
      <c r="F37" s="13">
        <v>42551</v>
      </c>
      <c r="G37" s="13">
        <v>54027</v>
      </c>
      <c r="H37" s="13">
        <v>18869</v>
      </c>
      <c r="I37" s="65">
        <v>24815</v>
      </c>
      <c r="J37" s="65">
        <v>10221</v>
      </c>
      <c r="K37" s="65">
        <v>8616</v>
      </c>
      <c r="L37" s="65">
        <v>4619</v>
      </c>
      <c r="M37" s="13">
        <f>SUM(B37:L37)</f>
        <v>251735</v>
      </c>
    </row>
    <row r="38" spans="1:13" ht="12.75">
      <c r="A38" s="23"/>
      <c r="B38" s="50"/>
      <c r="C38" s="50"/>
      <c r="D38" s="50"/>
      <c r="E38" s="50"/>
      <c r="F38" s="50"/>
      <c r="G38" s="50"/>
      <c r="H38" s="50"/>
      <c r="I38" s="69"/>
      <c r="J38" s="69"/>
      <c r="K38" s="69"/>
      <c r="L38" s="69"/>
      <c r="M38" s="50"/>
    </row>
    <row r="39" spans="1:25" ht="12.75">
      <c r="A39" s="56" t="s">
        <v>41</v>
      </c>
      <c r="B39" s="50" t="s">
        <v>13</v>
      </c>
      <c r="C39" s="50" t="s">
        <v>13</v>
      </c>
      <c r="D39" s="50" t="s">
        <v>13</v>
      </c>
      <c r="E39" s="50" t="s">
        <v>13</v>
      </c>
      <c r="F39" s="50" t="s">
        <v>13</v>
      </c>
      <c r="G39" s="50" t="s">
        <v>13</v>
      </c>
      <c r="H39" s="50" t="s">
        <v>13</v>
      </c>
      <c r="I39" s="110" t="s">
        <v>13</v>
      </c>
      <c r="J39" s="105" t="s">
        <v>13</v>
      </c>
      <c r="K39" s="105" t="s">
        <v>13</v>
      </c>
      <c r="L39" s="50" t="s">
        <v>13</v>
      </c>
      <c r="M39" s="50" t="s">
        <v>13</v>
      </c>
      <c r="R39" s="9"/>
      <c r="S39" s="9"/>
      <c r="T39" s="9"/>
      <c r="U39" s="9"/>
      <c r="V39" s="9"/>
      <c r="W39" s="9"/>
      <c r="X39" s="9"/>
      <c r="Y39" s="9"/>
    </row>
    <row r="40" spans="1:13" ht="12.75">
      <c r="A40" s="16" t="s">
        <v>14</v>
      </c>
      <c r="B40" s="13">
        <v>100752</v>
      </c>
      <c r="C40" s="13">
        <v>616850</v>
      </c>
      <c r="D40" s="13">
        <v>606325</v>
      </c>
      <c r="E40" s="13">
        <v>130804</v>
      </c>
      <c r="F40" s="13">
        <v>550445</v>
      </c>
      <c r="G40" s="13">
        <v>631039</v>
      </c>
      <c r="H40" s="13">
        <v>155595</v>
      </c>
      <c r="I40" s="65">
        <v>312728</v>
      </c>
      <c r="J40" s="65">
        <v>241849</v>
      </c>
      <c r="K40" s="65">
        <v>190865</v>
      </c>
      <c r="L40" s="65">
        <v>74876</v>
      </c>
      <c r="M40" s="13">
        <f>SUM(B40:L40)</f>
        <v>3612128</v>
      </c>
    </row>
    <row r="41" spans="1:13" ht="12.75">
      <c r="A41" s="16" t="s">
        <v>10</v>
      </c>
      <c r="B41" s="13">
        <v>2015046</v>
      </c>
      <c r="C41" s="13">
        <v>12337003</v>
      </c>
      <c r="D41" s="13">
        <v>12126506</v>
      </c>
      <c r="E41" s="13">
        <v>2824084</v>
      </c>
      <c r="F41" s="13">
        <v>11008888</v>
      </c>
      <c r="G41" s="13">
        <v>5939348</v>
      </c>
      <c r="H41" s="13">
        <v>3111900</v>
      </c>
      <c r="I41" s="65">
        <v>6254560</v>
      </c>
      <c r="J41" s="65">
        <v>4836980</v>
      </c>
      <c r="K41" s="65">
        <v>3817300</v>
      </c>
      <c r="L41" s="65">
        <v>1497520</v>
      </c>
      <c r="M41" s="13">
        <f>SUM(B41:L41)</f>
        <v>65769135</v>
      </c>
    </row>
    <row r="42" spans="1:13" ht="12.75">
      <c r="A42" s="23"/>
      <c r="B42" s="50"/>
      <c r="C42" s="50"/>
      <c r="D42" s="50"/>
      <c r="E42" s="50"/>
      <c r="F42" s="50"/>
      <c r="G42" s="50"/>
      <c r="H42" s="50"/>
      <c r="I42" s="69"/>
      <c r="J42" s="69"/>
      <c r="K42" s="69"/>
      <c r="L42" s="69"/>
      <c r="M42" s="50"/>
    </row>
    <row r="43" spans="1:13" ht="12.75">
      <c r="A43" s="2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.75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50"/>
    </row>
    <row r="45" spans="1:14" ht="12.75">
      <c r="A45" s="46"/>
      <c r="B45" s="57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8"/>
    </row>
    <row r="46" spans="1:13" ht="12.75">
      <c r="A46" s="23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7" ht="12.75">
      <c r="A47" s="23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9"/>
      <c r="O47" s="9"/>
      <c r="P47" s="9"/>
      <c r="Q47" s="9"/>
    </row>
    <row r="48" spans="1:17" ht="12.75">
      <c r="A48" s="23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9"/>
      <c r="O48" s="9"/>
      <c r="P48" s="9"/>
      <c r="Q48" s="9"/>
    </row>
    <row r="49" spans="1:17" ht="12.75">
      <c r="A49" s="23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9"/>
      <c r="O49" s="9"/>
      <c r="P49" s="9"/>
      <c r="Q49" s="9"/>
    </row>
    <row r="50" spans="1:17" ht="12.75">
      <c r="A50" s="23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9"/>
      <c r="O50" s="9"/>
      <c r="P50" s="9"/>
      <c r="Q50" s="9"/>
    </row>
    <row r="51" spans="1:13" ht="12.75">
      <c r="A51" s="23"/>
      <c r="B51" s="46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23"/>
      <c r="B52" s="46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23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4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8"/>
    </row>
    <row r="55" spans="1:13" ht="12.75">
      <c r="A55" s="23"/>
      <c r="B55" s="57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7" ht="12.75">
      <c r="A56" s="23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9"/>
      <c r="O56" s="9"/>
      <c r="P56" s="9"/>
      <c r="Q56" s="9"/>
    </row>
    <row r="57" spans="1:17" ht="12.75">
      <c r="A57" s="23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9"/>
      <c r="O57" s="9"/>
      <c r="P57" s="9"/>
      <c r="Q57" s="9"/>
    </row>
    <row r="58" spans="1:13" ht="12.75">
      <c r="A58" s="23"/>
      <c r="B58" s="46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2.75">
      <c r="A59" s="23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7" ht="12.75">
      <c r="A60" s="23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0"/>
      <c r="O60" s="10"/>
      <c r="P60" s="10"/>
      <c r="Q60" s="10"/>
    </row>
    <row r="61" spans="1:17" ht="12.75">
      <c r="A61" s="23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10"/>
      <c r="O61" s="10"/>
      <c r="P61" s="10"/>
      <c r="Q61" s="10"/>
    </row>
    <row r="62" spans="1:13" ht="12.75">
      <c r="A62" s="23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2.75">
      <c r="A63" s="46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2.75">
      <c r="A64" s="4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2.75">
      <c r="A65" s="46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2.75">
      <c r="A66" s="4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46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46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46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2.75">
      <c r="A70" s="46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2.75">
      <c r="A71" s="46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2.75">
      <c r="A72" s="46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>
      <c r="A73" s="46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2.75">
      <c r="A74" s="46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2.75">
      <c r="A75" s="46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2.75">
      <c r="A76" s="46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2.75">
      <c r="A77" s="46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2.75">
      <c r="A78" s="46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2.75">
      <c r="A79" s="46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2.75">
      <c r="A80" s="46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2.75">
      <c r="A81" s="46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2.75">
      <c r="A82" s="46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2.75">
      <c r="A83" s="46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2.75">
      <c r="A84" s="46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1:13" ht="12.75">
      <c r="A85" s="46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 ht="12.75">
      <c r="A86" s="46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2.75">
      <c r="A87" s="46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ht="12.75">
      <c r="A88" s="46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12.75">
      <c r="A89" s="46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2.75">
      <c r="A90" s="46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ht="12.75">
      <c r="A91" s="46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2.75">
      <c r="A92" s="46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2.75">
      <c r="A93" s="46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2.75">
      <c r="A94" s="46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</sheetData>
  <sheetProtection/>
  <mergeCells count="2">
    <mergeCell ref="A1:M1"/>
    <mergeCell ref="A6:M6"/>
  </mergeCells>
  <printOptions/>
  <pageMargins left="0.75" right="0.75" top="1" bottom="1" header="0.5" footer="0.5"/>
  <pageSetup horizontalDpi="600" verticalDpi="600" orientation="landscape" scale="59" r:id="rId1"/>
  <colBreaks count="1" manualBreakCount="1">
    <brk id="13" max="3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14"/>
  <sheetViews>
    <sheetView zoomScalePageLayoutView="0" workbookViewId="0" topLeftCell="A1">
      <selection activeCell="N1" sqref="N1"/>
    </sheetView>
  </sheetViews>
  <sheetFormatPr defaultColWidth="10.7109375" defaultRowHeight="12.75"/>
  <cols>
    <col min="1" max="1" width="32.140625" style="3" customWidth="1"/>
    <col min="2" max="2" width="14.7109375" style="6" customWidth="1"/>
    <col min="3" max="3" width="14.57421875" style="6" customWidth="1"/>
    <col min="4" max="4" width="14.421875" style="6" customWidth="1"/>
    <col min="5" max="5" width="15.57421875" style="6" customWidth="1"/>
    <col min="6" max="6" width="14.8515625" style="6" bestFit="1" customWidth="1"/>
    <col min="7" max="7" width="14.7109375" style="6" bestFit="1" customWidth="1"/>
    <col min="8" max="8" width="15.00390625" style="6" bestFit="1" customWidth="1"/>
    <col min="9" max="9" width="15.57421875" style="6" bestFit="1" customWidth="1"/>
    <col min="10" max="11" width="14.00390625" style="6" customWidth="1"/>
    <col min="12" max="12" width="14.00390625" style="79" customWidth="1"/>
    <col min="13" max="13" width="15.140625" style="6" bestFit="1" customWidth="1"/>
    <col min="14" max="14" width="10.7109375" style="79" customWidth="1"/>
    <col min="15" max="16384" width="10.7109375" style="6" customWidth="1"/>
  </cols>
  <sheetData>
    <row r="1" spans="1:14" ht="15.75">
      <c r="A1" s="235" t="s">
        <v>25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187"/>
    </row>
    <row r="2" spans="1:14" ht="15.75">
      <c r="A2" s="144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93"/>
      <c r="M2" s="151"/>
      <c r="N2" s="187"/>
    </row>
    <row r="3" spans="1:14" ht="12.75">
      <c r="A3" s="46"/>
      <c r="N3" s="187"/>
    </row>
    <row r="4" spans="1:14" ht="12.75">
      <c r="A4" s="33" t="s">
        <v>348</v>
      </c>
      <c r="B4" s="31">
        <v>2001</v>
      </c>
      <c r="C4" s="31">
        <v>2002</v>
      </c>
      <c r="D4" s="31">
        <v>2003</v>
      </c>
      <c r="E4" s="31">
        <v>2004</v>
      </c>
      <c r="F4" s="31">
        <v>2005</v>
      </c>
      <c r="G4" s="31">
        <v>2006</v>
      </c>
      <c r="H4" s="31">
        <v>2007</v>
      </c>
      <c r="I4" s="31">
        <v>2008</v>
      </c>
      <c r="J4" s="31">
        <v>2009</v>
      </c>
      <c r="K4" s="31">
        <v>2010</v>
      </c>
      <c r="L4" s="138">
        <v>2011</v>
      </c>
      <c r="M4" s="162" t="s">
        <v>360</v>
      </c>
      <c r="N4" s="187"/>
    </row>
    <row r="5" spans="1:14" ht="12.75">
      <c r="A5" s="16" t="s">
        <v>26</v>
      </c>
      <c r="B5" s="15">
        <v>1010</v>
      </c>
      <c r="C5" s="15"/>
      <c r="D5" s="15"/>
      <c r="E5" s="15"/>
      <c r="F5" s="76"/>
      <c r="G5" s="76"/>
      <c r="H5" s="76"/>
      <c r="I5" s="76"/>
      <c r="J5" s="76"/>
      <c r="K5" s="76"/>
      <c r="L5" s="175"/>
      <c r="M5" s="76">
        <f>SUM(B5:L5)</f>
        <v>1010</v>
      </c>
      <c r="N5" s="187"/>
    </row>
    <row r="6" spans="1:14" ht="12.75">
      <c r="A6" s="16" t="s">
        <v>44</v>
      </c>
      <c r="B6" s="15">
        <v>1661</v>
      </c>
      <c r="C6" s="15"/>
      <c r="D6" s="15"/>
      <c r="E6" s="15"/>
      <c r="F6" s="76"/>
      <c r="G6" s="76"/>
      <c r="H6" s="76"/>
      <c r="I6" s="76"/>
      <c r="J6" s="76"/>
      <c r="K6" s="76"/>
      <c r="L6" s="175"/>
      <c r="M6" s="76">
        <f aca="true" t="shared" si="0" ref="M6:M15">SUM(B6:L6)</f>
        <v>1661</v>
      </c>
      <c r="N6" s="187"/>
    </row>
    <row r="7" spans="1:14" ht="12.75">
      <c r="A7" s="16" t="s">
        <v>27</v>
      </c>
      <c r="B7" s="15">
        <v>1210</v>
      </c>
      <c r="C7" s="15"/>
      <c r="D7" s="15"/>
      <c r="E7" s="15"/>
      <c r="F7" s="76"/>
      <c r="G7" s="76"/>
      <c r="H7" s="76"/>
      <c r="I7" s="76"/>
      <c r="J7" s="76"/>
      <c r="K7" s="76"/>
      <c r="L7" s="175"/>
      <c r="M7" s="76">
        <f t="shared" si="0"/>
        <v>1210</v>
      </c>
      <c r="N7" s="187"/>
    </row>
    <row r="8" spans="1:14" ht="12.75">
      <c r="A8" s="16" t="s">
        <v>28</v>
      </c>
      <c r="B8" s="15"/>
      <c r="C8" s="15">
        <v>7533</v>
      </c>
      <c r="D8" s="15"/>
      <c r="E8" s="15"/>
      <c r="F8" s="76"/>
      <c r="G8" s="76"/>
      <c r="H8" s="76"/>
      <c r="I8" s="76"/>
      <c r="J8" s="76"/>
      <c r="K8" s="76"/>
      <c r="L8" s="175"/>
      <c r="M8" s="76">
        <f t="shared" si="0"/>
        <v>7533</v>
      </c>
      <c r="N8" s="187"/>
    </row>
    <row r="9" spans="1:14" ht="12.75">
      <c r="A9" s="16" t="s">
        <v>45</v>
      </c>
      <c r="B9" s="15"/>
      <c r="C9" s="15"/>
      <c r="D9" s="15">
        <v>882</v>
      </c>
      <c r="E9" s="15">
        <v>754</v>
      </c>
      <c r="F9" s="76">
        <v>835</v>
      </c>
      <c r="G9" s="76">
        <v>1054</v>
      </c>
      <c r="H9" s="76"/>
      <c r="I9" s="76"/>
      <c r="J9" s="76"/>
      <c r="K9" s="76"/>
      <c r="L9" s="175"/>
      <c r="M9" s="76">
        <f t="shared" si="0"/>
        <v>3525</v>
      </c>
      <c r="N9" s="187"/>
    </row>
    <row r="10" spans="1:14" ht="12.75">
      <c r="A10" s="16" t="s">
        <v>46</v>
      </c>
      <c r="B10" s="15"/>
      <c r="C10" s="15"/>
      <c r="D10" s="15">
        <v>2472</v>
      </c>
      <c r="E10" s="15">
        <v>1170</v>
      </c>
      <c r="F10" s="76">
        <v>875</v>
      </c>
      <c r="G10" s="76">
        <v>875</v>
      </c>
      <c r="H10" s="76"/>
      <c r="I10" s="76"/>
      <c r="J10" s="76"/>
      <c r="K10" s="76"/>
      <c r="L10" s="175"/>
      <c r="M10" s="76">
        <f t="shared" si="0"/>
        <v>5392</v>
      </c>
      <c r="N10" s="187"/>
    </row>
    <row r="11" spans="1:14" ht="12.75">
      <c r="A11" s="16" t="s">
        <v>47</v>
      </c>
      <c r="B11" s="15"/>
      <c r="C11" s="15"/>
      <c r="D11" s="15">
        <v>3800</v>
      </c>
      <c r="E11" s="15">
        <v>7152</v>
      </c>
      <c r="F11" s="76">
        <v>4050</v>
      </c>
      <c r="G11" s="76">
        <v>1320</v>
      </c>
      <c r="H11" s="76"/>
      <c r="I11" s="76"/>
      <c r="J11" s="76"/>
      <c r="K11" s="76"/>
      <c r="L11" s="175"/>
      <c r="M11" s="76">
        <f t="shared" si="0"/>
        <v>16322</v>
      </c>
      <c r="N11" s="187"/>
    </row>
    <row r="12" spans="1:14" ht="12.75">
      <c r="A12" s="16" t="s">
        <v>48</v>
      </c>
      <c r="B12" s="15">
        <v>1474</v>
      </c>
      <c r="C12" s="15">
        <v>1235</v>
      </c>
      <c r="D12" s="15">
        <v>151</v>
      </c>
      <c r="E12" s="15">
        <v>946</v>
      </c>
      <c r="F12" s="76">
        <v>870</v>
      </c>
      <c r="G12" s="76">
        <v>870</v>
      </c>
      <c r="H12" s="76"/>
      <c r="I12" s="76"/>
      <c r="J12" s="76"/>
      <c r="K12" s="76"/>
      <c r="L12" s="175"/>
      <c r="M12" s="76">
        <f t="shared" si="0"/>
        <v>5546</v>
      </c>
      <c r="N12" s="199"/>
    </row>
    <row r="13" spans="1:14" ht="12.75">
      <c r="A13" s="16" t="s">
        <v>94</v>
      </c>
      <c r="B13" s="15"/>
      <c r="C13" s="15"/>
      <c r="D13" s="15"/>
      <c r="E13" s="15"/>
      <c r="F13" s="76">
        <v>200</v>
      </c>
      <c r="G13" s="76">
        <v>3595</v>
      </c>
      <c r="H13" s="76"/>
      <c r="I13" s="76"/>
      <c r="J13" s="76"/>
      <c r="K13" s="76"/>
      <c r="L13" s="175"/>
      <c r="M13" s="76">
        <f t="shared" si="0"/>
        <v>3795</v>
      </c>
      <c r="N13" s="199"/>
    </row>
    <row r="14" spans="1:14" ht="12.75">
      <c r="A14" s="17" t="s">
        <v>1</v>
      </c>
      <c r="B14" s="15">
        <f>SUM(B5:B13)</f>
        <v>5355</v>
      </c>
      <c r="C14" s="15">
        <f>SUM(C5:C13)</f>
        <v>8768</v>
      </c>
      <c r="D14" s="15">
        <f>SUM(D5:D13)</f>
        <v>7305</v>
      </c>
      <c r="E14" s="15">
        <f>SUM(E5:E13)</f>
        <v>10022</v>
      </c>
      <c r="F14" s="76">
        <f>SUM(F5:F13)</f>
        <v>6830</v>
      </c>
      <c r="G14" s="76">
        <f>SUM(G9:G13)</f>
        <v>7714</v>
      </c>
      <c r="H14" s="76">
        <v>11083</v>
      </c>
      <c r="I14" s="76">
        <v>20142</v>
      </c>
      <c r="J14" s="76"/>
      <c r="K14" s="76"/>
      <c r="L14" s="175"/>
      <c r="M14" s="76">
        <f t="shared" si="0"/>
        <v>77219</v>
      </c>
      <c r="N14" s="199"/>
    </row>
    <row r="15" spans="1:14" ht="12.75">
      <c r="A15" s="17" t="s">
        <v>281</v>
      </c>
      <c r="B15" s="132">
        <f>B14*1000</f>
        <v>5355000</v>
      </c>
      <c r="C15" s="132">
        <f aca="true" t="shared" si="1" ref="C15:I15">C14*1000</f>
        <v>8768000</v>
      </c>
      <c r="D15" s="132">
        <f t="shared" si="1"/>
        <v>7305000</v>
      </c>
      <c r="E15" s="132">
        <f t="shared" si="1"/>
        <v>10022000</v>
      </c>
      <c r="F15" s="155">
        <f t="shared" si="1"/>
        <v>6830000</v>
      </c>
      <c r="G15" s="155">
        <f t="shared" si="1"/>
        <v>7714000</v>
      </c>
      <c r="H15" s="155">
        <f t="shared" si="1"/>
        <v>11083000</v>
      </c>
      <c r="I15" s="155">
        <f t="shared" si="1"/>
        <v>20142000</v>
      </c>
      <c r="J15" s="155">
        <v>25315444.47</v>
      </c>
      <c r="K15" s="155">
        <v>17936073.74</v>
      </c>
      <c r="L15" s="157">
        <v>18193381.04</v>
      </c>
      <c r="M15" s="76">
        <f t="shared" si="0"/>
        <v>138663899.25</v>
      </c>
      <c r="N15" s="199"/>
    </row>
    <row r="16" spans="1:14" ht="27.75" customHeight="1">
      <c r="A16" s="237" t="s">
        <v>351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199"/>
    </row>
    <row r="17" spans="1:16" ht="12.75">
      <c r="A17" s="23"/>
      <c r="B17" s="50"/>
      <c r="C17" s="50"/>
      <c r="D17" s="50"/>
      <c r="E17" s="50"/>
      <c r="F17" s="40"/>
      <c r="G17" s="40"/>
      <c r="H17" s="40"/>
      <c r="I17" s="40"/>
      <c r="J17" s="40"/>
      <c r="K17" s="40"/>
      <c r="L17" s="194"/>
      <c r="M17" s="40"/>
      <c r="N17" s="197"/>
      <c r="O17" s="3"/>
      <c r="P17" s="3"/>
    </row>
    <row r="18" spans="1:16" ht="12.75">
      <c r="A18" s="33" t="s">
        <v>283</v>
      </c>
      <c r="B18" s="47"/>
      <c r="C18" s="47"/>
      <c r="D18" s="47"/>
      <c r="E18" s="47"/>
      <c r="F18" s="158"/>
      <c r="G18" s="158"/>
      <c r="H18" s="158"/>
      <c r="I18" s="158"/>
      <c r="J18" s="158"/>
      <c r="K18" s="158"/>
      <c r="L18" s="195"/>
      <c r="M18" s="130"/>
      <c r="N18" s="197"/>
      <c r="O18" s="3"/>
      <c r="P18" s="3"/>
    </row>
    <row r="19" spans="1:14" s="3" customFormat="1" ht="12.75">
      <c r="A19" s="16" t="s">
        <v>26</v>
      </c>
      <c r="B19" s="15">
        <v>276</v>
      </c>
      <c r="C19" s="15"/>
      <c r="D19" s="15"/>
      <c r="E19" s="15"/>
      <c r="F19" s="76"/>
      <c r="G19" s="76"/>
      <c r="H19" s="76"/>
      <c r="I19" s="76"/>
      <c r="J19" s="76"/>
      <c r="K19" s="76"/>
      <c r="L19" s="175"/>
      <c r="M19" s="76">
        <f aca="true" t="shared" si="2" ref="M19:M29">SUM(B19:L19)</f>
        <v>276</v>
      </c>
      <c r="N19" s="197"/>
    </row>
    <row r="20" spans="1:14" s="3" customFormat="1" ht="12.75">
      <c r="A20" s="16" t="s">
        <v>44</v>
      </c>
      <c r="B20" s="15">
        <v>713</v>
      </c>
      <c r="C20" s="15"/>
      <c r="D20" s="15"/>
      <c r="E20" s="15"/>
      <c r="F20" s="76"/>
      <c r="G20" s="76"/>
      <c r="H20" s="76"/>
      <c r="I20" s="76"/>
      <c r="J20" s="76"/>
      <c r="K20" s="76"/>
      <c r="L20" s="175"/>
      <c r="M20" s="76">
        <f t="shared" si="2"/>
        <v>713</v>
      </c>
      <c r="N20" s="197"/>
    </row>
    <row r="21" spans="1:14" s="3" customFormat="1" ht="12.75">
      <c r="A21" s="16" t="s">
        <v>27</v>
      </c>
      <c r="B21" s="15">
        <v>247</v>
      </c>
      <c r="C21" s="15"/>
      <c r="D21" s="15"/>
      <c r="E21" s="15"/>
      <c r="F21" s="76"/>
      <c r="G21" s="76"/>
      <c r="H21" s="76"/>
      <c r="I21" s="76"/>
      <c r="J21" s="76"/>
      <c r="K21" s="76"/>
      <c r="L21" s="175"/>
      <c r="M21" s="76">
        <f t="shared" si="2"/>
        <v>247</v>
      </c>
      <c r="N21" s="197"/>
    </row>
    <row r="22" spans="1:14" s="3" customFormat="1" ht="12.75">
      <c r="A22" s="16" t="s">
        <v>28</v>
      </c>
      <c r="B22" s="15"/>
      <c r="C22" s="15">
        <v>2803</v>
      </c>
      <c r="D22" s="15"/>
      <c r="E22" s="15"/>
      <c r="F22" s="76"/>
      <c r="G22" s="76"/>
      <c r="H22" s="76"/>
      <c r="I22" s="76"/>
      <c r="J22" s="76"/>
      <c r="K22" s="76"/>
      <c r="L22" s="175"/>
      <c r="M22" s="76">
        <f t="shared" si="2"/>
        <v>2803</v>
      </c>
      <c r="N22" s="197"/>
    </row>
    <row r="23" spans="1:14" s="3" customFormat="1" ht="12.75">
      <c r="A23" s="16" t="s">
        <v>45</v>
      </c>
      <c r="B23" s="15"/>
      <c r="C23" s="15"/>
      <c r="D23" s="15">
        <v>911</v>
      </c>
      <c r="E23" s="15">
        <v>1654</v>
      </c>
      <c r="F23" s="76">
        <v>1021</v>
      </c>
      <c r="G23" s="76">
        <v>606</v>
      </c>
      <c r="H23" s="76"/>
      <c r="I23" s="76"/>
      <c r="J23" s="76"/>
      <c r="K23" s="76"/>
      <c r="L23" s="175"/>
      <c r="M23" s="76">
        <f t="shared" si="2"/>
        <v>4192</v>
      </c>
      <c r="N23" s="197"/>
    </row>
    <row r="24" spans="1:14" s="3" customFormat="1" ht="12.75">
      <c r="A24" s="16" t="s">
        <v>46</v>
      </c>
      <c r="B24" s="15"/>
      <c r="C24" s="15"/>
      <c r="D24" s="15">
        <v>872</v>
      </c>
      <c r="E24" s="15">
        <v>397</v>
      </c>
      <c r="F24" s="76">
        <v>396</v>
      </c>
      <c r="G24" s="76">
        <v>481</v>
      </c>
      <c r="H24" s="76"/>
      <c r="I24" s="76"/>
      <c r="J24" s="76"/>
      <c r="K24" s="76"/>
      <c r="L24" s="175"/>
      <c r="M24" s="76">
        <f t="shared" si="2"/>
        <v>2146</v>
      </c>
      <c r="N24" s="197"/>
    </row>
    <row r="25" spans="1:14" s="3" customFormat="1" ht="12.75">
      <c r="A25" s="16" t="s">
        <v>47</v>
      </c>
      <c r="B25" s="15"/>
      <c r="C25" s="15"/>
      <c r="D25" s="15">
        <v>4219</v>
      </c>
      <c r="E25" s="15">
        <v>6048</v>
      </c>
      <c r="F25" s="76">
        <v>4016</v>
      </c>
      <c r="G25" s="159">
        <v>-68</v>
      </c>
      <c r="H25" s="159"/>
      <c r="I25" s="159"/>
      <c r="J25" s="159"/>
      <c r="K25" s="159"/>
      <c r="L25" s="196"/>
      <c r="M25" s="76">
        <f t="shared" si="2"/>
        <v>14215</v>
      </c>
      <c r="N25" s="197"/>
    </row>
    <row r="26" spans="1:14" s="3" customFormat="1" ht="12.75">
      <c r="A26" s="16" t="s">
        <v>48</v>
      </c>
      <c r="B26" s="15">
        <v>1257</v>
      </c>
      <c r="C26" s="15">
        <v>961</v>
      </c>
      <c r="D26" s="15">
        <v>303</v>
      </c>
      <c r="E26" s="15">
        <v>350</v>
      </c>
      <c r="F26" s="76">
        <v>435</v>
      </c>
      <c r="G26" s="76">
        <v>395</v>
      </c>
      <c r="H26" s="76"/>
      <c r="I26" s="76"/>
      <c r="J26" s="76"/>
      <c r="K26" s="76"/>
      <c r="L26" s="175"/>
      <c r="M26" s="76">
        <f t="shared" si="2"/>
        <v>3701</v>
      </c>
      <c r="N26" s="197"/>
    </row>
    <row r="27" spans="1:14" s="3" customFormat="1" ht="12.75">
      <c r="A27" s="16" t="s">
        <v>94</v>
      </c>
      <c r="B27" s="15"/>
      <c r="C27" s="15"/>
      <c r="D27" s="15"/>
      <c r="E27" s="15"/>
      <c r="F27" s="76">
        <v>105</v>
      </c>
      <c r="G27" s="76">
        <v>1952</v>
      </c>
      <c r="H27" s="76"/>
      <c r="I27" s="76"/>
      <c r="J27" s="76"/>
      <c r="K27" s="76"/>
      <c r="L27" s="175"/>
      <c r="M27" s="76">
        <f t="shared" si="2"/>
        <v>2057</v>
      </c>
      <c r="N27" s="197"/>
    </row>
    <row r="28" spans="1:14" s="3" customFormat="1" ht="12.75">
      <c r="A28" s="17" t="s">
        <v>1</v>
      </c>
      <c r="B28" s="15">
        <f>SUM(B19:B27)</f>
        <v>2493</v>
      </c>
      <c r="C28" s="15">
        <f>SUM(C19:C27)</f>
        <v>3764</v>
      </c>
      <c r="D28" s="15">
        <f>SUM(D19:D27)</f>
        <v>6305</v>
      </c>
      <c r="E28" s="15">
        <f>SUM(E19:E27)</f>
        <v>8449</v>
      </c>
      <c r="F28" s="76">
        <f>SUM(F19:F27)</f>
        <v>5973</v>
      </c>
      <c r="G28" s="76">
        <f>SUM(G23:G27)</f>
        <v>3366</v>
      </c>
      <c r="H28" s="76">
        <v>4654</v>
      </c>
      <c r="I28" s="76">
        <v>14516</v>
      </c>
      <c r="J28" s="76"/>
      <c r="K28" s="76"/>
      <c r="L28" s="175"/>
      <c r="M28" s="76">
        <f t="shared" si="2"/>
        <v>49520</v>
      </c>
      <c r="N28" s="200"/>
    </row>
    <row r="29" spans="1:14" s="3" customFormat="1" ht="12.75">
      <c r="A29" s="17" t="s">
        <v>281</v>
      </c>
      <c r="B29" s="132">
        <f>B28*1000</f>
        <v>2493000</v>
      </c>
      <c r="C29" s="132">
        <f aca="true" t="shared" si="3" ref="C29:I29">C28*1000</f>
        <v>3764000</v>
      </c>
      <c r="D29" s="132">
        <f t="shared" si="3"/>
        <v>6305000</v>
      </c>
      <c r="E29" s="132">
        <f t="shared" si="3"/>
        <v>8449000</v>
      </c>
      <c r="F29" s="155">
        <f t="shared" si="3"/>
        <v>5973000</v>
      </c>
      <c r="G29" s="155">
        <f t="shared" si="3"/>
        <v>3366000</v>
      </c>
      <c r="H29" s="155">
        <f t="shared" si="3"/>
        <v>4654000</v>
      </c>
      <c r="I29" s="155">
        <f t="shared" si="3"/>
        <v>14516000</v>
      </c>
      <c r="J29" s="155">
        <v>19623879.93</v>
      </c>
      <c r="K29" s="155">
        <v>16082752.06</v>
      </c>
      <c r="L29" s="157">
        <v>16643930.61</v>
      </c>
      <c r="M29" s="76">
        <f t="shared" si="2"/>
        <v>101870562.60000001</v>
      </c>
      <c r="N29" s="200"/>
    </row>
    <row r="30" spans="1:14" s="3" customFormat="1" ht="12.75">
      <c r="A30" s="23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77"/>
      <c r="M30" s="46"/>
      <c r="N30" s="197"/>
    </row>
    <row r="31" spans="1:14" s="3" customFormat="1" ht="12.75">
      <c r="A31" s="49" t="s">
        <v>5</v>
      </c>
      <c r="B31" s="46"/>
      <c r="C31" s="46"/>
      <c r="D31" s="46"/>
      <c r="E31" s="50"/>
      <c r="F31" s="50"/>
      <c r="G31" s="50"/>
      <c r="H31" s="50"/>
      <c r="I31" s="50"/>
      <c r="J31" s="50"/>
      <c r="K31" s="50"/>
      <c r="L31" s="69"/>
      <c r="M31" s="50"/>
      <c r="N31" s="197"/>
    </row>
    <row r="32" spans="1:14" s="3" customFormat="1" ht="12.75">
      <c r="A32" s="16" t="s">
        <v>50</v>
      </c>
      <c r="B32" s="22"/>
      <c r="C32" s="22"/>
      <c r="D32" s="13">
        <v>25387</v>
      </c>
      <c r="E32" s="13">
        <v>24420</v>
      </c>
      <c r="F32" s="13">
        <v>14708</v>
      </c>
      <c r="G32" s="13">
        <v>9607</v>
      </c>
      <c r="H32" s="13">
        <v>13602</v>
      </c>
      <c r="I32" s="13">
        <v>13691</v>
      </c>
      <c r="J32" s="13">
        <v>7528</v>
      </c>
      <c r="K32" s="13">
        <v>11322</v>
      </c>
      <c r="L32" s="65"/>
      <c r="M32" s="13">
        <f>SUM(B32:L32)</f>
        <v>120265</v>
      </c>
      <c r="N32" s="197"/>
    </row>
    <row r="33" spans="1:14" s="3" customFormat="1" ht="12.75">
      <c r="A33" s="16" t="s">
        <v>53</v>
      </c>
      <c r="B33" s="22"/>
      <c r="C33" s="22"/>
      <c r="D33" s="13"/>
      <c r="E33" s="13">
        <v>3681</v>
      </c>
      <c r="F33" s="13"/>
      <c r="G33" s="13"/>
      <c r="H33" s="13">
        <v>1833</v>
      </c>
      <c r="I33" s="13">
        <v>22761</v>
      </c>
      <c r="J33" s="13">
        <v>25424</v>
      </c>
      <c r="K33" s="13">
        <v>28919</v>
      </c>
      <c r="L33" s="65">
        <v>32202</v>
      </c>
      <c r="M33" s="13">
        <f aca="true" t="shared" si="4" ref="M33:M40">SUM(B33:L33)</f>
        <v>114820</v>
      </c>
      <c r="N33" s="197"/>
    </row>
    <row r="34" spans="1:14" s="3" customFormat="1" ht="12.75">
      <c r="A34" s="16" t="s">
        <v>54</v>
      </c>
      <c r="B34" s="22"/>
      <c r="C34" s="22"/>
      <c r="D34" s="13"/>
      <c r="E34" s="13">
        <v>2169</v>
      </c>
      <c r="F34" s="13"/>
      <c r="G34" s="13"/>
      <c r="H34" s="13"/>
      <c r="I34" s="13"/>
      <c r="J34" s="13"/>
      <c r="K34" s="13"/>
      <c r="L34" s="65"/>
      <c r="M34" s="13">
        <f t="shared" si="4"/>
        <v>2169</v>
      </c>
      <c r="N34" s="197"/>
    </row>
    <row r="35" spans="1:14" s="3" customFormat="1" ht="12.75">
      <c r="A35" s="16" t="s">
        <v>51</v>
      </c>
      <c r="B35" s="13">
        <v>7223</v>
      </c>
      <c r="C35" s="13">
        <v>14678</v>
      </c>
      <c r="D35" s="13">
        <v>8762</v>
      </c>
      <c r="E35" s="13">
        <v>11748</v>
      </c>
      <c r="F35" s="13">
        <v>27870</v>
      </c>
      <c r="G35" s="13">
        <v>19979</v>
      </c>
      <c r="H35" s="13">
        <v>7576</v>
      </c>
      <c r="I35" s="13">
        <v>13464</v>
      </c>
      <c r="J35" s="13">
        <v>5836</v>
      </c>
      <c r="K35" s="13"/>
      <c r="L35" s="65"/>
      <c r="M35" s="13">
        <f t="shared" si="4"/>
        <v>117136</v>
      </c>
      <c r="N35" s="197"/>
    </row>
    <row r="36" spans="1:14" s="3" customFormat="1" ht="12.75">
      <c r="A36" s="21" t="s">
        <v>243</v>
      </c>
      <c r="B36" s="13"/>
      <c r="C36" s="13"/>
      <c r="D36" s="13"/>
      <c r="E36" s="13"/>
      <c r="F36" s="13"/>
      <c r="G36" s="13"/>
      <c r="H36" s="13"/>
      <c r="I36" s="13">
        <v>5380</v>
      </c>
      <c r="J36" s="13">
        <v>8017</v>
      </c>
      <c r="K36" s="13">
        <v>5833</v>
      </c>
      <c r="L36" s="65"/>
      <c r="M36" s="13">
        <f t="shared" si="4"/>
        <v>19230</v>
      </c>
      <c r="N36" s="197"/>
    </row>
    <row r="37" spans="1:14" s="3" customFormat="1" ht="12.75">
      <c r="A37" s="21" t="s">
        <v>268</v>
      </c>
      <c r="B37" s="13"/>
      <c r="C37" s="13"/>
      <c r="D37" s="13"/>
      <c r="E37" s="13"/>
      <c r="F37" s="13"/>
      <c r="G37" s="13"/>
      <c r="H37" s="13"/>
      <c r="I37" s="13"/>
      <c r="J37" s="13"/>
      <c r="K37" s="13">
        <v>16275</v>
      </c>
      <c r="L37" s="65">
        <v>15769</v>
      </c>
      <c r="M37" s="13">
        <f>SUM(B37:L37)</f>
        <v>32044</v>
      </c>
      <c r="N37" s="197"/>
    </row>
    <row r="38" spans="1:14" s="3" customFormat="1" ht="12.75">
      <c r="A38" s="21" t="s">
        <v>335</v>
      </c>
      <c r="B38" s="13"/>
      <c r="C38" s="13"/>
      <c r="D38" s="13"/>
      <c r="E38" s="13"/>
      <c r="F38" s="13"/>
      <c r="G38" s="13"/>
      <c r="H38" s="13"/>
      <c r="I38" s="13"/>
      <c r="J38" s="13"/>
      <c r="K38" s="13">
        <v>42942</v>
      </c>
      <c r="L38" s="65">
        <v>93930</v>
      </c>
      <c r="M38" s="13">
        <f t="shared" si="4"/>
        <v>136872</v>
      </c>
      <c r="N38" s="197"/>
    </row>
    <row r="39" spans="1:14" s="3" customFormat="1" ht="12.75">
      <c r="A39" s="16" t="s">
        <v>94</v>
      </c>
      <c r="B39" s="13"/>
      <c r="C39" s="13"/>
      <c r="D39" s="13"/>
      <c r="E39" s="13"/>
      <c r="F39" s="13"/>
      <c r="G39" s="13">
        <v>3</v>
      </c>
      <c r="H39" s="13"/>
      <c r="I39" s="13"/>
      <c r="J39" s="13"/>
      <c r="K39" s="13"/>
      <c r="L39" s="197"/>
      <c r="M39" s="13">
        <f t="shared" si="4"/>
        <v>3</v>
      </c>
      <c r="N39" s="197"/>
    </row>
    <row r="40" spans="1:14" s="3" customFormat="1" ht="12.75">
      <c r="A40" s="17" t="s">
        <v>1</v>
      </c>
      <c r="B40" s="13">
        <f>SUM(B35)</f>
        <v>7223</v>
      </c>
      <c r="C40" s="13">
        <f>SUM(C35)</f>
        <v>14678</v>
      </c>
      <c r="D40" s="13">
        <f aca="true" t="shared" si="5" ref="D40:I40">SUM(D32:D39)</f>
        <v>34149</v>
      </c>
      <c r="E40" s="13">
        <f t="shared" si="5"/>
        <v>42018</v>
      </c>
      <c r="F40" s="13">
        <f t="shared" si="5"/>
        <v>42578</v>
      </c>
      <c r="G40" s="13">
        <f t="shared" si="5"/>
        <v>29589</v>
      </c>
      <c r="H40" s="13">
        <f t="shared" si="5"/>
        <v>23011</v>
      </c>
      <c r="I40" s="13">
        <f t="shared" si="5"/>
        <v>55296</v>
      </c>
      <c r="J40" s="13">
        <f>SUM(J32:J39)</f>
        <v>46805</v>
      </c>
      <c r="K40" s="13">
        <f>SUM(K32:K39)</f>
        <v>105291</v>
      </c>
      <c r="L40" s="65">
        <f>SUM(L32:L38)</f>
        <v>141901</v>
      </c>
      <c r="M40" s="13">
        <f t="shared" si="4"/>
        <v>542539</v>
      </c>
      <c r="N40" s="197"/>
    </row>
    <row r="41" spans="1:14" s="3" customFormat="1" ht="12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69"/>
      <c r="M41" s="50"/>
      <c r="N41" s="197"/>
    </row>
    <row r="42" spans="1:14" s="3" customFormat="1" ht="12.75">
      <c r="A42" s="16" t="s">
        <v>52</v>
      </c>
      <c r="B42" s="22"/>
      <c r="C42" s="22"/>
      <c r="D42" s="13">
        <v>1496339</v>
      </c>
      <c r="E42" s="13">
        <v>2014151</v>
      </c>
      <c r="F42" s="13">
        <v>1238074</v>
      </c>
      <c r="G42" s="13"/>
      <c r="H42" s="13">
        <v>3162034</v>
      </c>
      <c r="I42" s="13">
        <v>4399641</v>
      </c>
      <c r="J42" s="13">
        <v>6643677</v>
      </c>
      <c r="K42" s="13">
        <v>3986463</v>
      </c>
      <c r="L42" s="65">
        <v>5269102</v>
      </c>
      <c r="M42" s="13">
        <f>SUM(B42:L42)</f>
        <v>28209481</v>
      </c>
      <c r="N42" s="197"/>
    </row>
    <row r="43" spans="1:14" s="3" customFormat="1" ht="12.75">
      <c r="A43" s="23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77"/>
      <c r="M43" s="46"/>
      <c r="N43" s="197"/>
    </row>
    <row r="44" spans="1:14" s="3" customFormat="1" ht="15.75">
      <c r="A44" s="235" t="s">
        <v>25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197"/>
    </row>
    <row r="45" spans="1:14" s="3" customFormat="1" ht="12.75">
      <c r="A45" s="23"/>
      <c r="L45" s="197"/>
      <c r="N45" s="197"/>
    </row>
    <row r="46" spans="1:14" s="3" customFormat="1" ht="12.75">
      <c r="A46" s="49" t="s">
        <v>134</v>
      </c>
      <c r="B46" s="31">
        <v>2001</v>
      </c>
      <c r="C46" s="31">
        <v>2002</v>
      </c>
      <c r="D46" s="31">
        <v>2003</v>
      </c>
      <c r="E46" s="31">
        <v>2004</v>
      </c>
      <c r="F46" s="31">
        <v>2005</v>
      </c>
      <c r="G46" s="31">
        <v>2006</v>
      </c>
      <c r="H46" s="31">
        <v>2007</v>
      </c>
      <c r="I46" s="31">
        <v>2008</v>
      </c>
      <c r="J46" s="31">
        <v>2009</v>
      </c>
      <c r="K46" s="31">
        <v>2010</v>
      </c>
      <c r="L46" s="138">
        <v>2011</v>
      </c>
      <c r="M46" s="31" t="s">
        <v>1</v>
      </c>
      <c r="N46" s="197"/>
    </row>
    <row r="47" spans="1:14" s="3" customFormat="1" ht="12.75">
      <c r="A47" s="23" t="s">
        <v>14</v>
      </c>
      <c r="B47" s="46" t="s">
        <v>8</v>
      </c>
      <c r="C47" s="46" t="s">
        <v>8</v>
      </c>
      <c r="D47" s="46" t="s">
        <v>8</v>
      </c>
      <c r="E47" s="46" t="s">
        <v>8</v>
      </c>
      <c r="F47" s="46" t="s">
        <v>8</v>
      </c>
      <c r="G47" s="46" t="s">
        <v>8</v>
      </c>
      <c r="H47" s="46" t="s">
        <v>8</v>
      </c>
      <c r="I47" s="51" t="s">
        <v>8</v>
      </c>
      <c r="J47" s="51" t="s">
        <v>8</v>
      </c>
      <c r="K47" s="51" t="s">
        <v>8</v>
      </c>
      <c r="L47" s="109" t="s">
        <v>8</v>
      </c>
      <c r="M47" s="46" t="s">
        <v>8</v>
      </c>
      <c r="N47" s="197"/>
    </row>
    <row r="48" spans="1:14" s="3" customFormat="1" ht="12.75">
      <c r="A48" s="16" t="s">
        <v>213</v>
      </c>
      <c r="B48" s="13">
        <v>0</v>
      </c>
      <c r="C48" s="13">
        <v>0</v>
      </c>
      <c r="D48" s="13">
        <v>61630</v>
      </c>
      <c r="E48" s="13">
        <v>95947</v>
      </c>
      <c r="F48" s="13">
        <v>62588</v>
      </c>
      <c r="G48" s="65">
        <v>0</v>
      </c>
      <c r="H48" s="65">
        <v>106450</v>
      </c>
      <c r="I48" s="65">
        <v>213772</v>
      </c>
      <c r="J48" s="65">
        <v>338254</v>
      </c>
      <c r="K48" s="65">
        <v>166233.2</v>
      </c>
      <c r="L48" s="65">
        <v>218398</v>
      </c>
      <c r="M48" s="13">
        <f aca="true" t="shared" si="6" ref="M48:M55">SUM(B48:L48)</f>
        <v>1263272.2</v>
      </c>
      <c r="N48" s="197"/>
    </row>
    <row r="49" spans="1:14" s="3" customFormat="1" ht="12.75">
      <c r="A49" s="16" t="s">
        <v>49</v>
      </c>
      <c r="B49" s="13">
        <v>0</v>
      </c>
      <c r="C49" s="13">
        <v>0</v>
      </c>
      <c r="D49" s="13">
        <v>1432</v>
      </c>
      <c r="E49" s="13">
        <v>1377</v>
      </c>
      <c r="F49" s="13">
        <v>921</v>
      </c>
      <c r="G49" s="65">
        <v>542</v>
      </c>
      <c r="H49" s="65">
        <v>767</v>
      </c>
      <c r="I49" s="65">
        <v>772</v>
      </c>
      <c r="J49" s="65">
        <v>425</v>
      </c>
      <c r="K49" s="65">
        <v>639</v>
      </c>
      <c r="L49" s="65">
        <v>13</v>
      </c>
      <c r="M49" s="13">
        <f t="shared" si="6"/>
        <v>6888</v>
      </c>
      <c r="N49" s="197"/>
    </row>
    <row r="50" spans="1:14" s="3" customFormat="1" ht="12.75">
      <c r="A50" s="21" t="s">
        <v>244</v>
      </c>
      <c r="B50" s="13"/>
      <c r="C50" s="13"/>
      <c r="D50" s="13"/>
      <c r="E50" s="13"/>
      <c r="F50" s="13"/>
      <c r="G50" s="65"/>
      <c r="H50" s="65"/>
      <c r="I50" s="65">
        <v>2837</v>
      </c>
      <c r="J50" s="65">
        <v>3248</v>
      </c>
      <c r="K50" s="65">
        <v>3749</v>
      </c>
      <c r="L50" s="65">
        <f>3106.5+9.9+642.4</f>
        <v>3758.8</v>
      </c>
      <c r="M50" s="13">
        <f t="shared" si="6"/>
        <v>13592.8</v>
      </c>
      <c r="N50" s="197"/>
    </row>
    <row r="51" spans="1:14" s="3" customFormat="1" ht="12.75">
      <c r="A51" s="21" t="s">
        <v>243</v>
      </c>
      <c r="B51" s="13"/>
      <c r="C51" s="13"/>
      <c r="D51" s="13"/>
      <c r="E51" s="13"/>
      <c r="F51" s="13"/>
      <c r="G51" s="65"/>
      <c r="H51" s="65"/>
      <c r="I51" s="65">
        <v>382</v>
      </c>
      <c r="J51" s="65">
        <v>569</v>
      </c>
      <c r="K51" s="65">
        <v>414</v>
      </c>
      <c r="L51" s="65">
        <v>28</v>
      </c>
      <c r="M51" s="13">
        <f t="shared" si="6"/>
        <v>1393</v>
      </c>
      <c r="N51" s="197"/>
    </row>
    <row r="52" spans="1:14" s="3" customFormat="1" ht="12.75">
      <c r="A52" s="21" t="s">
        <v>268</v>
      </c>
      <c r="B52" s="13"/>
      <c r="C52" s="13"/>
      <c r="D52" s="13"/>
      <c r="E52" s="13"/>
      <c r="F52" s="13"/>
      <c r="G52" s="65"/>
      <c r="H52" s="65"/>
      <c r="I52" s="65"/>
      <c r="J52" s="65">
        <v>5540</v>
      </c>
      <c r="K52" s="65">
        <v>15400.6</v>
      </c>
      <c r="L52" s="65">
        <v>15560.9</v>
      </c>
      <c r="M52" s="13">
        <f t="shared" si="6"/>
        <v>36501.5</v>
      </c>
      <c r="N52" s="170"/>
    </row>
    <row r="53" spans="1:14" s="3" customFormat="1" ht="12.75">
      <c r="A53" s="21" t="s">
        <v>335</v>
      </c>
      <c r="B53" s="13"/>
      <c r="C53" s="13"/>
      <c r="D53" s="13"/>
      <c r="E53" s="13"/>
      <c r="F53" s="13"/>
      <c r="G53" s="65"/>
      <c r="H53" s="65"/>
      <c r="I53" s="65"/>
      <c r="J53" s="65"/>
      <c r="K53" s="65">
        <v>4707</v>
      </c>
      <c r="L53" s="65">
        <v>8829.4</v>
      </c>
      <c r="M53" s="13">
        <f t="shared" si="6"/>
        <v>13536.4</v>
      </c>
      <c r="N53" s="170"/>
    </row>
    <row r="54" spans="1:14" s="3" customFormat="1" ht="12.75">
      <c r="A54" s="21" t="s">
        <v>391</v>
      </c>
      <c r="B54" s="13"/>
      <c r="C54" s="13"/>
      <c r="D54" s="13"/>
      <c r="E54" s="13"/>
      <c r="F54" s="13"/>
      <c r="G54" s="65"/>
      <c r="H54" s="65"/>
      <c r="I54" s="65"/>
      <c r="J54" s="65"/>
      <c r="K54" s="65"/>
      <c r="L54" s="65">
        <v>515.9</v>
      </c>
      <c r="M54" s="13">
        <f t="shared" si="6"/>
        <v>515.9</v>
      </c>
      <c r="N54" s="170"/>
    </row>
    <row r="55" spans="1:14" s="3" customFormat="1" ht="12.75">
      <c r="A55" s="21" t="s">
        <v>392</v>
      </c>
      <c r="B55" s="13"/>
      <c r="C55" s="13"/>
      <c r="D55" s="13"/>
      <c r="E55" s="13"/>
      <c r="F55" s="13"/>
      <c r="G55" s="65"/>
      <c r="H55" s="65"/>
      <c r="I55" s="65"/>
      <c r="J55" s="65"/>
      <c r="K55" s="65"/>
      <c r="L55" s="65">
        <v>118.1</v>
      </c>
      <c r="M55" s="13">
        <f t="shared" si="6"/>
        <v>118.1</v>
      </c>
      <c r="N55" s="170"/>
    </row>
    <row r="56" spans="1:14" s="3" customFormat="1" ht="12.75">
      <c r="A56" s="17" t="s">
        <v>1</v>
      </c>
      <c r="B56" s="13">
        <f>SUM(B48:B51)</f>
        <v>0</v>
      </c>
      <c r="C56" s="13">
        <f>SUM(C48:C51)</f>
        <v>0</v>
      </c>
      <c r="D56" s="13">
        <f>SUM(D48:D51)</f>
        <v>63062</v>
      </c>
      <c r="E56" s="13">
        <f>SUM(E48:E51)</f>
        <v>97324</v>
      </c>
      <c r="F56" s="65">
        <f aca="true" t="shared" si="7" ref="F56:K56">SUM(F48:F55)</f>
        <v>63509</v>
      </c>
      <c r="G56" s="65">
        <f t="shared" si="7"/>
        <v>542</v>
      </c>
      <c r="H56" s="65">
        <f t="shared" si="7"/>
        <v>107217</v>
      </c>
      <c r="I56" s="65">
        <f t="shared" si="7"/>
        <v>217763</v>
      </c>
      <c r="J56" s="65">
        <f t="shared" si="7"/>
        <v>348036</v>
      </c>
      <c r="K56" s="65">
        <f t="shared" si="7"/>
        <v>191142.80000000002</v>
      </c>
      <c r="L56" s="65">
        <f>SUM(L48:L55)</f>
        <v>247222.09999999998</v>
      </c>
      <c r="M56" s="65">
        <f>SUM(M48:M55)</f>
        <v>1335817.9</v>
      </c>
      <c r="N56" s="170"/>
    </row>
    <row r="57" spans="1:14" s="3" customFormat="1" ht="12.75">
      <c r="A57" s="23"/>
      <c r="B57" s="46"/>
      <c r="C57" s="46"/>
      <c r="D57" s="50"/>
      <c r="E57" s="50"/>
      <c r="F57" s="50"/>
      <c r="G57" s="69"/>
      <c r="H57" s="69"/>
      <c r="I57" s="69"/>
      <c r="J57" s="69"/>
      <c r="K57" s="69"/>
      <c r="L57" s="69"/>
      <c r="M57" s="50"/>
      <c r="N57" s="197"/>
    </row>
    <row r="58" spans="1:14" s="3" customFormat="1" ht="12.75">
      <c r="A58" s="23" t="s">
        <v>10</v>
      </c>
      <c r="B58" s="46" t="s">
        <v>8</v>
      </c>
      <c r="C58" s="46" t="s">
        <v>8</v>
      </c>
      <c r="D58" s="46" t="s">
        <v>8</v>
      </c>
      <c r="E58" s="46" t="s">
        <v>8</v>
      </c>
      <c r="F58" s="46" t="s">
        <v>8</v>
      </c>
      <c r="G58" s="77" t="s">
        <v>8</v>
      </c>
      <c r="H58" s="46" t="s">
        <v>8</v>
      </c>
      <c r="I58" s="51" t="s">
        <v>8</v>
      </c>
      <c r="J58" s="51" t="s">
        <v>8</v>
      </c>
      <c r="K58" s="51" t="s">
        <v>8</v>
      </c>
      <c r="L58" s="109" t="s">
        <v>8</v>
      </c>
      <c r="M58" s="46" t="s">
        <v>8</v>
      </c>
      <c r="N58" s="197"/>
    </row>
    <row r="59" spans="1:14" s="3" customFormat="1" ht="12.75">
      <c r="A59" s="16" t="s">
        <v>213</v>
      </c>
      <c r="B59" s="13">
        <v>0</v>
      </c>
      <c r="C59" s="13">
        <v>0</v>
      </c>
      <c r="D59" s="13">
        <v>359018</v>
      </c>
      <c r="E59" s="13">
        <v>790151</v>
      </c>
      <c r="F59" s="13">
        <v>528787</v>
      </c>
      <c r="G59" s="65">
        <v>0</v>
      </c>
      <c r="H59" s="65">
        <v>742908</v>
      </c>
      <c r="I59" s="65">
        <v>1368138</v>
      </c>
      <c r="J59" s="65">
        <v>2217915</v>
      </c>
      <c r="K59" s="65">
        <v>1131306</v>
      </c>
      <c r="L59" s="65">
        <v>1461053.1</v>
      </c>
      <c r="M59" s="13">
        <f aca="true" t="shared" si="8" ref="M59:M66">SUM(B59:L59)</f>
        <v>8599276.1</v>
      </c>
      <c r="N59" s="197"/>
    </row>
    <row r="60" spans="1:14" s="3" customFormat="1" ht="12.75">
      <c r="A60" s="16" t="s">
        <v>49</v>
      </c>
      <c r="B60" s="13">
        <v>0</v>
      </c>
      <c r="C60" s="13">
        <v>0</v>
      </c>
      <c r="D60" s="13">
        <v>14318</v>
      </c>
      <c r="E60" s="13">
        <v>13773</v>
      </c>
      <c r="F60" s="65">
        <v>9208</v>
      </c>
      <c r="G60" s="65">
        <v>5418</v>
      </c>
      <c r="H60" s="65">
        <v>7672</v>
      </c>
      <c r="I60" s="65">
        <v>7722</v>
      </c>
      <c r="J60" s="65">
        <v>4246</v>
      </c>
      <c r="K60" s="65">
        <v>6386</v>
      </c>
      <c r="L60" s="65">
        <v>129.7</v>
      </c>
      <c r="M60" s="13">
        <f t="shared" si="8"/>
        <v>68872.7</v>
      </c>
      <c r="N60" s="197"/>
    </row>
    <row r="61" spans="1:14" s="3" customFormat="1" ht="12.75">
      <c r="A61" s="16" t="s">
        <v>53</v>
      </c>
      <c r="B61" s="22"/>
      <c r="C61" s="22"/>
      <c r="D61" s="22"/>
      <c r="E61" s="22"/>
      <c r="F61" s="22"/>
      <c r="G61" s="22"/>
      <c r="H61" s="22"/>
      <c r="I61" s="13">
        <v>42549</v>
      </c>
      <c r="J61" s="13">
        <v>64961</v>
      </c>
      <c r="K61" s="13">
        <v>74979</v>
      </c>
      <c r="L61" s="65">
        <f>62130.4+12848.6+197.9</f>
        <v>75176.9</v>
      </c>
      <c r="M61" s="13">
        <f t="shared" si="8"/>
        <v>257665.9</v>
      </c>
      <c r="N61" s="197"/>
    </row>
    <row r="62" spans="1:14" s="3" customFormat="1" ht="12.75">
      <c r="A62" s="21" t="s">
        <v>243</v>
      </c>
      <c r="B62" s="13"/>
      <c r="C62" s="13"/>
      <c r="D62" s="13"/>
      <c r="E62" s="13"/>
      <c r="F62" s="13"/>
      <c r="G62" s="65"/>
      <c r="H62" s="65"/>
      <c r="I62" s="65">
        <v>3820</v>
      </c>
      <c r="J62" s="65">
        <v>6261</v>
      </c>
      <c r="K62" s="65">
        <v>4554</v>
      </c>
      <c r="L62" s="65">
        <v>307.7</v>
      </c>
      <c r="M62" s="13">
        <f t="shared" si="8"/>
        <v>14942.7</v>
      </c>
      <c r="N62" s="197"/>
    </row>
    <row r="63" spans="1:14" s="3" customFormat="1" ht="12.75">
      <c r="A63" s="21" t="s">
        <v>268</v>
      </c>
      <c r="B63" s="13"/>
      <c r="C63" s="13"/>
      <c r="D63" s="13"/>
      <c r="E63" s="13"/>
      <c r="F63" s="13"/>
      <c r="G63" s="65"/>
      <c r="H63" s="65"/>
      <c r="I63" s="65"/>
      <c r="J63" s="65">
        <v>44319</v>
      </c>
      <c r="K63" s="65">
        <v>123909.4</v>
      </c>
      <c r="L63" s="65">
        <v>124487.2</v>
      </c>
      <c r="M63" s="13">
        <f t="shared" si="8"/>
        <v>292715.6</v>
      </c>
      <c r="N63" s="170"/>
    </row>
    <row r="64" spans="1:14" s="3" customFormat="1" ht="12.75">
      <c r="A64" s="21" t="s">
        <v>335</v>
      </c>
      <c r="B64" s="13"/>
      <c r="C64" s="13"/>
      <c r="D64" s="13"/>
      <c r="E64" s="13"/>
      <c r="F64" s="13"/>
      <c r="G64" s="65"/>
      <c r="H64" s="65"/>
      <c r="I64" s="65"/>
      <c r="J64" s="65"/>
      <c r="K64" s="65">
        <v>30564.8</v>
      </c>
      <c r="L64" s="65">
        <v>35317.7</v>
      </c>
      <c r="M64" s="13">
        <f t="shared" si="8"/>
        <v>65882.5</v>
      </c>
      <c r="N64" s="170"/>
    </row>
    <row r="65" spans="1:14" s="3" customFormat="1" ht="12.75">
      <c r="A65" s="21" t="s">
        <v>391</v>
      </c>
      <c r="B65" s="13"/>
      <c r="C65" s="13"/>
      <c r="D65" s="13"/>
      <c r="E65" s="13"/>
      <c r="F65" s="13"/>
      <c r="G65" s="65"/>
      <c r="H65" s="65"/>
      <c r="I65" s="65"/>
      <c r="J65" s="65"/>
      <c r="K65" s="65"/>
      <c r="L65" s="65">
        <v>8769.9</v>
      </c>
      <c r="M65" s="13">
        <f t="shared" si="8"/>
        <v>8769.9</v>
      </c>
      <c r="N65" s="170"/>
    </row>
    <row r="66" spans="1:14" s="3" customFormat="1" ht="12.75">
      <c r="A66" s="21" t="s">
        <v>392</v>
      </c>
      <c r="B66" s="13"/>
      <c r="C66" s="13"/>
      <c r="D66" s="13"/>
      <c r="E66" s="13"/>
      <c r="F66" s="13"/>
      <c r="G66" s="65"/>
      <c r="H66" s="65"/>
      <c r="I66" s="65"/>
      <c r="J66" s="65"/>
      <c r="K66" s="65"/>
      <c r="L66" s="65">
        <v>1535.1</v>
      </c>
      <c r="M66" s="13">
        <f t="shared" si="8"/>
        <v>1535.1</v>
      </c>
      <c r="N66" s="170"/>
    </row>
    <row r="67" spans="1:14" s="3" customFormat="1" ht="12.75">
      <c r="A67" s="17" t="s">
        <v>1</v>
      </c>
      <c r="B67" s="13">
        <f>SUM(B59:B62)</f>
        <v>0</v>
      </c>
      <c r="C67" s="13">
        <f>SUM(C59:C62)</f>
        <v>0</v>
      </c>
      <c r="D67" s="13">
        <f>SUM(D59:D62)</f>
        <v>373336</v>
      </c>
      <c r="E67" s="13">
        <f>SUM(E59:E62)</f>
        <v>803924</v>
      </c>
      <c r="F67" s="13">
        <f>SUM(F59:F66)</f>
        <v>537995</v>
      </c>
      <c r="G67" s="13">
        <f aca="true" t="shared" si="9" ref="G67:M67">SUM(G59:G66)</f>
        <v>5418</v>
      </c>
      <c r="H67" s="13">
        <f t="shared" si="9"/>
        <v>750580</v>
      </c>
      <c r="I67" s="13">
        <f t="shared" si="9"/>
        <v>1422229</v>
      </c>
      <c r="J67" s="13">
        <f t="shared" si="9"/>
        <v>2337702</v>
      </c>
      <c r="K67" s="13">
        <f t="shared" si="9"/>
        <v>1371699.2</v>
      </c>
      <c r="L67" s="13">
        <f t="shared" si="9"/>
        <v>1706777.2999999998</v>
      </c>
      <c r="M67" s="13">
        <f t="shared" si="9"/>
        <v>9309660.499999998</v>
      </c>
      <c r="N67" s="79"/>
    </row>
    <row r="68" spans="1:14" s="3" customFormat="1" ht="12.75">
      <c r="A68" s="23"/>
      <c r="B68" s="46"/>
      <c r="C68" s="46"/>
      <c r="D68" s="50"/>
      <c r="E68" s="50"/>
      <c r="F68" s="50"/>
      <c r="G68" s="69"/>
      <c r="H68" s="69"/>
      <c r="I68" s="69"/>
      <c r="J68" s="69"/>
      <c r="K68" s="69"/>
      <c r="L68" s="69"/>
      <c r="M68" s="50"/>
      <c r="N68" s="197"/>
    </row>
    <row r="69" spans="1:14" s="3" customFormat="1" ht="12.75">
      <c r="A69" s="23" t="s">
        <v>36</v>
      </c>
      <c r="B69" s="46" t="s">
        <v>11</v>
      </c>
      <c r="C69" s="46" t="s">
        <v>11</v>
      </c>
      <c r="D69" s="46" t="s">
        <v>11</v>
      </c>
      <c r="E69" s="46" t="s">
        <v>11</v>
      </c>
      <c r="F69" s="46" t="s">
        <v>11</v>
      </c>
      <c r="G69" s="77" t="s">
        <v>11</v>
      </c>
      <c r="H69" s="77" t="s">
        <v>11</v>
      </c>
      <c r="I69" s="109" t="s">
        <v>11</v>
      </c>
      <c r="J69" s="109" t="s">
        <v>11</v>
      </c>
      <c r="K69" s="109" t="s">
        <v>11</v>
      </c>
      <c r="L69" s="109" t="s">
        <v>11</v>
      </c>
      <c r="M69" s="46" t="s">
        <v>11</v>
      </c>
      <c r="N69" s="197"/>
    </row>
    <row r="70" spans="1:14" s="3" customFormat="1" ht="12.75">
      <c r="A70" s="16" t="s">
        <v>213</v>
      </c>
      <c r="B70" s="22">
        <v>0</v>
      </c>
      <c r="C70" s="22">
        <v>0</v>
      </c>
      <c r="D70" s="13">
        <v>3587</v>
      </c>
      <c r="E70" s="13">
        <v>5089</v>
      </c>
      <c r="F70" s="13">
        <v>3222</v>
      </c>
      <c r="G70" s="65">
        <v>0</v>
      </c>
      <c r="H70" s="65">
        <v>5792</v>
      </c>
      <c r="I70" s="65">
        <v>10752</v>
      </c>
      <c r="J70" s="65">
        <v>16252</v>
      </c>
      <c r="K70" s="65">
        <v>19190.4</v>
      </c>
      <c r="L70" s="65">
        <v>25435.7</v>
      </c>
      <c r="M70" s="13">
        <f aca="true" t="shared" si="10" ref="M70:M77">SUM(B70:L70)</f>
        <v>89320.1</v>
      </c>
      <c r="N70" s="197"/>
    </row>
    <row r="71" spans="1:14" s="3" customFormat="1" ht="12.75">
      <c r="A71" s="16" t="s">
        <v>49</v>
      </c>
      <c r="B71" s="22">
        <v>0</v>
      </c>
      <c r="C71" s="22">
        <v>0</v>
      </c>
      <c r="D71" s="13">
        <v>1499</v>
      </c>
      <c r="E71" s="13">
        <v>1441</v>
      </c>
      <c r="F71" s="13">
        <v>1662</v>
      </c>
      <c r="G71" s="65">
        <v>567</v>
      </c>
      <c r="H71" s="65">
        <v>803</v>
      </c>
      <c r="I71" s="65">
        <v>808</v>
      </c>
      <c r="J71" s="65">
        <v>444</v>
      </c>
      <c r="K71" s="65">
        <v>668</v>
      </c>
      <c r="L71" s="65">
        <v>13.6</v>
      </c>
      <c r="M71" s="13">
        <f t="shared" si="10"/>
        <v>7905.6</v>
      </c>
      <c r="N71" s="197"/>
    </row>
    <row r="72" spans="1:14" s="3" customFormat="1" ht="12.75">
      <c r="A72" s="16" t="s">
        <v>53</v>
      </c>
      <c r="B72" s="22"/>
      <c r="C72" s="22"/>
      <c r="D72" s="13"/>
      <c r="E72" s="13"/>
      <c r="F72" s="13"/>
      <c r="G72" s="65"/>
      <c r="H72" s="65"/>
      <c r="I72" s="65">
        <v>377</v>
      </c>
      <c r="J72" s="65">
        <v>431</v>
      </c>
      <c r="K72" s="65">
        <v>497</v>
      </c>
      <c r="L72" s="65">
        <f>411.7+85.5+1.2</f>
        <v>498.4</v>
      </c>
      <c r="M72" s="13">
        <f t="shared" si="10"/>
        <v>1803.4</v>
      </c>
      <c r="N72" s="197"/>
    </row>
    <row r="73" spans="1:14" s="3" customFormat="1" ht="12.75">
      <c r="A73" s="21" t="s">
        <v>243</v>
      </c>
      <c r="B73" s="22"/>
      <c r="C73" s="22"/>
      <c r="D73" s="22"/>
      <c r="E73" s="22"/>
      <c r="F73" s="22"/>
      <c r="G73" s="22"/>
      <c r="H73" s="22"/>
      <c r="I73" s="22">
        <v>53</v>
      </c>
      <c r="J73" s="22">
        <v>79</v>
      </c>
      <c r="K73" s="22">
        <v>57</v>
      </c>
      <c r="L73" s="186">
        <v>3.9</v>
      </c>
      <c r="M73" s="13">
        <f t="shared" si="10"/>
        <v>192.9</v>
      </c>
      <c r="N73" s="197"/>
    </row>
    <row r="74" spans="1:14" s="3" customFormat="1" ht="12.75">
      <c r="A74" s="21" t="s">
        <v>268</v>
      </c>
      <c r="B74" s="22"/>
      <c r="C74" s="22"/>
      <c r="D74" s="22"/>
      <c r="E74" s="22"/>
      <c r="F74" s="22"/>
      <c r="G74" s="22"/>
      <c r="H74" s="22"/>
      <c r="I74" s="22"/>
      <c r="J74" s="22">
        <v>1385</v>
      </c>
      <c r="K74" s="22">
        <v>3748.3</v>
      </c>
      <c r="L74" s="186">
        <v>3765.8</v>
      </c>
      <c r="M74" s="13">
        <f t="shared" si="10"/>
        <v>8899.1</v>
      </c>
      <c r="N74" s="170"/>
    </row>
    <row r="75" spans="1:14" s="3" customFormat="1" ht="12.75">
      <c r="A75" s="21" t="s">
        <v>335</v>
      </c>
      <c r="B75" s="22"/>
      <c r="C75" s="22"/>
      <c r="D75" s="22"/>
      <c r="E75" s="22"/>
      <c r="F75" s="22"/>
      <c r="G75" s="22"/>
      <c r="H75" s="22"/>
      <c r="I75" s="22"/>
      <c r="J75" s="22"/>
      <c r="K75" s="22">
        <v>526.9</v>
      </c>
      <c r="L75" s="186">
        <v>1005.1</v>
      </c>
      <c r="M75" s="13">
        <f t="shared" si="10"/>
        <v>1532</v>
      </c>
      <c r="N75" s="170"/>
    </row>
    <row r="76" spans="1:14" s="3" customFormat="1" ht="12.75">
      <c r="A76" s="21" t="s">
        <v>391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186">
        <v>60.2</v>
      </c>
      <c r="M76" s="13">
        <f t="shared" si="10"/>
        <v>60.2</v>
      </c>
      <c r="N76" s="170"/>
    </row>
    <row r="77" spans="1:14" s="3" customFormat="1" ht="12.75">
      <c r="A77" s="21" t="s">
        <v>392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186">
        <v>32.1</v>
      </c>
      <c r="M77" s="13">
        <f t="shared" si="10"/>
        <v>32.1</v>
      </c>
      <c r="N77" s="170"/>
    </row>
    <row r="78" spans="1:14" s="3" customFormat="1" ht="12.75">
      <c r="A78" s="17" t="s">
        <v>1</v>
      </c>
      <c r="B78" s="22">
        <f>SUM(B70:B73)</f>
        <v>0</v>
      </c>
      <c r="C78" s="13">
        <f>SUM(C70:C73)</f>
        <v>0</v>
      </c>
      <c r="D78" s="13">
        <f>SUM(D70:D73)</f>
        <v>5086</v>
      </c>
      <c r="E78" s="13">
        <f>SUM(E70:E73)</f>
        <v>6530</v>
      </c>
      <c r="F78" s="13">
        <f>SUM(F70:F77)</f>
        <v>4884</v>
      </c>
      <c r="G78" s="13">
        <f aca="true" t="shared" si="11" ref="G78:M78">SUM(G70:G77)</f>
        <v>567</v>
      </c>
      <c r="H78" s="13">
        <f t="shared" si="11"/>
        <v>6595</v>
      </c>
      <c r="I78" s="13">
        <f t="shared" si="11"/>
        <v>11990</v>
      </c>
      <c r="J78" s="13">
        <f t="shared" si="11"/>
        <v>18591</v>
      </c>
      <c r="K78" s="13">
        <f t="shared" si="11"/>
        <v>24687.600000000002</v>
      </c>
      <c r="L78" s="13">
        <f t="shared" si="11"/>
        <v>30814.8</v>
      </c>
      <c r="M78" s="13">
        <f t="shared" si="11"/>
        <v>109745.40000000001</v>
      </c>
      <c r="N78" s="197"/>
    </row>
    <row r="79" spans="1:14" s="3" customFormat="1" ht="12.75">
      <c r="A79" s="5"/>
      <c r="L79" s="197"/>
      <c r="N79" s="197"/>
    </row>
    <row r="80" spans="1:14" s="3" customFormat="1" ht="12.75">
      <c r="A80" s="49" t="s">
        <v>194</v>
      </c>
      <c r="B80" s="31">
        <v>2001</v>
      </c>
      <c r="C80" s="31">
        <v>2002</v>
      </c>
      <c r="D80" s="31">
        <v>2003</v>
      </c>
      <c r="E80" s="31">
        <v>2004</v>
      </c>
      <c r="F80" s="31">
        <v>2005</v>
      </c>
      <c r="G80" s="31">
        <v>2006</v>
      </c>
      <c r="H80" s="31">
        <v>2007</v>
      </c>
      <c r="I80" s="31">
        <v>2008</v>
      </c>
      <c r="J80" s="31">
        <v>2009</v>
      </c>
      <c r="K80" s="31">
        <v>2010</v>
      </c>
      <c r="L80" s="138"/>
      <c r="M80" s="31" t="s">
        <v>1</v>
      </c>
      <c r="N80" s="197"/>
    </row>
    <row r="81" spans="1:14" s="3" customFormat="1" ht="12.75">
      <c r="A81" s="23" t="s">
        <v>14</v>
      </c>
      <c r="B81" s="46" t="s">
        <v>13</v>
      </c>
      <c r="C81" s="46" t="s">
        <v>13</v>
      </c>
      <c r="D81" s="46" t="s">
        <v>13</v>
      </c>
      <c r="E81" s="46" t="s">
        <v>13</v>
      </c>
      <c r="F81" s="46" t="s">
        <v>13</v>
      </c>
      <c r="G81" s="46" t="s">
        <v>13</v>
      </c>
      <c r="H81" s="46" t="s">
        <v>13</v>
      </c>
      <c r="I81" s="46" t="s">
        <v>13</v>
      </c>
      <c r="J81" s="46" t="s">
        <v>13</v>
      </c>
      <c r="K81" s="46" t="s">
        <v>13</v>
      </c>
      <c r="L81" s="77" t="s">
        <v>13</v>
      </c>
      <c r="M81" s="46" t="s">
        <v>13</v>
      </c>
      <c r="N81" s="197"/>
    </row>
    <row r="82" spans="1:14" s="3" customFormat="1" ht="12.75">
      <c r="A82" s="16" t="s">
        <v>213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65">
        <v>0</v>
      </c>
      <c r="H82" s="65">
        <v>1943</v>
      </c>
      <c r="I82" s="65"/>
      <c r="J82" s="65"/>
      <c r="K82" s="65"/>
      <c r="L82" s="65"/>
      <c r="M82" s="13">
        <f>SUM(B82:L82)</f>
        <v>1943</v>
      </c>
      <c r="N82" s="197"/>
    </row>
    <row r="83" spans="1:14" ht="12.75">
      <c r="A83" s="16" t="s">
        <v>53</v>
      </c>
      <c r="B83" s="13"/>
      <c r="C83" s="13"/>
      <c r="D83" s="13"/>
      <c r="E83" s="13"/>
      <c r="F83" s="13"/>
      <c r="G83" s="65"/>
      <c r="H83" s="65"/>
      <c r="I83" s="65">
        <v>20006</v>
      </c>
      <c r="J83" s="65">
        <v>22843</v>
      </c>
      <c r="K83" s="65">
        <v>26540</v>
      </c>
      <c r="L83" s="65">
        <v>26705</v>
      </c>
      <c r="M83" s="13">
        <f>SUM(B83:L83)</f>
        <v>96094</v>
      </c>
      <c r="N83" s="183"/>
    </row>
    <row r="84" spans="1:13" ht="12.75">
      <c r="A84" s="21" t="s">
        <v>392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65">
        <v>350.6</v>
      </c>
      <c r="M84" s="13">
        <f>SUM(B84:L84)</f>
        <v>350.6</v>
      </c>
    </row>
    <row r="85" spans="1:13" ht="12.75">
      <c r="A85" s="17" t="s">
        <v>1</v>
      </c>
      <c r="B85" s="13">
        <f aca="true" t="shared" si="12" ref="B85:L85">SUM(B82:B84)</f>
        <v>0</v>
      </c>
      <c r="C85" s="13">
        <f t="shared" si="12"/>
        <v>0</v>
      </c>
      <c r="D85" s="13">
        <f t="shared" si="12"/>
        <v>0</v>
      </c>
      <c r="E85" s="13">
        <f t="shared" si="12"/>
        <v>0</v>
      </c>
      <c r="F85" s="13">
        <f t="shared" si="12"/>
        <v>0</v>
      </c>
      <c r="G85" s="13">
        <f t="shared" si="12"/>
        <v>0</v>
      </c>
      <c r="H85" s="13">
        <f t="shared" si="12"/>
        <v>1943</v>
      </c>
      <c r="I85" s="13">
        <f t="shared" si="12"/>
        <v>20006</v>
      </c>
      <c r="J85" s="13">
        <f t="shared" si="12"/>
        <v>22843</v>
      </c>
      <c r="K85" s="13">
        <f t="shared" si="12"/>
        <v>26540</v>
      </c>
      <c r="L85" s="65">
        <f t="shared" si="12"/>
        <v>27055.6</v>
      </c>
      <c r="M85" s="13">
        <f>SUM(B85:L85)</f>
        <v>98387.6</v>
      </c>
    </row>
    <row r="86" spans="1:13" ht="12.75">
      <c r="A86" s="23"/>
      <c r="B86" s="46"/>
      <c r="C86" s="46"/>
      <c r="D86" s="50"/>
      <c r="E86" s="50"/>
      <c r="F86" s="50"/>
      <c r="G86" s="69"/>
      <c r="H86" s="69"/>
      <c r="I86" s="69"/>
      <c r="M86" s="50"/>
    </row>
    <row r="87" spans="1:13" ht="12.75">
      <c r="A87" s="23" t="s">
        <v>10</v>
      </c>
      <c r="B87" s="46" t="s">
        <v>13</v>
      </c>
      <c r="C87" s="46" t="s">
        <v>13</v>
      </c>
      <c r="D87" s="46" t="s">
        <v>13</v>
      </c>
      <c r="E87" s="46" t="s">
        <v>13</v>
      </c>
      <c r="F87" s="46" t="s">
        <v>13</v>
      </c>
      <c r="G87" s="46" t="s">
        <v>13</v>
      </c>
      <c r="H87" s="46" t="s">
        <v>13</v>
      </c>
      <c r="I87" s="46" t="s">
        <v>13</v>
      </c>
      <c r="J87" s="46" t="s">
        <v>13</v>
      </c>
      <c r="K87" s="46" t="s">
        <v>13</v>
      </c>
      <c r="L87" s="77" t="s">
        <v>13</v>
      </c>
      <c r="M87" s="46" t="s">
        <v>13</v>
      </c>
    </row>
    <row r="88" spans="1:13" ht="12.75">
      <c r="A88" s="16" t="s">
        <v>213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65">
        <v>0</v>
      </c>
      <c r="H88" s="65">
        <v>19430</v>
      </c>
      <c r="I88" s="65"/>
      <c r="J88" s="65"/>
      <c r="K88" s="65"/>
      <c r="L88" s="65"/>
      <c r="M88" s="13">
        <f>SUM(B88:L88)</f>
        <v>19430</v>
      </c>
    </row>
    <row r="89" spans="1:14" ht="12.75">
      <c r="A89" s="16" t="s">
        <v>53</v>
      </c>
      <c r="B89" s="13"/>
      <c r="C89" s="13"/>
      <c r="D89" s="13"/>
      <c r="E89" s="13"/>
      <c r="F89" s="65"/>
      <c r="G89" s="65"/>
      <c r="H89" s="65"/>
      <c r="I89" s="65">
        <v>300087</v>
      </c>
      <c r="J89" s="65">
        <v>456858</v>
      </c>
      <c r="K89" s="65">
        <v>530793</v>
      </c>
      <c r="L89" s="65">
        <v>534107</v>
      </c>
      <c r="M89" s="13">
        <f>SUM(B89:L89)</f>
        <v>1821845</v>
      </c>
      <c r="N89" s="183"/>
    </row>
    <row r="90" spans="1:13" ht="12.75">
      <c r="A90" s="21" t="s">
        <v>392</v>
      </c>
      <c r="B90" s="13"/>
      <c r="C90" s="13"/>
      <c r="D90" s="13"/>
      <c r="E90" s="13"/>
      <c r="F90" s="65"/>
      <c r="G90" s="65"/>
      <c r="H90" s="65"/>
      <c r="I90" s="65"/>
      <c r="J90" s="65"/>
      <c r="K90" s="65"/>
      <c r="L90" s="65">
        <v>4558</v>
      </c>
      <c r="M90" s="13">
        <f>SUM(B90:L90)</f>
        <v>4558</v>
      </c>
    </row>
    <row r="91" spans="1:13" ht="12.75">
      <c r="A91" s="17" t="s">
        <v>1</v>
      </c>
      <c r="B91" s="13">
        <f aca="true" t="shared" si="13" ref="B91:L91">SUM(B88:B90)</f>
        <v>0</v>
      </c>
      <c r="C91" s="13">
        <f t="shared" si="13"/>
        <v>0</v>
      </c>
      <c r="D91" s="13">
        <f t="shared" si="13"/>
        <v>0</v>
      </c>
      <c r="E91" s="13">
        <f t="shared" si="13"/>
        <v>0</v>
      </c>
      <c r="F91" s="13">
        <f t="shared" si="13"/>
        <v>0</v>
      </c>
      <c r="G91" s="13">
        <f t="shared" si="13"/>
        <v>0</v>
      </c>
      <c r="H91" s="13">
        <f t="shared" si="13"/>
        <v>19430</v>
      </c>
      <c r="I91" s="13">
        <f t="shared" si="13"/>
        <v>300087</v>
      </c>
      <c r="J91" s="13">
        <f t="shared" si="13"/>
        <v>456858</v>
      </c>
      <c r="K91" s="13">
        <f t="shared" si="13"/>
        <v>530793</v>
      </c>
      <c r="L91" s="65">
        <f t="shared" si="13"/>
        <v>538665</v>
      </c>
      <c r="M91" s="13">
        <f>SUM(B91:L91)</f>
        <v>1845833</v>
      </c>
    </row>
    <row r="92" spans="1:14" ht="12.75">
      <c r="A92" s="2"/>
      <c r="B92" s="8"/>
      <c r="N92" s="201"/>
    </row>
    <row r="94" spans="1:25" ht="12.75">
      <c r="A94" s="2"/>
      <c r="B94" s="9"/>
      <c r="C94" s="9"/>
      <c r="D94" s="9"/>
      <c r="E94" s="9"/>
      <c r="F94" s="9"/>
      <c r="G94" s="9"/>
      <c r="H94" s="9"/>
      <c r="I94" s="9"/>
      <c r="J94" s="9"/>
      <c r="K94" s="9"/>
      <c r="L94" s="198"/>
      <c r="M94" s="9"/>
      <c r="N94" s="198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2.75">
      <c r="A95" s="2"/>
      <c r="B95" s="9"/>
      <c r="C95" s="9"/>
      <c r="D95" s="9"/>
      <c r="E95" s="9"/>
      <c r="F95" s="9"/>
      <c r="G95" s="9"/>
      <c r="H95" s="9"/>
      <c r="I95" s="9"/>
      <c r="J95" s="9"/>
      <c r="K95" s="9"/>
      <c r="L95" s="198"/>
      <c r="M95" s="9"/>
      <c r="N95" s="198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2.75">
      <c r="A96" s="2"/>
      <c r="B96" s="9"/>
      <c r="C96" s="9"/>
      <c r="D96" s="9"/>
      <c r="E96" s="9"/>
      <c r="F96" s="9"/>
      <c r="G96" s="9"/>
      <c r="H96" s="9"/>
      <c r="I96" s="9"/>
      <c r="J96" s="9"/>
      <c r="K96" s="9"/>
      <c r="L96" s="198"/>
      <c r="M96" s="9"/>
      <c r="N96" s="198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2.75">
      <c r="A97" s="2"/>
      <c r="B97" s="9"/>
      <c r="C97" s="9"/>
      <c r="D97" s="9"/>
      <c r="E97" s="9"/>
      <c r="F97" s="9"/>
      <c r="H97" s="9"/>
      <c r="I97" s="9"/>
      <c r="J97" s="9"/>
      <c r="K97" s="9"/>
      <c r="L97" s="198"/>
      <c r="M97" s="9"/>
      <c r="N97" s="198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ht="12.75">
      <c r="B98" s="8"/>
    </row>
    <row r="100" spans="1:17" ht="12.75">
      <c r="A100" s="2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198"/>
      <c r="M100" s="9"/>
      <c r="N100" s="198"/>
      <c r="O100" s="9"/>
      <c r="P100" s="9"/>
      <c r="Q100" s="9"/>
    </row>
    <row r="101" spans="1:17" ht="12.75">
      <c r="A101" s="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198"/>
      <c r="M101" s="9"/>
      <c r="N101" s="198"/>
      <c r="O101" s="9"/>
      <c r="P101" s="9"/>
      <c r="Q101" s="9"/>
    </row>
    <row r="102" spans="1:17" ht="12.75">
      <c r="A102" s="2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198"/>
      <c r="M102" s="9"/>
      <c r="N102" s="198"/>
      <c r="O102" s="9"/>
      <c r="P102" s="9"/>
      <c r="Q102" s="9"/>
    </row>
    <row r="103" spans="2:17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198"/>
      <c r="M103" s="9"/>
      <c r="N103" s="198"/>
      <c r="O103" s="9"/>
      <c r="P103" s="9"/>
      <c r="Q103" s="9"/>
    </row>
    <row r="104" spans="1:14" ht="12.75">
      <c r="A104" s="2"/>
      <c r="B104" s="8"/>
      <c r="N104" s="201"/>
    </row>
    <row r="106" spans="1:17" ht="12.75">
      <c r="A106" s="2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198"/>
      <c r="M106" s="9"/>
      <c r="N106" s="198"/>
      <c r="O106" s="9"/>
      <c r="P106" s="9"/>
      <c r="Q106" s="9"/>
    </row>
    <row r="107" spans="1:17" ht="12.75">
      <c r="A107" s="2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198"/>
      <c r="M107" s="9"/>
      <c r="N107" s="198"/>
      <c r="O107" s="9"/>
      <c r="P107" s="9"/>
      <c r="Q107" s="9"/>
    </row>
    <row r="108" spans="1:17" ht="12.75">
      <c r="A108" s="2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198"/>
      <c r="M108" s="9"/>
      <c r="N108" s="198"/>
      <c r="O108" s="9"/>
      <c r="P108" s="9"/>
      <c r="Q108" s="9"/>
    </row>
    <row r="109" spans="1:17" ht="12.75">
      <c r="A109" s="2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198"/>
      <c r="M109" s="9"/>
      <c r="N109" s="198"/>
      <c r="O109" s="9"/>
      <c r="P109" s="9"/>
      <c r="Q109" s="9"/>
    </row>
    <row r="110" ht="12.75">
      <c r="B110" s="8"/>
    </row>
    <row r="112" ht="12.75">
      <c r="A112" s="2"/>
    </row>
    <row r="113" ht="12.75">
      <c r="A113" s="2"/>
    </row>
    <row r="114" ht="12.75">
      <c r="A114" s="2"/>
    </row>
  </sheetData>
  <sheetProtection/>
  <mergeCells count="3">
    <mergeCell ref="A1:M1"/>
    <mergeCell ref="A44:M44"/>
    <mergeCell ref="A16:M16"/>
  </mergeCells>
  <printOptions/>
  <pageMargins left="0.75" right="0.75" top="1" bottom="1" header="0.5" footer="0.5"/>
  <pageSetup horizontalDpi="600" verticalDpi="600" orientation="landscape" scale="59" r:id="rId1"/>
  <rowBreaks count="1" manualBreakCount="1">
    <brk id="43" max="11" man="1"/>
  </rowBreaks>
  <ignoredErrors>
    <ignoredError sqref="B14:F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" sqref="I1"/>
    </sheetView>
  </sheetViews>
  <sheetFormatPr defaultColWidth="10.7109375" defaultRowHeight="12.75"/>
  <cols>
    <col min="1" max="1" width="32.140625" style="3" customWidth="1"/>
    <col min="2" max="2" width="10.8515625" style="6" bestFit="1" customWidth="1"/>
    <col min="3" max="3" width="13.57421875" style="6" customWidth="1"/>
    <col min="4" max="4" width="13.421875" style="6" customWidth="1"/>
    <col min="5" max="5" width="14.57421875" style="6" customWidth="1"/>
    <col min="6" max="7" width="13.7109375" style="6" customWidth="1"/>
    <col min="8" max="8" width="14.7109375" style="6" customWidth="1"/>
    <col min="9" max="16384" width="10.7109375" style="6" customWidth="1"/>
  </cols>
  <sheetData>
    <row r="1" spans="1:8" ht="15.75">
      <c r="A1" s="235" t="s">
        <v>205</v>
      </c>
      <c r="B1" s="236"/>
      <c r="C1" s="236"/>
      <c r="D1" s="236"/>
      <c r="E1" s="236"/>
      <c r="F1" s="236"/>
      <c r="G1" s="236"/>
      <c r="H1" s="236"/>
    </row>
    <row r="2" ht="12.75">
      <c r="A2" s="46"/>
    </row>
    <row r="3" spans="1:8" ht="12.75">
      <c r="A3" s="33" t="s">
        <v>282</v>
      </c>
      <c r="B3" s="31">
        <v>2006</v>
      </c>
      <c r="C3" s="31">
        <v>2007</v>
      </c>
      <c r="D3" s="31">
        <v>2008</v>
      </c>
      <c r="E3" s="31">
        <v>2009</v>
      </c>
      <c r="F3" s="31">
        <v>2010</v>
      </c>
      <c r="G3" s="31">
        <v>2011</v>
      </c>
      <c r="H3" s="31" t="s">
        <v>1</v>
      </c>
    </row>
    <row r="4" spans="1:9" ht="12.75">
      <c r="A4" s="17"/>
      <c r="B4" s="155"/>
      <c r="C4" s="155">
        <f>7368*1000</f>
        <v>7368000</v>
      </c>
      <c r="D4" s="155">
        <f>9829*1000</f>
        <v>9829000</v>
      </c>
      <c r="E4" s="155">
        <v>23652926.69</v>
      </c>
      <c r="F4" s="155">
        <v>58782277.65</v>
      </c>
      <c r="G4" s="155">
        <v>29760156.05</v>
      </c>
      <c r="H4" s="155">
        <f>SUM(B4:G4)</f>
        <v>129392360.39</v>
      </c>
      <c r="I4" s="12"/>
    </row>
    <row r="5" spans="1:11" ht="12.75">
      <c r="A5" s="23"/>
      <c r="B5" s="156"/>
      <c r="C5" s="156"/>
      <c r="D5" s="156"/>
      <c r="E5" s="156"/>
      <c r="F5" s="156"/>
      <c r="G5" s="156"/>
      <c r="H5" s="156"/>
      <c r="I5" s="3"/>
      <c r="J5" s="3"/>
      <c r="K5" s="3"/>
    </row>
    <row r="6" spans="1:11" ht="12.75">
      <c r="A6" s="33" t="s">
        <v>283</v>
      </c>
      <c r="B6" s="156"/>
      <c r="C6" s="156"/>
      <c r="D6" s="156"/>
      <c r="E6" s="156"/>
      <c r="F6" s="156"/>
      <c r="G6" s="156"/>
      <c r="H6" s="156"/>
      <c r="I6" s="3"/>
      <c r="J6" s="3"/>
      <c r="K6" s="3"/>
    </row>
    <row r="7" spans="1:9" s="3" customFormat="1" ht="12.75">
      <c r="A7" s="17"/>
      <c r="B7" s="155"/>
      <c r="C7" s="155">
        <f>3441*1000</f>
        <v>3441000</v>
      </c>
      <c r="D7" s="155">
        <f>5002*1000</f>
        <v>5002000</v>
      </c>
      <c r="E7" s="155">
        <v>10248143.7</v>
      </c>
      <c r="F7" s="155">
        <v>41380830.32</v>
      </c>
      <c r="G7" s="155">
        <v>15266819.3</v>
      </c>
      <c r="H7" s="155">
        <f>SUM(B7:G7)</f>
        <v>75338793.32</v>
      </c>
      <c r="I7" s="4"/>
    </row>
    <row r="8" spans="1:8" s="3" customFormat="1" ht="12.75">
      <c r="A8" s="23"/>
      <c r="B8" s="46"/>
      <c r="C8" s="46"/>
      <c r="D8" s="46"/>
      <c r="E8" s="46"/>
      <c r="F8" s="46"/>
      <c r="G8" s="46"/>
      <c r="H8" s="46"/>
    </row>
    <row r="9" spans="1:8" s="3" customFormat="1" ht="12.75">
      <c r="A9" s="49" t="s">
        <v>5</v>
      </c>
      <c r="B9" s="50"/>
      <c r="C9" s="50"/>
      <c r="D9" s="50"/>
      <c r="E9" s="50"/>
      <c r="F9" s="50"/>
      <c r="G9" s="50"/>
      <c r="H9" s="50"/>
    </row>
    <row r="10" spans="1:9" s="3" customFormat="1" ht="12.75">
      <c r="A10" s="17" t="s">
        <v>289</v>
      </c>
      <c r="B10" s="13"/>
      <c r="C10" s="13"/>
      <c r="D10" s="13"/>
      <c r="E10" s="13">
        <v>2170</v>
      </c>
      <c r="F10" s="65"/>
      <c r="G10" s="65"/>
      <c r="H10" s="13"/>
      <c r="I10" s="170" t="s">
        <v>385</v>
      </c>
    </row>
    <row r="11" spans="1:9" s="3" customFormat="1" ht="12.75">
      <c r="A11" s="17" t="s">
        <v>384</v>
      </c>
      <c r="B11" s="13"/>
      <c r="C11" s="13"/>
      <c r="D11" s="13"/>
      <c r="E11" s="13"/>
      <c r="F11" s="65"/>
      <c r="G11" s="65">
        <v>296</v>
      </c>
      <c r="H11" s="13"/>
      <c r="I11" s="170"/>
    </row>
    <row r="12" spans="1:9" s="3" customFormat="1" ht="12.75">
      <c r="A12" s="17" t="s">
        <v>290</v>
      </c>
      <c r="B12" s="13"/>
      <c r="C12" s="13"/>
      <c r="D12" s="13"/>
      <c r="E12" s="13">
        <v>1140</v>
      </c>
      <c r="F12" s="13">
        <v>3245</v>
      </c>
      <c r="G12" s="13">
        <v>2288</v>
      </c>
      <c r="H12" s="13"/>
      <c r="I12" s="7"/>
    </row>
    <row r="13" spans="1:8" s="3" customFormat="1" ht="12.75">
      <c r="A13" s="17" t="s">
        <v>1</v>
      </c>
      <c r="B13" s="13">
        <v>3</v>
      </c>
      <c r="C13" s="13">
        <v>20</v>
      </c>
      <c r="D13" s="13">
        <v>163</v>
      </c>
      <c r="E13" s="13">
        <f>SUM(E10:E12)</f>
        <v>3310</v>
      </c>
      <c r="F13" s="13">
        <f>SUM(F10:F12)</f>
        <v>3245</v>
      </c>
      <c r="G13" s="13">
        <f>SUM(G11:G12)</f>
        <v>2584</v>
      </c>
      <c r="H13" s="13">
        <f>SUM(B13:G13)</f>
        <v>9325</v>
      </c>
    </row>
    <row r="14" spans="1:8" s="3" customFormat="1" ht="12.75">
      <c r="A14" s="23"/>
      <c r="B14" s="46"/>
      <c r="C14" s="46"/>
      <c r="D14" s="46"/>
      <c r="E14" s="46"/>
      <c r="F14" s="46"/>
      <c r="G14" s="46"/>
      <c r="H14" s="46"/>
    </row>
    <row r="15" spans="1:8" s="3" customFormat="1" ht="12.75">
      <c r="A15" s="49" t="s">
        <v>134</v>
      </c>
      <c r="B15" s="31">
        <v>2006</v>
      </c>
      <c r="C15" s="31">
        <v>2007</v>
      </c>
      <c r="D15" s="31">
        <v>2008</v>
      </c>
      <c r="E15" s="31">
        <v>2009</v>
      </c>
      <c r="F15" s="31">
        <v>2010</v>
      </c>
      <c r="G15" s="31"/>
      <c r="H15" s="31" t="s">
        <v>1</v>
      </c>
    </row>
    <row r="16" spans="1:8" s="3" customFormat="1" ht="12.75">
      <c r="A16" s="23" t="s">
        <v>14</v>
      </c>
      <c r="B16" s="46" t="s">
        <v>8</v>
      </c>
      <c r="C16" s="46" t="s">
        <v>8</v>
      </c>
      <c r="D16" s="51" t="s">
        <v>8</v>
      </c>
      <c r="E16" s="51" t="s">
        <v>8</v>
      </c>
      <c r="F16" s="51" t="s">
        <v>8</v>
      </c>
      <c r="G16" s="51" t="s">
        <v>8</v>
      </c>
      <c r="H16" s="46" t="s">
        <v>8</v>
      </c>
    </row>
    <row r="17" spans="1:9" s="3" customFormat="1" ht="12.75">
      <c r="A17" s="17"/>
      <c r="B17" s="65">
        <v>2</v>
      </c>
      <c r="C17" s="65">
        <v>22</v>
      </c>
      <c r="D17" s="65">
        <v>108</v>
      </c>
      <c r="E17" s="65">
        <v>1155</v>
      </c>
      <c r="F17" s="65">
        <v>939</v>
      </c>
      <c r="G17" s="65">
        <v>2131</v>
      </c>
      <c r="H17" s="13">
        <f>SUM(B17:G17)</f>
        <v>4357</v>
      </c>
      <c r="I17" s="7"/>
    </row>
    <row r="18" spans="1:8" s="3" customFormat="1" ht="12.75">
      <c r="A18" s="23"/>
      <c r="B18" s="69"/>
      <c r="C18" s="69"/>
      <c r="D18" s="69"/>
      <c r="E18" s="69"/>
      <c r="F18" s="69"/>
      <c r="G18" s="69"/>
      <c r="H18" s="50"/>
    </row>
    <row r="19" spans="1:8" s="3" customFormat="1" ht="12.75">
      <c r="A19" s="23" t="s">
        <v>10</v>
      </c>
      <c r="B19" s="77" t="s">
        <v>8</v>
      </c>
      <c r="C19" s="46" t="s">
        <v>8</v>
      </c>
      <c r="D19" s="51" t="s">
        <v>8</v>
      </c>
      <c r="E19" s="51" t="s">
        <v>8</v>
      </c>
      <c r="F19" s="51" t="s">
        <v>8</v>
      </c>
      <c r="G19" s="51" t="s">
        <v>8</v>
      </c>
      <c r="H19" s="46" t="s">
        <v>8</v>
      </c>
    </row>
    <row r="20" spans="1:9" s="3" customFormat="1" ht="12.75">
      <c r="A20" s="17"/>
      <c r="B20" s="65">
        <v>26</v>
      </c>
      <c r="C20" s="65">
        <v>442</v>
      </c>
      <c r="D20" s="65">
        <v>1456</v>
      </c>
      <c r="E20" s="65">
        <v>18378</v>
      </c>
      <c r="F20" s="65">
        <v>20889</v>
      </c>
      <c r="G20" s="65">
        <v>38314</v>
      </c>
      <c r="H20" s="13">
        <f>SUM(B20:G20)</f>
        <v>79505</v>
      </c>
      <c r="I20" s="7"/>
    </row>
    <row r="21" spans="1:8" s="3" customFormat="1" ht="12.75">
      <c r="A21" s="23"/>
      <c r="B21" s="69"/>
      <c r="C21" s="69"/>
      <c r="D21" s="69"/>
      <c r="E21" s="69"/>
      <c r="F21" s="69"/>
      <c r="G21" s="69"/>
      <c r="H21" s="50"/>
    </row>
    <row r="22" spans="1:8" s="3" customFormat="1" ht="12.75">
      <c r="A22" s="23" t="s">
        <v>36</v>
      </c>
      <c r="B22" s="77" t="s">
        <v>11</v>
      </c>
      <c r="C22" s="77" t="s">
        <v>11</v>
      </c>
      <c r="D22" s="109" t="s">
        <v>11</v>
      </c>
      <c r="E22" s="109" t="s">
        <v>11</v>
      </c>
      <c r="F22" s="109" t="s">
        <v>11</v>
      </c>
      <c r="G22" s="109" t="s">
        <v>11</v>
      </c>
      <c r="H22" s="46" t="s">
        <v>11</v>
      </c>
    </row>
    <row r="23" spans="1:9" s="3" customFormat="1" ht="12.75">
      <c r="A23" s="17"/>
      <c r="B23" s="65">
        <v>0</v>
      </c>
      <c r="C23" s="65"/>
      <c r="D23" s="65">
        <v>51</v>
      </c>
      <c r="E23" s="65">
        <v>366</v>
      </c>
      <c r="F23" s="65">
        <v>815</v>
      </c>
      <c r="G23" s="65">
        <v>894</v>
      </c>
      <c r="H23" s="13">
        <f>SUM(B23:G23)</f>
        <v>2126</v>
      </c>
      <c r="I23" s="7"/>
    </row>
    <row r="24" s="3" customFormat="1" ht="12.75">
      <c r="A24" s="5"/>
    </row>
    <row r="25" spans="1:10" s="3" customFormat="1" ht="12.75">
      <c r="A25" s="49" t="s">
        <v>194</v>
      </c>
      <c r="B25" s="31">
        <v>2006</v>
      </c>
      <c r="C25" s="31">
        <v>2007</v>
      </c>
      <c r="D25" s="31">
        <v>2008</v>
      </c>
      <c r="E25" s="31">
        <v>2009</v>
      </c>
      <c r="F25" s="31">
        <v>2010</v>
      </c>
      <c r="G25" s="138">
        <v>2011</v>
      </c>
      <c r="H25" s="138" t="s">
        <v>1</v>
      </c>
      <c r="I25" s="197"/>
      <c r="J25" s="197"/>
    </row>
    <row r="26" spans="1:10" s="3" customFormat="1" ht="12.75">
      <c r="A26" s="23" t="s">
        <v>14</v>
      </c>
      <c r="B26" s="46" t="s">
        <v>13</v>
      </c>
      <c r="C26" s="46" t="s">
        <v>13</v>
      </c>
      <c r="D26" s="51" t="s">
        <v>13</v>
      </c>
      <c r="E26" s="51" t="s">
        <v>13</v>
      </c>
      <c r="F26" s="51" t="s">
        <v>13</v>
      </c>
      <c r="G26" s="109" t="s">
        <v>13</v>
      </c>
      <c r="H26" s="77" t="s">
        <v>13</v>
      </c>
      <c r="I26" s="197"/>
      <c r="J26" s="197"/>
    </row>
    <row r="27" spans="1:10" ht="12.75">
      <c r="A27" s="17"/>
      <c r="B27" s="65">
        <v>108</v>
      </c>
      <c r="C27" s="65">
        <v>803</v>
      </c>
      <c r="D27" s="65">
        <v>3835</v>
      </c>
      <c r="E27" s="65">
        <v>23909</v>
      </c>
      <c r="F27" s="65">
        <v>73438</v>
      </c>
      <c r="G27" s="65">
        <v>95298.35</v>
      </c>
      <c r="H27" s="65">
        <f>SUM(B27:G27)</f>
        <v>197391.35</v>
      </c>
      <c r="I27" s="170"/>
      <c r="J27" s="79"/>
    </row>
    <row r="28" spans="1:10" ht="12.75">
      <c r="A28" s="23"/>
      <c r="B28" s="69"/>
      <c r="C28" s="69"/>
      <c r="D28" s="69"/>
      <c r="E28" s="69"/>
      <c r="F28" s="69"/>
      <c r="G28" s="69"/>
      <c r="H28" s="69"/>
      <c r="I28" s="79"/>
      <c r="J28" s="79"/>
    </row>
    <row r="29" spans="1:10" ht="12.75">
      <c r="A29" s="23" t="s">
        <v>10</v>
      </c>
      <c r="B29" s="46" t="s">
        <v>13</v>
      </c>
      <c r="C29" s="46" t="s">
        <v>13</v>
      </c>
      <c r="D29" s="51" t="s">
        <v>13</v>
      </c>
      <c r="E29" s="51" t="s">
        <v>13</v>
      </c>
      <c r="F29" s="51" t="s">
        <v>13</v>
      </c>
      <c r="G29" s="109" t="s">
        <v>13</v>
      </c>
      <c r="H29" s="77" t="s">
        <v>13</v>
      </c>
      <c r="I29" s="79"/>
      <c r="J29" s="79"/>
    </row>
    <row r="30" spans="1:10" ht="12.75">
      <c r="A30" s="17"/>
      <c r="B30" s="65">
        <v>2152</v>
      </c>
      <c r="C30" s="65">
        <v>19299</v>
      </c>
      <c r="D30" s="65">
        <v>88013</v>
      </c>
      <c r="E30" s="65">
        <v>537652</v>
      </c>
      <c r="F30" s="65">
        <v>1635192</v>
      </c>
      <c r="G30" s="65">
        <v>2058386.84</v>
      </c>
      <c r="H30" s="65">
        <f>SUM(B30:G30)</f>
        <v>4340694.84</v>
      </c>
      <c r="I30" s="170"/>
      <c r="J30" s="79"/>
    </row>
    <row r="31" spans="1:9" ht="12.75">
      <c r="A31" s="2"/>
      <c r="I31" s="8"/>
    </row>
    <row r="32" spans="1:2" ht="12.75">
      <c r="A32" s="153" t="s">
        <v>206</v>
      </c>
      <c r="B32" s="153"/>
    </row>
    <row r="33" spans="1:20" ht="12.7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2.75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s="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9" spans="1:12" ht="12.75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2" ht="12.7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9" ht="12.75">
      <c r="A43" s="2"/>
      <c r="I43" s="8"/>
    </row>
    <row r="45" spans="1:12" ht="12.75">
      <c r="A45" s="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51" ht="12.75">
      <c r="A51" s="2"/>
    </row>
    <row r="52" ht="12.75">
      <c r="A52" s="2"/>
    </row>
    <row r="53" ht="12.75">
      <c r="A53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N1" sqref="N1"/>
    </sheetView>
  </sheetViews>
  <sheetFormatPr defaultColWidth="10.7109375" defaultRowHeight="12.75"/>
  <cols>
    <col min="1" max="1" width="25.7109375" style="3" customWidth="1"/>
    <col min="2" max="2" width="15.140625" style="6" customWidth="1"/>
    <col min="3" max="3" width="15.421875" style="6" customWidth="1"/>
    <col min="4" max="4" width="14.8515625" style="6" customWidth="1"/>
    <col min="5" max="5" width="15.421875" style="6" customWidth="1"/>
    <col min="6" max="6" width="15.57421875" style="6" bestFit="1" customWidth="1"/>
    <col min="7" max="7" width="15.421875" style="6" bestFit="1" customWidth="1"/>
    <col min="8" max="10" width="15.57421875" style="6" bestFit="1" customWidth="1"/>
    <col min="11" max="12" width="15.57421875" style="6" customWidth="1"/>
    <col min="13" max="13" width="17.00390625" style="6" bestFit="1" customWidth="1"/>
    <col min="14" max="16384" width="10.7109375" style="6" customWidth="1"/>
  </cols>
  <sheetData>
    <row r="1" spans="1:13" ht="15.75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5.75">
      <c r="A2" s="144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6" ht="12.75">
      <c r="A3" s="23"/>
      <c r="N3" s="3"/>
      <c r="O3" s="3"/>
      <c r="P3" s="3"/>
    </row>
    <row r="4" spans="1:16" ht="12.75">
      <c r="A4" s="33" t="s">
        <v>348</v>
      </c>
      <c r="B4" s="31">
        <v>2001</v>
      </c>
      <c r="C4" s="31">
        <v>2002</v>
      </c>
      <c r="D4" s="31">
        <v>2003</v>
      </c>
      <c r="E4" s="31">
        <v>2004</v>
      </c>
      <c r="F4" s="31">
        <v>2005</v>
      </c>
      <c r="G4" s="31">
        <v>2006</v>
      </c>
      <c r="H4" s="31">
        <v>2007</v>
      </c>
      <c r="I4" s="31">
        <v>2008</v>
      </c>
      <c r="J4" s="31">
        <v>2009</v>
      </c>
      <c r="K4" s="31">
        <v>2010</v>
      </c>
      <c r="L4" s="31">
        <v>2011</v>
      </c>
      <c r="M4" s="162" t="s">
        <v>360</v>
      </c>
      <c r="N4" s="3"/>
      <c r="O4" s="3"/>
      <c r="P4" s="3"/>
    </row>
    <row r="5" spans="1:16" ht="12.75">
      <c r="A5" s="16" t="s">
        <v>2</v>
      </c>
      <c r="B5" s="15">
        <v>15224</v>
      </c>
      <c r="C5" s="15">
        <v>15497</v>
      </c>
      <c r="D5" s="15">
        <v>15412</v>
      </c>
      <c r="E5" s="15">
        <v>14640</v>
      </c>
      <c r="F5" s="76">
        <v>24960</v>
      </c>
      <c r="G5" s="76">
        <v>21330</v>
      </c>
      <c r="H5" s="76">
        <v>20175</v>
      </c>
      <c r="I5" s="76">
        <v>26373</v>
      </c>
      <c r="J5" s="76">
        <v>36309764.38</v>
      </c>
      <c r="K5" s="76">
        <v>32206497.01</v>
      </c>
      <c r="L5" s="76">
        <v>30829308.11</v>
      </c>
      <c r="M5" s="76"/>
      <c r="N5" s="3"/>
      <c r="O5" s="3"/>
      <c r="P5" s="3"/>
    </row>
    <row r="6" spans="1:16" ht="12.75">
      <c r="A6" s="16" t="s">
        <v>3</v>
      </c>
      <c r="B6" s="15"/>
      <c r="C6" s="15"/>
      <c r="D6" s="15">
        <v>722</v>
      </c>
      <c r="E6" s="15">
        <v>493</v>
      </c>
      <c r="F6" s="76">
        <v>40</v>
      </c>
      <c r="G6" s="76" t="s">
        <v>4</v>
      </c>
      <c r="H6" s="76"/>
      <c r="I6" s="76"/>
      <c r="J6" s="76"/>
      <c r="K6" s="76"/>
      <c r="L6" s="76"/>
      <c r="M6" s="76"/>
      <c r="N6" s="3"/>
      <c r="O6" s="3"/>
      <c r="P6" s="3"/>
    </row>
    <row r="7" spans="1:16" ht="12.75">
      <c r="A7" s="16" t="s">
        <v>175</v>
      </c>
      <c r="B7" s="15"/>
      <c r="C7" s="15"/>
      <c r="D7" s="15"/>
      <c r="E7" s="15"/>
      <c r="F7" s="76"/>
      <c r="G7" s="76">
        <v>3725</v>
      </c>
      <c r="H7" s="76">
        <v>6933</v>
      </c>
      <c r="I7" s="76">
        <v>1859</v>
      </c>
      <c r="J7" s="76"/>
      <c r="K7" s="76"/>
      <c r="L7" s="76"/>
      <c r="M7" s="76"/>
      <c r="N7" s="3"/>
      <c r="O7" s="3"/>
      <c r="P7" s="3"/>
    </row>
    <row r="8" spans="1:16" ht="12.75">
      <c r="A8" s="16" t="s">
        <v>176</v>
      </c>
      <c r="B8" s="15"/>
      <c r="C8" s="15"/>
      <c r="D8" s="15"/>
      <c r="E8" s="15"/>
      <c r="F8" s="76"/>
      <c r="G8" s="76">
        <v>200</v>
      </c>
      <c r="H8" s="76">
        <v>300</v>
      </c>
      <c r="I8" s="76">
        <v>300</v>
      </c>
      <c r="J8" s="76"/>
      <c r="K8" s="76"/>
      <c r="L8" s="76"/>
      <c r="M8" s="76"/>
      <c r="N8" s="3"/>
      <c r="O8" s="3"/>
      <c r="P8" s="3"/>
    </row>
    <row r="9" spans="1:16" ht="12.75">
      <c r="A9" s="17" t="s">
        <v>1</v>
      </c>
      <c r="B9" s="15">
        <f>SUM(B5:B7)</f>
        <v>15224</v>
      </c>
      <c r="C9" s="15">
        <f>SUM(C5:C7)</f>
        <v>15497</v>
      </c>
      <c r="D9" s="15">
        <f>SUM(D5:D7)</f>
        <v>16134</v>
      </c>
      <c r="E9" s="15">
        <f>SUM(E5:E7)</f>
        <v>15133</v>
      </c>
      <c r="F9" s="76">
        <f>SUM(F5:F7)</f>
        <v>25000</v>
      </c>
      <c r="G9" s="76">
        <f>SUM(G5:G8)</f>
        <v>25255</v>
      </c>
      <c r="H9" s="76">
        <f>SUM(H5:H8)</f>
        <v>27408</v>
      </c>
      <c r="I9" s="76">
        <f>SUM(I5:I8)</f>
        <v>28532</v>
      </c>
      <c r="J9" s="76"/>
      <c r="K9" s="76"/>
      <c r="L9" s="76"/>
      <c r="M9" s="76"/>
      <c r="N9" s="4"/>
      <c r="O9" s="3"/>
      <c r="P9" s="3"/>
    </row>
    <row r="10" spans="1:16" ht="12.75">
      <c r="A10" s="21" t="s">
        <v>281</v>
      </c>
      <c r="B10" s="132">
        <f>B9*1000</f>
        <v>15224000</v>
      </c>
      <c r="C10" s="132">
        <f aca="true" t="shared" si="0" ref="C10:I10">C9*1000</f>
        <v>15497000</v>
      </c>
      <c r="D10" s="132">
        <f t="shared" si="0"/>
        <v>16134000</v>
      </c>
      <c r="E10" s="132">
        <f t="shared" si="0"/>
        <v>15133000</v>
      </c>
      <c r="F10" s="155">
        <f t="shared" si="0"/>
        <v>25000000</v>
      </c>
      <c r="G10" s="155">
        <f t="shared" si="0"/>
        <v>25255000</v>
      </c>
      <c r="H10" s="155">
        <f t="shared" si="0"/>
        <v>27408000</v>
      </c>
      <c r="I10" s="155">
        <f t="shared" si="0"/>
        <v>28532000</v>
      </c>
      <c r="J10" s="155">
        <f>SUM(J5:J9)</f>
        <v>36309764.38</v>
      </c>
      <c r="K10" s="155">
        <f>SUM(K5:K9)</f>
        <v>32206497.01</v>
      </c>
      <c r="L10" s="155">
        <f>SUM(L5:L9)</f>
        <v>30829308.11</v>
      </c>
      <c r="M10" s="155">
        <f>SUM(B10:L10)</f>
        <v>267528569.5</v>
      </c>
      <c r="N10" s="4"/>
      <c r="O10" s="3"/>
      <c r="P10" s="3"/>
    </row>
    <row r="11" spans="1:16" ht="24.75" customHeight="1">
      <c r="A11" s="237" t="s">
        <v>351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3"/>
      <c r="O11" s="3"/>
      <c r="P11" s="3"/>
    </row>
    <row r="12" spans="1:16" ht="12.7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3"/>
      <c r="O12" s="3"/>
      <c r="P12" s="3"/>
    </row>
    <row r="13" spans="1:16" ht="12.75">
      <c r="A13" s="33" t="s">
        <v>283</v>
      </c>
      <c r="B13" s="47"/>
      <c r="C13" s="47"/>
      <c r="D13" s="47"/>
      <c r="E13" s="47"/>
      <c r="F13" s="158"/>
      <c r="G13" s="158"/>
      <c r="H13" s="158"/>
      <c r="I13" s="158"/>
      <c r="J13" s="158"/>
      <c r="K13" s="158"/>
      <c r="L13" s="158"/>
      <c r="M13" s="130"/>
      <c r="N13" s="3"/>
      <c r="O13" s="3"/>
      <c r="P13" s="3"/>
    </row>
    <row r="14" spans="1:13" s="3" customFormat="1" ht="12.75">
      <c r="A14" s="16" t="s">
        <v>2</v>
      </c>
      <c r="B14" s="15">
        <v>10354</v>
      </c>
      <c r="C14" s="15">
        <v>13268</v>
      </c>
      <c r="D14" s="15">
        <v>14756</v>
      </c>
      <c r="E14" s="15">
        <v>13974</v>
      </c>
      <c r="F14" s="76">
        <v>15460</v>
      </c>
      <c r="G14" s="76">
        <v>16557</v>
      </c>
      <c r="H14" s="76">
        <v>21096</v>
      </c>
      <c r="I14" s="76">
        <v>20682</v>
      </c>
      <c r="J14" s="76">
        <v>30741450.93</v>
      </c>
      <c r="K14" s="76">
        <v>31377188.9</v>
      </c>
      <c r="L14" s="76">
        <v>28405761.97</v>
      </c>
      <c r="M14" s="76"/>
    </row>
    <row r="15" spans="1:13" s="3" customFormat="1" ht="12.75">
      <c r="A15" s="16" t="s">
        <v>3</v>
      </c>
      <c r="B15" s="15" t="s">
        <v>4</v>
      </c>
      <c r="C15" s="15" t="s">
        <v>4</v>
      </c>
      <c r="D15" s="15">
        <v>679</v>
      </c>
      <c r="E15" s="15">
        <v>292</v>
      </c>
      <c r="F15" s="76">
        <v>7</v>
      </c>
      <c r="G15" s="76" t="s">
        <v>4</v>
      </c>
      <c r="H15" s="76"/>
      <c r="I15" s="76"/>
      <c r="J15" s="76"/>
      <c r="K15" s="76"/>
      <c r="L15" s="76"/>
      <c r="M15" s="76"/>
    </row>
    <row r="16" spans="1:13" s="3" customFormat="1" ht="12.75">
      <c r="A16" s="16" t="s">
        <v>175</v>
      </c>
      <c r="B16" s="15"/>
      <c r="C16" s="15"/>
      <c r="D16" s="15"/>
      <c r="E16" s="15"/>
      <c r="F16" s="76"/>
      <c r="G16" s="76">
        <v>1652</v>
      </c>
      <c r="H16" s="76">
        <v>5074</v>
      </c>
      <c r="I16" s="76">
        <v>-27</v>
      </c>
      <c r="J16" s="76"/>
      <c r="K16" s="76"/>
      <c r="L16" s="76"/>
      <c r="M16" s="76"/>
    </row>
    <row r="17" spans="1:13" s="3" customFormat="1" ht="12.75">
      <c r="A17" s="16" t="s">
        <v>176</v>
      </c>
      <c r="B17" s="15"/>
      <c r="C17" s="15"/>
      <c r="D17" s="15"/>
      <c r="E17" s="15"/>
      <c r="F17" s="76"/>
      <c r="G17" s="76">
        <v>0</v>
      </c>
      <c r="H17" s="76">
        <v>0</v>
      </c>
      <c r="I17" s="76">
        <v>0</v>
      </c>
      <c r="J17" s="76"/>
      <c r="K17" s="76"/>
      <c r="L17" s="76"/>
      <c r="M17" s="76"/>
    </row>
    <row r="18" spans="1:13" s="3" customFormat="1" ht="12.75">
      <c r="A18" s="17" t="s">
        <v>1</v>
      </c>
      <c r="B18" s="15">
        <f>SUM(B14:B15)</f>
        <v>10354</v>
      </c>
      <c r="C18" s="15">
        <f>SUM(C14:C15)</f>
        <v>13268</v>
      </c>
      <c r="D18" s="15">
        <f>SUM(D14:D15)</f>
        <v>15435</v>
      </c>
      <c r="E18" s="15">
        <f>SUM(E14:E15)</f>
        <v>14266</v>
      </c>
      <c r="F18" s="76">
        <f>SUM(F14:F15)</f>
        <v>15467</v>
      </c>
      <c r="G18" s="76">
        <f>SUM(G14:G17)</f>
        <v>18209</v>
      </c>
      <c r="H18" s="76">
        <f>SUM(H14:H17)</f>
        <v>26170</v>
      </c>
      <c r="I18" s="76">
        <f>SUM(I14:I17)</f>
        <v>20655</v>
      </c>
      <c r="J18" s="76"/>
      <c r="K18" s="76"/>
      <c r="L18" s="76"/>
      <c r="M18" s="76"/>
    </row>
    <row r="19" spans="1:13" s="3" customFormat="1" ht="12.75">
      <c r="A19" s="21" t="s">
        <v>281</v>
      </c>
      <c r="B19" s="132">
        <f>B18*1000</f>
        <v>10354000</v>
      </c>
      <c r="C19" s="132">
        <f aca="true" t="shared" si="1" ref="C19:I19">C18*1000</f>
        <v>13268000</v>
      </c>
      <c r="D19" s="132">
        <f t="shared" si="1"/>
        <v>15435000</v>
      </c>
      <c r="E19" s="132">
        <f t="shared" si="1"/>
        <v>14266000</v>
      </c>
      <c r="F19" s="155">
        <f t="shared" si="1"/>
        <v>15467000</v>
      </c>
      <c r="G19" s="155">
        <f t="shared" si="1"/>
        <v>18209000</v>
      </c>
      <c r="H19" s="155">
        <f t="shared" si="1"/>
        <v>26170000</v>
      </c>
      <c r="I19" s="155">
        <f t="shared" si="1"/>
        <v>20655000</v>
      </c>
      <c r="J19" s="155">
        <f>SUM(J14:J18)</f>
        <v>30741450.93</v>
      </c>
      <c r="K19" s="155">
        <f>SUM(K14:K18)</f>
        <v>31377188.9</v>
      </c>
      <c r="L19" s="155">
        <f>SUM(L14:L18)</f>
        <v>28405761.97</v>
      </c>
      <c r="M19" s="155">
        <f>SUM(B19:L19)</f>
        <v>224348401.8</v>
      </c>
    </row>
    <row r="20" spans="1:13" s="3" customFormat="1" ht="12.75">
      <c r="A20" s="23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s="3" customFormat="1" ht="12.75">
      <c r="A21" s="49" t="s">
        <v>43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s="3" customFormat="1" ht="12.75">
      <c r="A22" s="16" t="s">
        <v>2</v>
      </c>
      <c r="B22" s="13">
        <v>5848</v>
      </c>
      <c r="C22" s="13">
        <v>5937</v>
      </c>
      <c r="D22" s="13">
        <v>6268</v>
      </c>
      <c r="E22" s="13">
        <v>6558</v>
      </c>
      <c r="F22" s="13">
        <v>6403</v>
      </c>
      <c r="G22" s="13">
        <v>7190</v>
      </c>
      <c r="H22" s="13">
        <v>7706</v>
      </c>
      <c r="I22" s="13">
        <v>7239</v>
      </c>
      <c r="J22" s="13">
        <v>7779</v>
      </c>
      <c r="K22" s="13">
        <v>6814</v>
      </c>
      <c r="L22" s="13">
        <v>7054</v>
      </c>
      <c r="M22" s="13">
        <f>SUM(B22:L22)</f>
        <v>74796</v>
      </c>
    </row>
    <row r="23" spans="1:13" s="3" customFormat="1" ht="12.75">
      <c r="A23" s="16" t="s">
        <v>3</v>
      </c>
      <c r="B23" s="13" t="s">
        <v>4</v>
      </c>
      <c r="C23" s="13" t="s">
        <v>4</v>
      </c>
      <c r="D23" s="13">
        <v>393</v>
      </c>
      <c r="E23" s="13">
        <v>148</v>
      </c>
      <c r="F23" s="13">
        <v>0</v>
      </c>
      <c r="G23" s="13">
        <v>0</v>
      </c>
      <c r="H23" s="13">
        <v>0</v>
      </c>
      <c r="I23" s="13"/>
      <c r="J23" s="13"/>
      <c r="K23" s="13"/>
      <c r="L23" s="13"/>
      <c r="M23" s="13">
        <f>SUM(B23:L23)</f>
        <v>541</v>
      </c>
    </row>
    <row r="24" spans="1:13" s="3" customFormat="1" ht="12.75">
      <c r="A24" s="16" t="s">
        <v>175</v>
      </c>
      <c r="B24" s="13"/>
      <c r="C24" s="13"/>
      <c r="D24" s="13"/>
      <c r="E24" s="13"/>
      <c r="F24" s="13"/>
      <c r="G24" s="13">
        <v>1362</v>
      </c>
      <c r="H24" s="13">
        <v>778</v>
      </c>
      <c r="I24" s="13"/>
      <c r="J24" s="13"/>
      <c r="K24" s="13"/>
      <c r="L24" s="13"/>
      <c r="M24" s="13">
        <f>SUM(B24:L24)</f>
        <v>2140</v>
      </c>
    </row>
    <row r="25" spans="1:16" s="3" customFormat="1" ht="12.75">
      <c r="A25" s="16" t="s">
        <v>176</v>
      </c>
      <c r="B25" s="13"/>
      <c r="C25" s="13"/>
      <c r="D25" s="13"/>
      <c r="E25" s="13"/>
      <c r="F25" s="13"/>
      <c r="G25" s="13">
        <v>0</v>
      </c>
      <c r="H25" s="13">
        <v>0</v>
      </c>
      <c r="I25" s="13"/>
      <c r="J25" s="13"/>
      <c r="K25" s="13"/>
      <c r="L25" s="13"/>
      <c r="M25" s="13">
        <f>SUM(B25:L25)</f>
        <v>0</v>
      </c>
      <c r="P25" s="28" t="s">
        <v>103</v>
      </c>
    </row>
    <row r="26" spans="1:14" s="3" customFormat="1" ht="12.75">
      <c r="A26" s="17" t="s">
        <v>1</v>
      </c>
      <c r="B26" s="13">
        <f>SUM(B22:B23)</f>
        <v>5848</v>
      </c>
      <c r="C26" s="13">
        <f>SUM(C22:C23)</f>
        <v>5937</v>
      </c>
      <c r="D26" s="13">
        <f>SUM(D22:D23)</f>
        <v>6661</v>
      </c>
      <c r="E26" s="13">
        <f>SUM(E22:E23)</f>
        <v>6706</v>
      </c>
      <c r="F26" s="13">
        <f>SUM(F22:F23)</f>
        <v>6403</v>
      </c>
      <c r="G26" s="13">
        <f aca="true" t="shared" si="2" ref="G26:L26">SUM(G22:G25)</f>
        <v>8552</v>
      </c>
      <c r="H26" s="13">
        <f t="shared" si="2"/>
        <v>8484</v>
      </c>
      <c r="I26" s="13">
        <f t="shared" si="2"/>
        <v>7239</v>
      </c>
      <c r="J26" s="13">
        <f t="shared" si="2"/>
        <v>7779</v>
      </c>
      <c r="K26" s="13">
        <f t="shared" si="2"/>
        <v>6814</v>
      </c>
      <c r="L26" s="13">
        <f t="shared" si="2"/>
        <v>7054</v>
      </c>
      <c r="M26" s="13">
        <f>SUM(B26:L26)</f>
        <v>77477</v>
      </c>
      <c r="N26" s="6"/>
    </row>
    <row r="27" spans="1:13" s="3" customFormat="1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s="3" customFormat="1" ht="12.75">
      <c r="A28" s="49" t="s">
        <v>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s="3" customFormat="1" ht="12.75">
      <c r="A29" s="49" t="s">
        <v>7</v>
      </c>
      <c r="B29" s="46" t="s">
        <v>8</v>
      </c>
      <c r="C29" s="46" t="s">
        <v>8</v>
      </c>
      <c r="D29" s="46" t="s">
        <v>8</v>
      </c>
      <c r="E29" s="46" t="s">
        <v>8</v>
      </c>
      <c r="F29" s="46" t="s">
        <v>8</v>
      </c>
      <c r="G29" s="46" t="s">
        <v>8</v>
      </c>
      <c r="H29" s="46" t="s">
        <v>8</v>
      </c>
      <c r="I29" s="51" t="s">
        <v>8</v>
      </c>
      <c r="J29" s="51" t="s">
        <v>8</v>
      </c>
      <c r="K29" s="51" t="s">
        <v>8</v>
      </c>
      <c r="L29" s="51" t="s">
        <v>8</v>
      </c>
      <c r="M29" s="46" t="s">
        <v>8</v>
      </c>
    </row>
    <row r="30" spans="1:13" ht="12.75">
      <c r="A30" s="16" t="s">
        <v>9</v>
      </c>
      <c r="B30" s="13">
        <v>7386</v>
      </c>
      <c r="C30" s="13">
        <v>5196</v>
      </c>
      <c r="D30" s="13">
        <v>5774</v>
      </c>
      <c r="E30" s="13">
        <f>6786+209</f>
        <v>6995</v>
      </c>
      <c r="F30" s="13">
        <v>5636</v>
      </c>
      <c r="G30" s="65">
        <v>10708</v>
      </c>
      <c r="H30" s="65">
        <f>6181+4433</f>
        <v>10614</v>
      </c>
      <c r="I30" s="65">
        <v>8778</v>
      </c>
      <c r="J30" s="65">
        <v>9302</v>
      </c>
      <c r="K30" s="65">
        <v>8994</v>
      </c>
      <c r="L30" s="65">
        <v>10069</v>
      </c>
      <c r="M30" s="13">
        <f>SUM(B30:L30)</f>
        <v>89452</v>
      </c>
    </row>
    <row r="31" spans="1:14" ht="12.75">
      <c r="A31" s="16" t="s">
        <v>10</v>
      </c>
      <c r="B31" s="13">
        <v>147716</v>
      </c>
      <c r="C31" s="13">
        <v>83203</v>
      </c>
      <c r="D31" s="13">
        <v>106522</v>
      </c>
      <c r="E31" s="13">
        <f>116346+3192</f>
        <v>119538</v>
      </c>
      <c r="F31" s="13">
        <v>93966</v>
      </c>
      <c r="G31" s="65">
        <v>177208</v>
      </c>
      <c r="H31" s="65">
        <f>27468+164462</f>
        <v>191930</v>
      </c>
      <c r="I31" s="65">
        <v>66525</v>
      </c>
      <c r="J31" s="65">
        <v>68712</v>
      </c>
      <c r="K31" s="65">
        <v>64804</v>
      </c>
      <c r="L31" s="65">
        <v>89465</v>
      </c>
      <c r="M31" s="13">
        <f>SUM(B31:L31)</f>
        <v>1209589</v>
      </c>
      <c r="N31" s="116"/>
    </row>
    <row r="32" spans="1:14" ht="12.75">
      <c r="A32" s="23"/>
      <c r="B32" s="50"/>
      <c r="C32" s="50"/>
      <c r="D32" s="50"/>
      <c r="E32" s="50"/>
      <c r="F32" s="50"/>
      <c r="G32" s="69"/>
      <c r="H32" s="69"/>
      <c r="I32" s="69"/>
      <c r="J32" s="69"/>
      <c r="K32" s="69"/>
      <c r="L32" s="69"/>
      <c r="M32" s="50"/>
      <c r="N32" s="115"/>
    </row>
    <row r="33" spans="1:13" ht="12.75">
      <c r="A33" s="49" t="s">
        <v>135</v>
      </c>
      <c r="B33" s="50" t="s">
        <v>11</v>
      </c>
      <c r="C33" s="50" t="s">
        <v>11</v>
      </c>
      <c r="D33" s="50" t="s">
        <v>11</v>
      </c>
      <c r="E33" s="50" t="s">
        <v>11</v>
      </c>
      <c r="F33" s="50" t="s">
        <v>11</v>
      </c>
      <c r="G33" s="69" t="s">
        <v>11</v>
      </c>
      <c r="H33" s="69" t="s">
        <v>11</v>
      </c>
      <c r="I33" s="110" t="s">
        <v>11</v>
      </c>
      <c r="J33" s="110" t="s">
        <v>11</v>
      </c>
      <c r="K33" s="110" t="s">
        <v>11</v>
      </c>
      <c r="L33" s="110" t="s">
        <v>11</v>
      </c>
      <c r="M33" s="50" t="s">
        <v>11</v>
      </c>
    </row>
    <row r="34" spans="1:13" ht="12.75">
      <c r="A34" s="16" t="s">
        <v>36</v>
      </c>
      <c r="B34" s="13">
        <v>1032</v>
      </c>
      <c r="C34" s="13">
        <v>627</v>
      </c>
      <c r="D34" s="13">
        <v>868</v>
      </c>
      <c r="E34" s="13">
        <f>770+50</f>
        <v>820</v>
      </c>
      <c r="F34" s="13">
        <v>569</v>
      </c>
      <c r="G34" s="65">
        <v>1645</v>
      </c>
      <c r="H34" s="65">
        <f>854+746</f>
        <v>1600</v>
      </c>
      <c r="I34" s="65">
        <v>1268</v>
      </c>
      <c r="J34" s="65">
        <v>1071</v>
      </c>
      <c r="K34" s="65">
        <v>937</v>
      </c>
      <c r="L34" s="65">
        <v>1072</v>
      </c>
      <c r="M34" s="13">
        <f>SUM(B34:L34)</f>
        <v>11509</v>
      </c>
    </row>
    <row r="35" spans="1:13" ht="12.75">
      <c r="A35" s="46"/>
      <c r="B35" s="50"/>
      <c r="C35" s="50"/>
      <c r="D35" s="50"/>
      <c r="E35" s="50"/>
      <c r="F35" s="50"/>
      <c r="G35" s="50"/>
      <c r="H35" s="50"/>
      <c r="I35" s="50"/>
      <c r="J35" s="69"/>
      <c r="K35" s="69"/>
      <c r="L35" s="69"/>
      <c r="M35" s="50"/>
    </row>
    <row r="36" spans="1:13" ht="12.75">
      <c r="A36" s="49" t="s">
        <v>12</v>
      </c>
      <c r="B36" s="50" t="s">
        <v>13</v>
      </c>
      <c r="C36" s="50" t="s">
        <v>13</v>
      </c>
      <c r="D36" s="50" t="s">
        <v>13</v>
      </c>
      <c r="E36" s="50" t="s">
        <v>13</v>
      </c>
      <c r="F36" s="50" t="s">
        <v>13</v>
      </c>
      <c r="G36" s="50" t="s">
        <v>13</v>
      </c>
      <c r="H36" s="50" t="s">
        <v>13</v>
      </c>
      <c r="I36" s="105" t="s">
        <v>13</v>
      </c>
      <c r="J36" s="110" t="s">
        <v>13</v>
      </c>
      <c r="K36" s="110" t="s">
        <v>13</v>
      </c>
      <c r="L36" s="110" t="s">
        <v>13</v>
      </c>
      <c r="M36" s="50" t="s">
        <v>13</v>
      </c>
    </row>
    <row r="37" spans="1:13" ht="12.75">
      <c r="A37" s="16" t="s">
        <v>14</v>
      </c>
      <c r="B37" s="13">
        <v>91776</v>
      </c>
      <c r="C37" s="13">
        <v>73523</v>
      </c>
      <c r="D37" s="13">
        <v>65035</v>
      </c>
      <c r="E37" s="13">
        <v>59420</v>
      </c>
      <c r="F37" s="13">
        <v>48733</v>
      </c>
      <c r="G37" s="13">
        <v>42526</v>
      </c>
      <c r="H37" s="13">
        <f>31415+16686</f>
        <v>48101</v>
      </c>
      <c r="I37" s="13">
        <v>73535</v>
      </c>
      <c r="J37" s="65">
        <v>80504</v>
      </c>
      <c r="K37" s="65">
        <v>65642</v>
      </c>
      <c r="L37" s="65">
        <v>88278</v>
      </c>
      <c r="M37" s="13">
        <f>SUM(B37:L37)</f>
        <v>737073</v>
      </c>
    </row>
    <row r="38" spans="1:13" ht="12.75">
      <c r="A38" s="16" t="s">
        <v>10</v>
      </c>
      <c r="B38" s="13">
        <v>1835511</v>
      </c>
      <c r="C38" s="13">
        <v>1470460</v>
      </c>
      <c r="D38" s="13">
        <v>1284711</v>
      </c>
      <c r="E38" s="13">
        <v>1183165</v>
      </c>
      <c r="F38" s="13">
        <v>955990</v>
      </c>
      <c r="G38" s="13">
        <v>703101</v>
      </c>
      <c r="H38" s="13">
        <f>598791+333720</f>
        <v>932511</v>
      </c>
      <c r="I38" s="13">
        <v>1054201</v>
      </c>
      <c r="J38" s="65">
        <v>1105591</v>
      </c>
      <c r="K38" s="65">
        <v>883182</v>
      </c>
      <c r="L38" s="65">
        <v>1264890</v>
      </c>
      <c r="M38" s="13">
        <f>SUM(B38:L38)</f>
        <v>12673313</v>
      </c>
    </row>
    <row r="39" spans="10:12" ht="12.75">
      <c r="J39" s="79"/>
      <c r="K39" s="79"/>
      <c r="L39" s="79"/>
    </row>
    <row r="40" ht="12.75">
      <c r="A40" s="7" t="s">
        <v>256</v>
      </c>
    </row>
    <row r="41" spans="1:14" ht="12.75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N41" s="8"/>
    </row>
    <row r="43" ht="12.75">
      <c r="A43" s="2"/>
    </row>
    <row r="44" spans="1:25" ht="12.75">
      <c r="A44" s="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" ht="12.75">
      <c r="A45" s="2"/>
      <c r="B45" s="8"/>
    </row>
    <row r="46" ht="12.75">
      <c r="A46" s="2"/>
    </row>
    <row r="47" spans="1:17" ht="12.75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12.75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2.75">
      <c r="A49" s="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2:17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4" ht="12.75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N51" s="8"/>
    </row>
    <row r="53" spans="1:17" ht="12.75">
      <c r="A53" s="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2.75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2" ht="12.75">
      <c r="A55" s="2"/>
      <c r="B55" s="8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2">
    <mergeCell ref="A1:M1"/>
    <mergeCell ref="A11:M11"/>
  </mergeCells>
  <printOptions/>
  <pageMargins left="0.75" right="0.75" top="1" bottom="1" header="0.5" footer="0.5"/>
  <pageSetup horizontalDpi="600" verticalDpi="600" orientation="landscape" scale="58" r:id="rId1"/>
  <ignoredErrors>
    <ignoredError sqref="B9:F9 H9:I9 K10:L10 J10" formulaRange="1"/>
    <ignoredError sqref="G9" formula="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Y127"/>
  <sheetViews>
    <sheetView zoomScalePageLayoutView="0" workbookViewId="0" topLeftCell="A1">
      <selection activeCell="N1" sqref="N1"/>
    </sheetView>
  </sheetViews>
  <sheetFormatPr defaultColWidth="10.7109375" defaultRowHeight="12.75"/>
  <cols>
    <col min="1" max="1" width="27.00390625" style="3" customWidth="1"/>
    <col min="2" max="4" width="16.140625" style="6" customWidth="1"/>
    <col min="5" max="5" width="15.421875" style="6" customWidth="1"/>
    <col min="6" max="6" width="15.57421875" style="6" bestFit="1" customWidth="1"/>
    <col min="7" max="7" width="16.140625" style="6" bestFit="1" customWidth="1"/>
    <col min="8" max="8" width="15.57421875" style="6" bestFit="1" customWidth="1"/>
    <col min="9" max="12" width="13.8515625" style="6" customWidth="1"/>
    <col min="13" max="13" width="17.28125" style="6" bestFit="1" customWidth="1"/>
    <col min="14" max="14" width="10.8515625" style="6" bestFit="1" customWidth="1"/>
    <col min="15" max="16384" width="10.7109375" style="6" customWidth="1"/>
  </cols>
  <sheetData>
    <row r="1" spans="1:13" ht="15.75">
      <c r="A1" s="235" t="s">
        <v>93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5.75">
      <c r="A2" s="144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6" ht="12.75">
      <c r="A3" s="23"/>
      <c r="N3" s="3"/>
      <c r="O3" s="3"/>
      <c r="P3" s="3"/>
    </row>
    <row r="4" spans="1:16" ht="12.75">
      <c r="A4" s="33" t="s">
        <v>282</v>
      </c>
      <c r="B4" s="31">
        <v>2001</v>
      </c>
      <c r="C4" s="31">
        <v>2002</v>
      </c>
      <c r="D4" s="31">
        <v>2003</v>
      </c>
      <c r="E4" s="31">
        <v>2004</v>
      </c>
      <c r="F4" s="31">
        <v>2005</v>
      </c>
      <c r="G4" s="31">
        <v>2006</v>
      </c>
      <c r="H4" s="31">
        <v>2007</v>
      </c>
      <c r="I4" s="31">
        <v>2008</v>
      </c>
      <c r="J4" s="31">
        <v>2009</v>
      </c>
      <c r="K4" s="31">
        <v>2010</v>
      </c>
      <c r="L4" s="31">
        <v>2011</v>
      </c>
      <c r="M4" s="162" t="s">
        <v>360</v>
      </c>
      <c r="N4" s="3"/>
      <c r="O4" s="3"/>
      <c r="P4" s="3"/>
    </row>
    <row r="5" spans="1:16" ht="12.75">
      <c r="A5" s="20" t="s">
        <v>55</v>
      </c>
      <c r="B5" s="15">
        <v>21551</v>
      </c>
      <c r="C5" s="15">
        <v>28353</v>
      </c>
      <c r="D5" s="15"/>
      <c r="E5" s="15"/>
      <c r="F5" s="76"/>
      <c r="G5" s="76"/>
      <c r="H5" s="76"/>
      <c r="I5" s="76"/>
      <c r="J5" s="76"/>
      <c r="K5" s="76"/>
      <c r="L5" s="76"/>
      <c r="M5" s="76"/>
      <c r="N5" s="3"/>
      <c r="O5" s="3"/>
      <c r="P5" s="3"/>
    </row>
    <row r="6" spans="1:16" ht="12.75">
      <c r="A6" s="20" t="s">
        <v>56</v>
      </c>
      <c r="B6" s="15">
        <v>984</v>
      </c>
      <c r="C6" s="15">
        <v>942</v>
      </c>
      <c r="D6" s="15"/>
      <c r="E6" s="15"/>
      <c r="F6" s="76"/>
      <c r="G6" s="76"/>
      <c r="H6" s="76"/>
      <c r="I6" s="76"/>
      <c r="J6" s="76"/>
      <c r="K6" s="76"/>
      <c r="L6" s="76"/>
      <c r="M6" s="76"/>
      <c r="N6" s="3"/>
      <c r="O6" s="3"/>
      <c r="P6" s="3"/>
    </row>
    <row r="7" spans="1:16" ht="12.75">
      <c r="A7" s="20" t="s">
        <v>57</v>
      </c>
      <c r="B7" s="15">
        <v>445</v>
      </c>
      <c r="C7" s="15">
        <v>649</v>
      </c>
      <c r="D7" s="15"/>
      <c r="E7" s="15"/>
      <c r="F7" s="76"/>
      <c r="G7" s="76"/>
      <c r="H7" s="76"/>
      <c r="I7" s="76"/>
      <c r="J7" s="76"/>
      <c r="K7" s="76"/>
      <c r="L7" s="76"/>
      <c r="M7" s="76"/>
      <c r="N7" s="3"/>
      <c r="O7" s="3"/>
      <c r="P7" s="3"/>
    </row>
    <row r="8" spans="1:16" ht="12.75">
      <c r="A8" s="21" t="s">
        <v>58</v>
      </c>
      <c r="B8" s="15"/>
      <c r="C8" s="15"/>
      <c r="D8" s="15">
        <v>3145</v>
      </c>
      <c r="E8" s="15">
        <v>3317</v>
      </c>
      <c r="F8" s="76">
        <v>3300</v>
      </c>
      <c r="G8" s="76">
        <v>3811</v>
      </c>
      <c r="H8" s="76">
        <v>4000</v>
      </c>
      <c r="I8" s="76">
        <v>4503</v>
      </c>
      <c r="J8" s="155">
        <v>10691720.49</v>
      </c>
      <c r="K8" s="155">
        <v>6813711.71</v>
      </c>
      <c r="L8" s="155">
        <v>6867143.41</v>
      </c>
      <c r="M8" s="76"/>
      <c r="N8" s="3"/>
      <c r="O8" s="3"/>
      <c r="P8" s="3"/>
    </row>
    <row r="9" spans="1:16" ht="12.75">
      <c r="A9" s="21" t="s">
        <v>61</v>
      </c>
      <c r="B9" s="15"/>
      <c r="C9" s="15"/>
      <c r="D9" s="15">
        <v>24089</v>
      </c>
      <c r="E9" s="15">
        <v>21773</v>
      </c>
      <c r="F9" s="76">
        <v>20900</v>
      </c>
      <c r="G9" s="76">
        <v>25180</v>
      </c>
      <c r="H9" s="76">
        <v>26068</v>
      </c>
      <c r="I9" s="76">
        <v>22596</v>
      </c>
      <c r="J9" s="155">
        <v>22020298.02</v>
      </c>
      <c r="K9" s="155">
        <v>35109759.59</v>
      </c>
      <c r="L9" s="155">
        <v>45899451.3</v>
      </c>
      <c r="M9" s="76"/>
      <c r="N9" s="3"/>
      <c r="O9" s="3"/>
      <c r="P9" s="3"/>
    </row>
    <row r="10" spans="1:16" ht="12.75">
      <c r="A10" s="21" t="s">
        <v>62</v>
      </c>
      <c r="B10" s="15"/>
      <c r="C10" s="15"/>
      <c r="D10" s="15">
        <v>6670</v>
      </c>
      <c r="E10" s="15">
        <v>5109</v>
      </c>
      <c r="F10" s="76">
        <v>3500</v>
      </c>
      <c r="G10" s="76">
        <v>3872</v>
      </c>
      <c r="H10" s="76">
        <v>5000</v>
      </c>
      <c r="I10" s="76">
        <v>3737</v>
      </c>
      <c r="J10" s="155">
        <v>7103223.98</v>
      </c>
      <c r="K10" s="155"/>
      <c r="L10" s="155"/>
      <c r="M10" s="76"/>
      <c r="N10" s="3"/>
      <c r="O10" s="3"/>
      <c r="P10" s="3"/>
    </row>
    <row r="11" spans="1:16" ht="12.75">
      <c r="A11" s="17" t="s">
        <v>60</v>
      </c>
      <c r="B11" s="15">
        <f>SUM(B5:B10)</f>
        <v>22980</v>
      </c>
      <c r="C11" s="15">
        <f>SUM(C5:C10)</f>
        <v>29944</v>
      </c>
      <c r="D11" s="15">
        <f>SUM(D5:D10)</f>
        <v>33904</v>
      </c>
      <c r="E11" s="15">
        <f>SUM(E5:E10)</f>
        <v>30199</v>
      </c>
      <c r="F11" s="76">
        <f>SUM(F8:F10)</f>
        <v>27700</v>
      </c>
      <c r="G11" s="76">
        <f>SUM(G8:G10)</f>
        <v>32863</v>
      </c>
      <c r="H11" s="76">
        <f>SUM(H8:H10)</f>
        <v>35068</v>
      </c>
      <c r="I11" s="76">
        <f>SUM(I8:I10)</f>
        <v>30836</v>
      </c>
      <c r="J11" s="76"/>
      <c r="K11" s="76"/>
      <c r="L11" s="76"/>
      <c r="M11" s="76"/>
      <c r="N11" s="4"/>
      <c r="O11" s="3"/>
      <c r="P11" s="3"/>
    </row>
    <row r="12" spans="1:16" ht="12.75">
      <c r="A12" s="17" t="s">
        <v>281</v>
      </c>
      <c r="B12" s="132">
        <f>B11*1000</f>
        <v>22980000</v>
      </c>
      <c r="C12" s="132">
        <f aca="true" t="shared" si="0" ref="C12:I12">C11*1000</f>
        <v>29944000</v>
      </c>
      <c r="D12" s="132">
        <f t="shared" si="0"/>
        <v>33904000</v>
      </c>
      <c r="E12" s="132">
        <f t="shared" si="0"/>
        <v>30199000</v>
      </c>
      <c r="F12" s="155">
        <f t="shared" si="0"/>
        <v>27700000</v>
      </c>
      <c r="G12" s="155">
        <f t="shared" si="0"/>
        <v>32863000</v>
      </c>
      <c r="H12" s="155">
        <f t="shared" si="0"/>
        <v>35068000</v>
      </c>
      <c r="I12" s="155">
        <f t="shared" si="0"/>
        <v>30836000</v>
      </c>
      <c r="J12" s="155">
        <f>SUM(J8:J11)</f>
        <v>39815242.489999995</v>
      </c>
      <c r="K12" s="155">
        <f>SUM(K8:K11)</f>
        <v>41923471.300000004</v>
      </c>
      <c r="L12" s="155">
        <f>SUM(L8:L11)</f>
        <v>52766594.70999999</v>
      </c>
      <c r="M12" s="155">
        <f>SUM(B12:L12)</f>
        <v>377999308.5</v>
      </c>
      <c r="N12" s="4"/>
      <c r="O12" s="3"/>
      <c r="P12" s="3"/>
    </row>
    <row r="13" spans="1:16" ht="26.25" customHeight="1">
      <c r="A13" s="237" t="s">
        <v>351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3"/>
      <c r="O13" s="3"/>
      <c r="P13" s="3"/>
    </row>
    <row r="14" spans="1:16" ht="12.75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3"/>
      <c r="O14" s="3"/>
      <c r="P14" s="3"/>
    </row>
    <row r="15" spans="1:16" ht="12.75">
      <c r="A15" s="33" t="s">
        <v>347</v>
      </c>
      <c r="B15" s="47"/>
      <c r="C15" s="47"/>
      <c r="D15" s="47"/>
      <c r="E15" s="47"/>
      <c r="F15" s="158"/>
      <c r="G15" s="158"/>
      <c r="H15" s="158"/>
      <c r="I15" s="158"/>
      <c r="J15" s="158"/>
      <c r="K15" s="158"/>
      <c r="L15" s="158"/>
      <c r="M15" s="130"/>
      <c r="N15" s="3"/>
      <c r="O15" s="3"/>
      <c r="P15" s="3"/>
    </row>
    <row r="16" spans="1:13" s="3" customFormat="1" ht="12.75">
      <c r="A16" s="20" t="s">
        <v>55</v>
      </c>
      <c r="B16" s="15">
        <v>12346</v>
      </c>
      <c r="C16" s="15">
        <v>38271</v>
      </c>
      <c r="D16" s="15"/>
      <c r="E16" s="15"/>
      <c r="F16" s="131"/>
      <c r="G16" s="131"/>
      <c r="H16" s="131"/>
      <c r="I16" s="131"/>
      <c r="J16" s="131"/>
      <c r="K16" s="131"/>
      <c r="L16" s="131"/>
      <c r="M16" s="76"/>
    </row>
    <row r="17" spans="1:13" s="3" customFormat="1" ht="12.75">
      <c r="A17" s="20" t="s">
        <v>56</v>
      </c>
      <c r="B17" s="15">
        <v>96</v>
      </c>
      <c r="C17" s="15">
        <v>496</v>
      </c>
      <c r="D17" s="15"/>
      <c r="E17" s="15"/>
      <c r="F17" s="76"/>
      <c r="G17" s="76"/>
      <c r="H17" s="76"/>
      <c r="I17" s="76"/>
      <c r="J17" s="76"/>
      <c r="K17" s="76"/>
      <c r="L17" s="76"/>
      <c r="M17" s="76"/>
    </row>
    <row r="18" spans="1:13" s="3" customFormat="1" ht="12.75">
      <c r="A18" s="20" t="s">
        <v>57</v>
      </c>
      <c r="B18" s="15">
        <v>59</v>
      </c>
      <c r="C18" s="15">
        <v>72</v>
      </c>
      <c r="D18" s="15"/>
      <c r="E18" s="15"/>
      <c r="F18" s="76"/>
      <c r="G18" s="76"/>
      <c r="H18" s="76"/>
      <c r="I18" s="76"/>
      <c r="J18" s="155"/>
      <c r="K18" s="155"/>
      <c r="L18" s="155"/>
      <c r="M18" s="76"/>
    </row>
    <row r="19" spans="1:13" s="3" customFormat="1" ht="12.75">
      <c r="A19" s="21" t="s">
        <v>58</v>
      </c>
      <c r="B19" s="15"/>
      <c r="C19" s="15"/>
      <c r="D19" s="15">
        <v>3832</v>
      </c>
      <c r="E19" s="15">
        <v>3902</v>
      </c>
      <c r="F19" s="76">
        <v>3730</v>
      </c>
      <c r="G19" s="76">
        <v>1422</v>
      </c>
      <c r="H19" s="76">
        <v>2358</v>
      </c>
      <c r="I19" s="76">
        <v>1544</v>
      </c>
      <c r="J19" s="155">
        <v>2240924.83</v>
      </c>
      <c r="K19" s="155">
        <v>2446568.3</v>
      </c>
      <c r="L19" s="155">
        <v>2387636.95</v>
      </c>
      <c r="M19" s="76"/>
    </row>
    <row r="20" spans="1:13" s="3" customFormat="1" ht="12.75">
      <c r="A20" s="21" t="s">
        <v>61</v>
      </c>
      <c r="B20" s="15"/>
      <c r="C20" s="15"/>
      <c r="D20" s="15">
        <v>25095</v>
      </c>
      <c r="E20" s="15">
        <v>22686</v>
      </c>
      <c r="F20" s="76">
        <v>17347</v>
      </c>
      <c r="G20" s="76">
        <v>16973</v>
      </c>
      <c r="H20" s="76">
        <v>13047</v>
      </c>
      <c r="I20" s="76">
        <v>11710</v>
      </c>
      <c r="J20" s="155">
        <v>14410530.34</v>
      </c>
      <c r="K20" s="155">
        <v>17220583.18</v>
      </c>
      <c r="L20" s="155">
        <v>15697501.92</v>
      </c>
      <c r="M20" s="76"/>
    </row>
    <row r="21" spans="1:13" s="3" customFormat="1" ht="12.75">
      <c r="A21" s="21" t="s">
        <v>62</v>
      </c>
      <c r="B21" s="15"/>
      <c r="C21" s="15"/>
      <c r="D21" s="15">
        <v>1628</v>
      </c>
      <c r="E21" s="15">
        <v>3073</v>
      </c>
      <c r="F21" s="76">
        <v>3360</v>
      </c>
      <c r="G21" s="76">
        <v>1672</v>
      </c>
      <c r="H21" s="76">
        <v>843</v>
      </c>
      <c r="I21" s="76">
        <v>1085</v>
      </c>
      <c r="J21" s="155">
        <v>1006162.63</v>
      </c>
      <c r="K21" s="155"/>
      <c r="L21" s="155"/>
      <c r="M21" s="76"/>
    </row>
    <row r="22" spans="1:14" s="3" customFormat="1" ht="12.75">
      <c r="A22" s="17" t="s">
        <v>60</v>
      </c>
      <c r="B22" s="15">
        <f>SUM(B16:B21)</f>
        <v>12501</v>
      </c>
      <c r="C22" s="15">
        <f>SUM(C16:C21)</f>
        <v>38839</v>
      </c>
      <c r="D22" s="15">
        <f>SUM(D16:D21)</f>
        <v>30555</v>
      </c>
      <c r="E22" s="15">
        <f>SUM(E16:E21)</f>
        <v>29661</v>
      </c>
      <c r="F22" s="76">
        <f>SUM(F16:F21)</f>
        <v>24437</v>
      </c>
      <c r="G22" s="76">
        <f>SUM(G19:G21)</f>
        <v>20067</v>
      </c>
      <c r="H22" s="76">
        <f>SUM(H19:H21)</f>
        <v>16248</v>
      </c>
      <c r="I22" s="76">
        <f>SUM(I19:I21)</f>
        <v>14339</v>
      </c>
      <c r="J22" s="155"/>
      <c r="K22" s="155"/>
      <c r="L22" s="155"/>
      <c r="M22" s="76"/>
      <c r="N22" s="4"/>
    </row>
    <row r="23" spans="1:14" s="3" customFormat="1" ht="12.75">
      <c r="A23" s="17" t="s">
        <v>281</v>
      </c>
      <c r="B23" s="132">
        <f>B22*1000</f>
        <v>12501000</v>
      </c>
      <c r="C23" s="132">
        <f aca="true" t="shared" si="1" ref="C23:I23">C22*1000</f>
        <v>38839000</v>
      </c>
      <c r="D23" s="132">
        <f t="shared" si="1"/>
        <v>30555000</v>
      </c>
      <c r="E23" s="132">
        <f t="shared" si="1"/>
        <v>29661000</v>
      </c>
      <c r="F23" s="155">
        <f t="shared" si="1"/>
        <v>24437000</v>
      </c>
      <c r="G23" s="155">
        <f t="shared" si="1"/>
        <v>20067000</v>
      </c>
      <c r="H23" s="155">
        <f t="shared" si="1"/>
        <v>16248000</v>
      </c>
      <c r="I23" s="155">
        <f t="shared" si="1"/>
        <v>14339000</v>
      </c>
      <c r="J23" s="155">
        <f>SUM(J19:J22)</f>
        <v>17657617.8</v>
      </c>
      <c r="K23" s="155">
        <f>SUM(K19:K22)</f>
        <v>19667151.48</v>
      </c>
      <c r="L23" s="155">
        <f>SUM(L19:L22)</f>
        <v>18085138.87</v>
      </c>
      <c r="M23" s="155">
        <f>SUM(B23:L23)</f>
        <v>242056908.15</v>
      </c>
      <c r="N23" s="4"/>
    </row>
    <row r="24" spans="1:14" s="3" customFormat="1" ht="12.75">
      <c r="A24" s="49"/>
      <c r="B24" s="48"/>
      <c r="C24" s="48"/>
      <c r="D24" s="48"/>
      <c r="E24" s="48"/>
      <c r="F24" s="119"/>
      <c r="G24" s="119"/>
      <c r="H24" s="119"/>
      <c r="I24" s="119"/>
      <c r="J24" s="119"/>
      <c r="K24" s="119"/>
      <c r="L24" s="119"/>
      <c r="M24" s="119"/>
      <c r="N24" s="4"/>
    </row>
    <row r="25" spans="1:14" s="3" customFormat="1" ht="12.75">
      <c r="A25" s="17" t="s">
        <v>228</v>
      </c>
      <c r="B25" s="15"/>
      <c r="C25" s="15"/>
      <c r="D25" s="15"/>
      <c r="E25" s="15"/>
      <c r="F25" s="76"/>
      <c r="G25" s="76"/>
      <c r="H25" s="76">
        <v>13474</v>
      </c>
      <c r="I25" s="76">
        <f>2997+13425+1234</f>
        <v>17656</v>
      </c>
      <c r="J25" s="76">
        <v>22124461.33</v>
      </c>
      <c r="K25" s="76">
        <v>16665840</v>
      </c>
      <c r="L25" s="76">
        <f>2430340+21743160</f>
        <v>24173500</v>
      </c>
      <c r="M25" s="119"/>
      <c r="N25" s="4"/>
    </row>
    <row r="26" spans="1:13" s="3" customFormat="1" ht="12.75">
      <c r="A26" s="23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s="3" customFormat="1" ht="12.75">
      <c r="A27" s="49" t="s">
        <v>63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s="3" customFormat="1" ht="12.75">
      <c r="A28" s="20" t="s">
        <v>55</v>
      </c>
      <c r="B28" s="13">
        <v>1632</v>
      </c>
      <c r="C28" s="13">
        <v>9070</v>
      </c>
      <c r="D28" s="13"/>
      <c r="E28" s="13"/>
      <c r="F28" s="13"/>
      <c r="G28" s="13"/>
      <c r="H28" s="13"/>
      <c r="I28" s="13"/>
      <c r="J28" s="13"/>
      <c r="K28" s="13"/>
      <c r="L28" s="13"/>
      <c r="M28" s="13">
        <f>SUM(B28:L28)</f>
        <v>10702</v>
      </c>
    </row>
    <row r="29" spans="1:13" s="3" customFormat="1" ht="12.75">
      <c r="A29" s="20" t="s">
        <v>56</v>
      </c>
      <c r="B29" s="13">
        <v>11</v>
      </c>
      <c r="C29" s="13">
        <v>76</v>
      </c>
      <c r="D29" s="13"/>
      <c r="E29" s="13"/>
      <c r="F29" s="13"/>
      <c r="G29" s="13"/>
      <c r="H29" s="13"/>
      <c r="I29" s="13"/>
      <c r="J29" s="13"/>
      <c r="K29" s="13"/>
      <c r="L29" s="13"/>
      <c r="M29" s="13">
        <f aca="true" t="shared" si="2" ref="M29:M34">SUM(B29:L29)</f>
        <v>87</v>
      </c>
    </row>
    <row r="30" spans="1:13" s="3" customFormat="1" ht="12.75">
      <c r="A30" s="20" t="s">
        <v>57</v>
      </c>
      <c r="B30" s="13">
        <v>7</v>
      </c>
      <c r="C30" s="13">
        <v>17</v>
      </c>
      <c r="D30" s="13"/>
      <c r="E30" s="13"/>
      <c r="F30" s="13"/>
      <c r="G30" s="13"/>
      <c r="H30" s="13"/>
      <c r="I30" s="13"/>
      <c r="J30" s="13"/>
      <c r="K30" s="13"/>
      <c r="L30" s="13"/>
      <c r="M30" s="13">
        <f t="shared" si="2"/>
        <v>24</v>
      </c>
    </row>
    <row r="31" spans="1:13" s="3" customFormat="1" ht="12.75">
      <c r="A31" s="21" t="s">
        <v>58</v>
      </c>
      <c r="B31" s="13"/>
      <c r="C31" s="13"/>
      <c r="D31" s="13">
        <v>188</v>
      </c>
      <c r="E31" s="13">
        <v>176</v>
      </c>
      <c r="F31" s="13">
        <v>198</v>
      </c>
      <c r="G31" s="13">
        <v>187</v>
      </c>
      <c r="H31" s="13">
        <v>113</v>
      </c>
      <c r="I31" s="13">
        <v>111</v>
      </c>
      <c r="J31" s="13">
        <v>96</v>
      </c>
      <c r="K31" s="13">
        <v>97</v>
      </c>
      <c r="L31" s="13">
        <v>136</v>
      </c>
      <c r="M31" s="13">
        <f t="shared" si="2"/>
        <v>1302</v>
      </c>
    </row>
    <row r="32" spans="1:15" s="3" customFormat="1" ht="12.75">
      <c r="A32" s="21" t="s">
        <v>61</v>
      </c>
      <c r="B32" s="13"/>
      <c r="C32" s="13"/>
      <c r="D32" s="13">
        <v>3818</v>
      </c>
      <c r="E32" s="13">
        <v>3563</v>
      </c>
      <c r="F32" s="13">
        <v>1923</v>
      </c>
      <c r="G32" s="13">
        <v>1798</v>
      </c>
      <c r="H32" s="13">
        <v>1129</v>
      </c>
      <c r="I32" s="13">
        <v>1172</v>
      </c>
      <c r="J32" s="13">
        <v>1393</v>
      </c>
      <c r="K32" s="13">
        <v>1888</v>
      </c>
      <c r="L32" s="13">
        <v>1718</v>
      </c>
      <c r="M32" s="13">
        <f t="shared" si="2"/>
        <v>18402</v>
      </c>
      <c r="O32" s="6"/>
    </row>
    <row r="33" spans="1:13" s="3" customFormat="1" ht="12.75">
      <c r="A33" s="21" t="s">
        <v>62</v>
      </c>
      <c r="B33" s="13"/>
      <c r="C33" s="13"/>
      <c r="D33" s="13">
        <v>203</v>
      </c>
      <c r="E33" s="13">
        <v>244</v>
      </c>
      <c r="F33" s="13">
        <v>266</v>
      </c>
      <c r="G33" s="13">
        <v>109</v>
      </c>
      <c r="H33" s="13">
        <v>55</v>
      </c>
      <c r="I33" s="13">
        <v>118</v>
      </c>
      <c r="J33" s="13">
        <v>118</v>
      </c>
      <c r="K33" s="13"/>
      <c r="L33" s="13"/>
      <c r="M33" s="13">
        <f t="shared" si="2"/>
        <v>1113</v>
      </c>
    </row>
    <row r="34" spans="1:15" s="3" customFormat="1" ht="12.75">
      <c r="A34" s="17" t="s">
        <v>60</v>
      </c>
      <c r="B34" s="13">
        <f>SUM(B28:B33)</f>
        <v>1650</v>
      </c>
      <c r="C34" s="13">
        <f>SUM(C28:C33)</f>
        <v>9163</v>
      </c>
      <c r="D34" s="13">
        <f>SUM(D28:D33)</f>
        <v>4209</v>
      </c>
      <c r="E34" s="13">
        <f>SUM(E28:E33)</f>
        <v>3983</v>
      </c>
      <c r="F34" s="13">
        <f>SUM(F28:F33)</f>
        <v>2387</v>
      </c>
      <c r="G34" s="13">
        <f>SUM(G30:G33)</f>
        <v>2094</v>
      </c>
      <c r="H34" s="13">
        <f>SUM(H31:H33)</f>
        <v>1297</v>
      </c>
      <c r="I34" s="13">
        <f>SUM(I31:I33)</f>
        <v>1401</v>
      </c>
      <c r="J34" s="13">
        <f>SUM(J31:J33)</f>
        <v>1607</v>
      </c>
      <c r="K34" s="13">
        <f>SUM(K31:K33)</f>
        <v>1985</v>
      </c>
      <c r="L34" s="13">
        <f>SUM(L31:L33)</f>
        <v>1854</v>
      </c>
      <c r="M34" s="13">
        <f t="shared" si="2"/>
        <v>31630</v>
      </c>
      <c r="N34" s="6"/>
      <c r="O34" s="6"/>
    </row>
    <row r="35" spans="1:13" s="3" customFormat="1" ht="12.7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s="3" customFormat="1" ht="12.75">
      <c r="A36" s="49" t="s">
        <v>64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4" s="3" customFormat="1" ht="12.75">
      <c r="A37" s="16" t="s">
        <v>137</v>
      </c>
      <c r="B37" s="13">
        <v>4205</v>
      </c>
      <c r="C37" s="13">
        <v>2016</v>
      </c>
      <c r="D37" s="13">
        <v>2603</v>
      </c>
      <c r="E37" s="13">
        <v>2707</v>
      </c>
      <c r="F37" s="13">
        <v>2306</v>
      </c>
      <c r="G37" s="13">
        <f>150+936+64</f>
        <v>1150</v>
      </c>
      <c r="H37" s="13">
        <v>1026</v>
      </c>
      <c r="I37" s="13">
        <v>1709</v>
      </c>
      <c r="J37" s="123">
        <v>2306</v>
      </c>
      <c r="K37" s="171">
        <v>1993</v>
      </c>
      <c r="L37" s="171"/>
      <c r="M37" s="13">
        <f>SUM(B37:L37)</f>
        <v>22021</v>
      </c>
      <c r="N37" s="170"/>
    </row>
    <row r="38" spans="1:13" s="3" customFormat="1" ht="12.75">
      <c r="A38" s="23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s="3" customFormat="1" ht="15.75">
      <c r="A39" s="235" t="s">
        <v>93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1:13" s="3" customFormat="1" ht="12.75">
      <c r="A40" s="2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s="3" customFormat="1" ht="12.75">
      <c r="A41" s="49" t="s">
        <v>6</v>
      </c>
      <c r="B41" s="31">
        <v>2001</v>
      </c>
      <c r="C41" s="31">
        <v>2002</v>
      </c>
      <c r="D41" s="31">
        <v>2003</v>
      </c>
      <c r="E41" s="31">
        <v>2004</v>
      </c>
      <c r="F41" s="31">
        <v>2005</v>
      </c>
      <c r="G41" s="31">
        <v>2006</v>
      </c>
      <c r="H41" s="31">
        <v>2007</v>
      </c>
      <c r="I41" s="31">
        <v>2008</v>
      </c>
      <c r="J41" s="31">
        <v>2009</v>
      </c>
      <c r="K41" s="31">
        <v>2010</v>
      </c>
      <c r="L41" s="31">
        <v>2011</v>
      </c>
      <c r="M41" s="31" t="s">
        <v>1</v>
      </c>
    </row>
    <row r="42" spans="1:13" s="3" customFormat="1" ht="12.75">
      <c r="A42" s="56" t="s">
        <v>24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5" s="3" customFormat="1" ht="12.75">
      <c r="A43" s="49" t="s">
        <v>152</v>
      </c>
      <c r="B43" s="46" t="s">
        <v>8</v>
      </c>
      <c r="C43" s="46" t="s">
        <v>8</v>
      </c>
      <c r="D43" s="46" t="s">
        <v>8</v>
      </c>
      <c r="E43" s="46" t="s">
        <v>8</v>
      </c>
      <c r="F43" s="46" t="s">
        <v>8</v>
      </c>
      <c r="G43" s="46" t="s">
        <v>8</v>
      </c>
      <c r="H43" s="46" t="s">
        <v>8</v>
      </c>
      <c r="I43" s="51" t="s">
        <v>8</v>
      </c>
      <c r="J43" s="51" t="s">
        <v>8</v>
      </c>
      <c r="K43" s="51" t="s">
        <v>8</v>
      </c>
      <c r="L43" s="51" t="s">
        <v>8</v>
      </c>
      <c r="M43" s="46" t="s">
        <v>8</v>
      </c>
      <c r="N43" s="3">
        <v>2005</v>
      </c>
      <c r="O43" s="3">
        <v>2005</v>
      </c>
    </row>
    <row r="44" spans="1:15" ht="12.75">
      <c r="A44" s="68" t="s">
        <v>147</v>
      </c>
      <c r="B44" s="13"/>
      <c r="C44" s="13"/>
      <c r="D44" s="13"/>
      <c r="E44" s="13">
        <v>31538</v>
      </c>
      <c r="F44" s="13">
        <v>13851</v>
      </c>
      <c r="G44" s="13">
        <v>17351</v>
      </c>
      <c r="H44" s="13">
        <v>6572</v>
      </c>
      <c r="I44" s="13">
        <v>21782</v>
      </c>
      <c r="J44" s="13">
        <v>14993</v>
      </c>
      <c r="K44" s="13">
        <v>7062</v>
      </c>
      <c r="L44" s="13">
        <v>16912</v>
      </c>
      <c r="M44" s="13">
        <f>SUM(B44:L44)</f>
        <v>130061</v>
      </c>
      <c r="N44" s="6" t="s">
        <v>193</v>
      </c>
      <c r="O44" s="6" t="s">
        <v>192</v>
      </c>
    </row>
    <row r="45" spans="1:15" ht="12.75">
      <c r="A45" s="16" t="s">
        <v>148</v>
      </c>
      <c r="B45" s="13"/>
      <c r="C45" s="13"/>
      <c r="D45" s="13"/>
      <c r="E45" s="13">
        <v>163631</v>
      </c>
      <c r="F45" s="85">
        <v>120818</v>
      </c>
      <c r="G45" s="13">
        <v>78194</v>
      </c>
      <c r="H45" s="13">
        <v>81933</v>
      </c>
      <c r="I45" s="13">
        <v>74430</v>
      </c>
      <c r="J45" s="13">
        <v>75806</v>
      </c>
      <c r="K45" s="13">
        <v>119500</v>
      </c>
      <c r="L45" s="13">
        <v>103360</v>
      </c>
      <c r="M45" s="13">
        <f>SUM(B45:L45)</f>
        <v>817672</v>
      </c>
      <c r="N45" s="6">
        <v>260238</v>
      </c>
      <c r="O45" s="6">
        <f>N45-154911+15491</f>
        <v>120818</v>
      </c>
    </row>
    <row r="46" spans="1:13" ht="12.75">
      <c r="A46" s="16" t="s">
        <v>149</v>
      </c>
      <c r="B46" s="13"/>
      <c r="C46" s="13"/>
      <c r="D46" s="13"/>
      <c r="E46" s="13">
        <v>8975</v>
      </c>
      <c r="F46" s="13">
        <v>13583</v>
      </c>
      <c r="G46" s="13">
        <v>2832</v>
      </c>
      <c r="H46" s="13">
        <v>2084</v>
      </c>
      <c r="I46" s="13">
        <v>3310</v>
      </c>
      <c r="J46" s="13">
        <v>4992</v>
      </c>
      <c r="K46" s="13"/>
      <c r="L46" s="13"/>
      <c r="M46" s="13">
        <f>SUM(B46:L46)</f>
        <v>35776</v>
      </c>
    </row>
    <row r="47" spans="1:13" ht="12.75">
      <c r="A47" s="16" t="s">
        <v>146</v>
      </c>
      <c r="B47" s="13">
        <v>30943</v>
      </c>
      <c r="C47" s="13">
        <v>144635</v>
      </c>
      <c r="D47" s="13">
        <v>197347</v>
      </c>
      <c r="E47" s="13">
        <f aca="true" t="shared" si="3" ref="E47:L47">SUM(E44:E46)</f>
        <v>204144</v>
      </c>
      <c r="F47" s="13">
        <f t="shared" si="3"/>
        <v>148252</v>
      </c>
      <c r="G47" s="13">
        <f t="shared" si="3"/>
        <v>98377</v>
      </c>
      <c r="H47" s="13">
        <f t="shared" si="3"/>
        <v>90589</v>
      </c>
      <c r="I47" s="13">
        <f t="shared" si="3"/>
        <v>99522</v>
      </c>
      <c r="J47" s="13">
        <f t="shared" si="3"/>
        <v>95791</v>
      </c>
      <c r="K47" s="13">
        <f t="shared" si="3"/>
        <v>126562</v>
      </c>
      <c r="L47" s="13">
        <f t="shared" si="3"/>
        <v>120272</v>
      </c>
      <c r="M47" s="13">
        <f>SUM(B47:L47)</f>
        <v>1356434</v>
      </c>
    </row>
    <row r="48" spans="1:13" ht="12.75">
      <c r="A48" s="86" t="s">
        <v>191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23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2.75">
      <c r="A50" s="49" t="s">
        <v>153</v>
      </c>
      <c r="B50" s="46" t="s">
        <v>8</v>
      </c>
      <c r="C50" s="46" t="s">
        <v>8</v>
      </c>
      <c r="D50" s="46" t="s">
        <v>8</v>
      </c>
      <c r="E50" s="46" t="s">
        <v>8</v>
      </c>
      <c r="F50" s="46" t="s">
        <v>8</v>
      </c>
      <c r="G50" s="46" t="s">
        <v>8</v>
      </c>
      <c r="H50" s="46" t="s">
        <v>8</v>
      </c>
      <c r="I50" s="51" t="s">
        <v>8</v>
      </c>
      <c r="J50" s="51" t="s">
        <v>8</v>
      </c>
      <c r="K50" s="51" t="s">
        <v>8</v>
      </c>
      <c r="L50" s="51" t="s">
        <v>8</v>
      </c>
      <c r="M50" s="46" t="s">
        <v>8</v>
      </c>
    </row>
    <row r="51" spans="1:13" ht="12.75">
      <c r="A51" s="68" t="s">
        <v>147</v>
      </c>
      <c r="B51" s="13"/>
      <c r="C51" s="13"/>
      <c r="D51" s="13"/>
      <c r="E51" s="13">
        <v>473065</v>
      </c>
      <c r="F51" s="13">
        <v>207769</v>
      </c>
      <c r="G51" s="13">
        <v>260265</v>
      </c>
      <c r="H51" s="13">
        <v>101184</v>
      </c>
      <c r="I51" s="13">
        <v>109975</v>
      </c>
      <c r="J51" s="13">
        <v>225004</v>
      </c>
      <c r="K51" s="13">
        <v>108815</v>
      </c>
      <c r="L51" s="13">
        <v>264120</v>
      </c>
      <c r="M51" s="13">
        <f>SUM(B51:L51)</f>
        <v>1750197</v>
      </c>
    </row>
    <row r="52" spans="1:13" ht="12.75">
      <c r="A52" s="16" t="s">
        <v>148</v>
      </c>
      <c r="B52" s="13"/>
      <c r="C52" s="13"/>
      <c r="D52" s="13"/>
      <c r="E52" s="13">
        <v>2454112</v>
      </c>
      <c r="F52" s="13">
        <v>1812265</v>
      </c>
      <c r="G52" s="13">
        <v>1172904</v>
      </c>
      <c r="H52" s="13">
        <v>1252717</v>
      </c>
      <c r="I52" s="13">
        <v>1349840</v>
      </c>
      <c r="J52" s="13">
        <v>1141755</v>
      </c>
      <c r="K52" s="13">
        <v>1516908</v>
      </c>
      <c r="L52" s="13">
        <v>1642577</v>
      </c>
      <c r="M52" s="13">
        <f>SUM(B52:L52)</f>
        <v>12343078</v>
      </c>
    </row>
    <row r="53" spans="1:13" ht="12.75">
      <c r="A53" s="16" t="s">
        <v>149</v>
      </c>
      <c r="B53" s="13"/>
      <c r="C53" s="13"/>
      <c r="D53" s="13"/>
      <c r="E53" s="13">
        <v>134622</v>
      </c>
      <c r="F53" s="13">
        <v>203738</v>
      </c>
      <c r="G53" s="13">
        <v>42480</v>
      </c>
      <c r="H53" s="13">
        <v>31536</v>
      </c>
      <c r="I53" s="13">
        <v>46637</v>
      </c>
      <c r="J53" s="13">
        <v>43977</v>
      </c>
      <c r="K53" s="13"/>
      <c r="L53" s="13"/>
      <c r="M53" s="13">
        <f>SUM(B53:L53)</f>
        <v>502990</v>
      </c>
    </row>
    <row r="54" spans="1:13" ht="12.75">
      <c r="A54" s="16" t="s">
        <v>151</v>
      </c>
      <c r="B54" s="13">
        <v>464149</v>
      </c>
      <c r="C54" s="13">
        <v>2164648</v>
      </c>
      <c r="D54" s="13">
        <v>2944525</v>
      </c>
      <c r="E54" s="13">
        <f aca="true" t="shared" si="4" ref="E54:J54">SUM(E51:E53)</f>
        <v>3061799</v>
      </c>
      <c r="F54" s="13">
        <f t="shared" si="4"/>
        <v>2223772</v>
      </c>
      <c r="G54" s="13">
        <f t="shared" si="4"/>
        <v>1475649</v>
      </c>
      <c r="H54" s="13">
        <f t="shared" si="4"/>
        <v>1385437</v>
      </c>
      <c r="I54" s="13">
        <f t="shared" si="4"/>
        <v>1506452</v>
      </c>
      <c r="J54" s="13">
        <f t="shared" si="4"/>
        <v>1410736</v>
      </c>
      <c r="K54" s="13">
        <f>SUM(K51:K53)</f>
        <v>1625723</v>
      </c>
      <c r="L54" s="13">
        <f>SUM(L51:L53)</f>
        <v>1906697</v>
      </c>
      <c r="M54" s="13">
        <f>SUM(B54:L54)</f>
        <v>20169587</v>
      </c>
    </row>
    <row r="55" spans="1:13" ht="12.75">
      <c r="A55" s="2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2.75">
      <c r="A56" s="49" t="s">
        <v>135</v>
      </c>
      <c r="B56" s="50" t="s">
        <v>11</v>
      </c>
      <c r="C56" s="50" t="s">
        <v>11</v>
      </c>
      <c r="D56" s="50" t="s">
        <v>11</v>
      </c>
      <c r="E56" s="50" t="s">
        <v>11</v>
      </c>
      <c r="F56" s="50" t="s">
        <v>11</v>
      </c>
      <c r="G56" s="50" t="s">
        <v>11</v>
      </c>
      <c r="H56" s="50" t="s">
        <v>11</v>
      </c>
      <c r="I56" s="105" t="s">
        <v>11</v>
      </c>
      <c r="J56" s="105" t="s">
        <v>11</v>
      </c>
      <c r="K56" s="105" t="s">
        <v>11</v>
      </c>
      <c r="L56" s="105" t="s">
        <v>11</v>
      </c>
      <c r="M56" s="50" t="s">
        <v>11</v>
      </c>
    </row>
    <row r="57" spans="1:13" ht="12.75">
      <c r="A57" s="68" t="s">
        <v>147</v>
      </c>
      <c r="B57" s="13"/>
      <c r="C57" s="13"/>
      <c r="D57" s="13"/>
      <c r="E57" s="13">
        <v>6380</v>
      </c>
      <c r="F57" s="13">
        <v>3548</v>
      </c>
      <c r="G57" s="13">
        <v>3861</v>
      </c>
      <c r="H57" s="13">
        <v>1796</v>
      </c>
      <c r="I57" s="13">
        <v>1399</v>
      </c>
      <c r="J57" s="13">
        <v>2935</v>
      </c>
      <c r="K57" s="13">
        <v>1915</v>
      </c>
      <c r="L57" s="13">
        <v>4650</v>
      </c>
      <c r="M57" s="13">
        <f>SUM(B57:L57)</f>
        <v>26484</v>
      </c>
    </row>
    <row r="58" spans="1:13" ht="12.75">
      <c r="A58" s="16" t="s">
        <v>148</v>
      </c>
      <c r="B58" s="13"/>
      <c r="C58" s="13"/>
      <c r="D58" s="13"/>
      <c r="E58" s="13">
        <v>33751</v>
      </c>
      <c r="F58" s="13">
        <v>28478</v>
      </c>
      <c r="G58" s="13">
        <v>21539</v>
      </c>
      <c r="H58" s="13">
        <v>15252</v>
      </c>
      <c r="I58" s="13">
        <v>14186</v>
      </c>
      <c r="J58" s="65">
        <v>15312</v>
      </c>
      <c r="K58" s="65">
        <v>20887</v>
      </c>
      <c r="L58" s="65">
        <v>69567</v>
      </c>
      <c r="M58" s="13">
        <f>SUM(B58:L58)</f>
        <v>218972</v>
      </c>
    </row>
    <row r="59" spans="1:13" ht="12.75">
      <c r="A59" s="16" t="s">
        <v>149</v>
      </c>
      <c r="B59" s="13"/>
      <c r="C59" s="13"/>
      <c r="D59" s="13"/>
      <c r="E59" s="13">
        <v>3199</v>
      </c>
      <c r="F59" s="13">
        <v>4356</v>
      </c>
      <c r="G59" s="13">
        <v>901</v>
      </c>
      <c r="H59" s="13">
        <v>454</v>
      </c>
      <c r="I59" s="13">
        <v>853</v>
      </c>
      <c r="J59" s="13">
        <v>534</v>
      </c>
      <c r="K59" s="13"/>
      <c r="L59" s="13"/>
      <c r="M59" s="13">
        <f>SUM(B59:L59)</f>
        <v>10297</v>
      </c>
    </row>
    <row r="60" spans="1:13" ht="12.75">
      <c r="A60" s="16" t="s">
        <v>36</v>
      </c>
      <c r="B60" s="13">
        <v>6364</v>
      </c>
      <c r="C60" s="13">
        <v>26750</v>
      </c>
      <c r="D60" s="13">
        <v>38155</v>
      </c>
      <c r="E60" s="13">
        <f>SUM(E57:E59)+140</f>
        <v>43470</v>
      </c>
      <c r="F60" s="13">
        <f aca="true" t="shared" si="5" ref="F60:L60">SUM(F57:F59)</f>
        <v>36382</v>
      </c>
      <c r="G60" s="13">
        <f t="shared" si="5"/>
        <v>26301</v>
      </c>
      <c r="H60" s="13">
        <f t="shared" si="5"/>
        <v>17502</v>
      </c>
      <c r="I60" s="13">
        <f t="shared" si="5"/>
        <v>16438</v>
      </c>
      <c r="J60" s="13">
        <f t="shared" si="5"/>
        <v>18781</v>
      </c>
      <c r="K60" s="13">
        <f t="shared" si="5"/>
        <v>22802</v>
      </c>
      <c r="L60" s="13">
        <f t="shared" si="5"/>
        <v>74217</v>
      </c>
      <c r="M60" s="13">
        <f>SUM(B60:L60)</f>
        <v>327162</v>
      </c>
    </row>
    <row r="61" spans="1:13" ht="12.75">
      <c r="A61" s="23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2.75">
      <c r="A62" s="49" t="s">
        <v>154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2.75">
      <c r="A63" s="6"/>
      <c r="B63" s="50" t="s">
        <v>13</v>
      </c>
      <c r="C63" s="50" t="s">
        <v>13</v>
      </c>
      <c r="D63" s="50" t="s">
        <v>13</v>
      </c>
      <c r="E63" s="50" t="s">
        <v>13</v>
      </c>
      <c r="F63" s="50" t="s">
        <v>13</v>
      </c>
      <c r="G63" s="50" t="s">
        <v>13</v>
      </c>
      <c r="H63" s="50" t="s">
        <v>13</v>
      </c>
      <c r="I63" s="105" t="s">
        <v>13</v>
      </c>
      <c r="J63" s="105" t="s">
        <v>13</v>
      </c>
      <c r="K63" s="105" t="s">
        <v>13</v>
      </c>
      <c r="L63" s="105" t="s">
        <v>13</v>
      </c>
      <c r="M63" s="50" t="s">
        <v>13</v>
      </c>
    </row>
    <row r="64" spans="1:13" ht="12.75">
      <c r="A64" s="68" t="s">
        <v>147</v>
      </c>
      <c r="B64" s="13"/>
      <c r="C64" s="13"/>
      <c r="D64" s="13"/>
      <c r="E64" s="13">
        <v>4576</v>
      </c>
      <c r="F64" s="13">
        <v>12335</v>
      </c>
      <c r="G64" s="13">
        <v>2855</v>
      </c>
      <c r="H64" s="13">
        <v>6303</v>
      </c>
      <c r="I64" s="13">
        <v>18311</v>
      </c>
      <c r="J64" s="65">
        <v>1368</v>
      </c>
      <c r="K64" s="65">
        <v>104998</v>
      </c>
      <c r="L64" s="65">
        <v>4361</v>
      </c>
      <c r="M64" s="13">
        <f>SUM(B64:L64)</f>
        <v>155107</v>
      </c>
    </row>
    <row r="65" spans="1:13" ht="12.75">
      <c r="A65" s="16" t="s">
        <v>148</v>
      </c>
      <c r="B65" s="13"/>
      <c r="C65" s="13"/>
      <c r="D65" s="13"/>
      <c r="E65" s="13">
        <v>40439</v>
      </c>
      <c r="F65" s="13">
        <v>175613</v>
      </c>
      <c r="G65" s="13">
        <v>171062</v>
      </c>
      <c r="H65" s="13">
        <v>32282</v>
      </c>
      <c r="I65" s="13">
        <v>38647</v>
      </c>
      <c r="J65" s="65">
        <v>42012</v>
      </c>
      <c r="K65" s="65">
        <v>148987</v>
      </c>
      <c r="L65" s="65">
        <v>56381</v>
      </c>
      <c r="M65" s="13">
        <f>SUM(B65:L65)</f>
        <v>705423</v>
      </c>
    </row>
    <row r="66" spans="1:13" ht="12.75">
      <c r="A66" s="16" t="s">
        <v>149</v>
      </c>
      <c r="B66" s="13"/>
      <c r="C66" s="13"/>
      <c r="D66" s="13"/>
      <c r="E66" s="13">
        <v>9629</v>
      </c>
      <c r="F66" s="13">
        <v>2053</v>
      </c>
      <c r="G66" s="13">
        <v>27913</v>
      </c>
      <c r="H66" s="13">
        <v>2228</v>
      </c>
      <c r="I66" s="13">
        <v>6396</v>
      </c>
      <c r="J66" s="65">
        <v>10132</v>
      </c>
      <c r="K66" s="65"/>
      <c r="L66" s="65"/>
      <c r="M66" s="13">
        <f>SUM(B66:L66)</f>
        <v>58351</v>
      </c>
    </row>
    <row r="67" spans="1:13" ht="12.75">
      <c r="A67" s="16" t="s">
        <v>14</v>
      </c>
      <c r="B67" s="13">
        <v>33802</v>
      </c>
      <c r="C67" s="13">
        <v>33504</v>
      </c>
      <c r="D67" s="13">
        <v>88305</v>
      </c>
      <c r="E67" s="13">
        <f>SUM(E64:E66)</f>
        <v>54644</v>
      </c>
      <c r="F67" s="65">
        <v>190001</v>
      </c>
      <c r="G67" s="65">
        <f aca="true" t="shared" si="6" ref="G67:L67">SUM(G64:G66)</f>
        <v>201830</v>
      </c>
      <c r="H67" s="65">
        <f t="shared" si="6"/>
        <v>40813</v>
      </c>
      <c r="I67" s="65">
        <f t="shared" si="6"/>
        <v>63354</v>
      </c>
      <c r="J67" s="65">
        <f t="shared" si="6"/>
        <v>53512</v>
      </c>
      <c r="K67" s="65">
        <f t="shared" si="6"/>
        <v>253985</v>
      </c>
      <c r="L67" s="65">
        <f t="shared" si="6"/>
        <v>60742</v>
      </c>
      <c r="M67" s="13">
        <f>SUM(B67:L67)</f>
        <v>1074492</v>
      </c>
    </row>
    <row r="68" spans="1:13" ht="12.75">
      <c r="A68" s="23"/>
      <c r="B68" s="50"/>
      <c r="C68" s="50"/>
      <c r="D68" s="50"/>
      <c r="E68" s="50"/>
      <c r="F68" s="69"/>
      <c r="G68" s="69"/>
      <c r="H68" s="69"/>
      <c r="I68" s="69"/>
      <c r="J68" s="69"/>
      <c r="K68" s="69"/>
      <c r="L68" s="69"/>
      <c r="M68" s="50"/>
    </row>
    <row r="69" spans="1:13" ht="12.75">
      <c r="A69" s="49" t="s">
        <v>155</v>
      </c>
      <c r="B69" s="50" t="s">
        <v>13</v>
      </c>
      <c r="C69" s="50" t="s">
        <v>13</v>
      </c>
      <c r="D69" s="50" t="s">
        <v>13</v>
      </c>
      <c r="E69" s="50" t="s">
        <v>13</v>
      </c>
      <c r="F69" s="50" t="s">
        <v>13</v>
      </c>
      <c r="G69" s="50" t="s">
        <v>13</v>
      </c>
      <c r="H69" s="50" t="s">
        <v>13</v>
      </c>
      <c r="I69" s="105" t="s">
        <v>13</v>
      </c>
      <c r="J69" s="105" t="s">
        <v>13</v>
      </c>
      <c r="K69" s="105" t="s">
        <v>13</v>
      </c>
      <c r="L69" s="105" t="s">
        <v>13</v>
      </c>
      <c r="M69" s="50" t="s">
        <v>13</v>
      </c>
    </row>
    <row r="70" spans="1:13" ht="12.75">
      <c r="A70" s="68" t="s">
        <v>147</v>
      </c>
      <c r="B70" s="13"/>
      <c r="C70" s="13"/>
      <c r="D70" s="13"/>
      <c r="E70" s="13">
        <v>68637</v>
      </c>
      <c r="F70" s="65">
        <v>242356</v>
      </c>
      <c r="G70" s="65">
        <v>44603</v>
      </c>
      <c r="H70" s="65">
        <v>99355</v>
      </c>
      <c r="I70" s="65">
        <v>230222</v>
      </c>
      <c r="J70" s="65">
        <v>13529</v>
      </c>
      <c r="K70" s="65">
        <v>1891984</v>
      </c>
      <c r="L70" s="65">
        <v>67666</v>
      </c>
      <c r="M70" s="13">
        <f>SUM(B70:L70)</f>
        <v>2658352</v>
      </c>
    </row>
    <row r="71" spans="1:13" ht="12.75">
      <c r="A71" s="16" t="s">
        <v>148</v>
      </c>
      <c r="B71" s="13"/>
      <c r="C71" s="13"/>
      <c r="D71" s="13"/>
      <c r="E71" s="13">
        <v>606584</v>
      </c>
      <c r="F71" s="65">
        <v>3162275</v>
      </c>
      <c r="G71" s="65">
        <v>2681281</v>
      </c>
      <c r="H71" s="65">
        <v>535493</v>
      </c>
      <c r="I71" s="65">
        <v>675862</v>
      </c>
      <c r="J71" s="65">
        <v>628140</v>
      </c>
      <c r="K71" s="65">
        <v>2723921</v>
      </c>
      <c r="L71" s="65">
        <v>1026019</v>
      </c>
      <c r="M71" s="13">
        <f>SUM(B71:L71)</f>
        <v>12039575</v>
      </c>
    </row>
    <row r="72" spans="1:13" ht="12.75">
      <c r="A72" s="16" t="s">
        <v>149</v>
      </c>
      <c r="B72" s="13"/>
      <c r="C72" s="13"/>
      <c r="D72" s="13"/>
      <c r="E72" s="13">
        <v>144434</v>
      </c>
      <c r="F72" s="65">
        <v>31615</v>
      </c>
      <c r="G72" s="65">
        <v>419977</v>
      </c>
      <c r="H72" s="65">
        <v>44563</v>
      </c>
      <c r="I72" s="65">
        <v>127836</v>
      </c>
      <c r="J72" s="65">
        <v>175841</v>
      </c>
      <c r="K72" s="65"/>
      <c r="L72" s="65"/>
      <c r="M72" s="13">
        <f>SUM(B72:L72)</f>
        <v>944266</v>
      </c>
    </row>
    <row r="73" spans="1:13" ht="12.75">
      <c r="A73" s="16" t="s">
        <v>151</v>
      </c>
      <c r="B73" s="13">
        <v>616099</v>
      </c>
      <c r="C73" s="13">
        <v>502563</v>
      </c>
      <c r="D73" s="13">
        <v>1510800</v>
      </c>
      <c r="E73" s="13">
        <f>SUM(E70:E72)</f>
        <v>819655</v>
      </c>
      <c r="F73" s="65">
        <v>3436246</v>
      </c>
      <c r="G73" s="65">
        <f aca="true" t="shared" si="7" ref="G73:L73">SUM(G70:G72)</f>
        <v>3145861</v>
      </c>
      <c r="H73" s="65">
        <f t="shared" si="7"/>
        <v>679411</v>
      </c>
      <c r="I73" s="65">
        <f t="shared" si="7"/>
        <v>1033920</v>
      </c>
      <c r="J73" s="65">
        <f t="shared" si="7"/>
        <v>817510</v>
      </c>
      <c r="K73" s="65">
        <f t="shared" si="7"/>
        <v>4615905</v>
      </c>
      <c r="L73" s="65">
        <f t="shared" si="7"/>
        <v>1093685</v>
      </c>
      <c r="M73" s="13">
        <f>SUM(B73:L73)</f>
        <v>18271655</v>
      </c>
    </row>
    <row r="74" spans="1:13" ht="12.75">
      <c r="A74" s="6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5.75">
      <c r="A75" s="235" t="s">
        <v>93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</row>
    <row r="76" spans="1:17" ht="12.75">
      <c r="A76" s="56" t="s">
        <v>23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3"/>
      <c r="O76" s="3"/>
      <c r="P76" s="3"/>
      <c r="Q76" s="3"/>
    </row>
    <row r="77" spans="1:17" ht="12.75">
      <c r="A77" s="49" t="s">
        <v>152</v>
      </c>
      <c r="B77" s="46" t="s">
        <v>8</v>
      </c>
      <c r="C77" s="46" t="s">
        <v>8</v>
      </c>
      <c r="D77" s="46" t="s">
        <v>8</v>
      </c>
      <c r="E77" s="46" t="s">
        <v>8</v>
      </c>
      <c r="F77" s="46" t="s">
        <v>29</v>
      </c>
      <c r="G77" s="46" t="s">
        <v>29</v>
      </c>
      <c r="H77" s="46" t="s">
        <v>8</v>
      </c>
      <c r="I77" s="51" t="s">
        <v>8</v>
      </c>
      <c r="J77" s="51" t="s">
        <v>8</v>
      </c>
      <c r="K77" s="51" t="s">
        <v>8</v>
      </c>
      <c r="L77" s="51" t="s">
        <v>8</v>
      </c>
      <c r="M77" s="46"/>
      <c r="N77" s="3"/>
      <c r="O77" s="3"/>
      <c r="P77" s="3"/>
      <c r="Q77" s="3"/>
    </row>
    <row r="78" spans="1:17" ht="12.75">
      <c r="A78" s="68" t="s">
        <v>147</v>
      </c>
      <c r="B78" s="22"/>
      <c r="C78" s="22"/>
      <c r="D78" s="22"/>
      <c r="E78" s="22">
        <v>13099</v>
      </c>
      <c r="F78" s="13">
        <v>20982</v>
      </c>
      <c r="G78" s="13">
        <v>11603</v>
      </c>
      <c r="H78" s="13">
        <v>14759</v>
      </c>
      <c r="I78" s="13">
        <v>8440</v>
      </c>
      <c r="J78" s="13">
        <v>13000</v>
      </c>
      <c r="K78" s="13">
        <v>17988</v>
      </c>
      <c r="L78" s="13">
        <v>19178</v>
      </c>
      <c r="M78" s="46"/>
      <c r="N78" s="3"/>
      <c r="O78" s="3"/>
      <c r="P78" s="3"/>
      <c r="Q78" s="3"/>
    </row>
    <row r="79" spans="1:17" ht="12.75">
      <c r="A79" s="16" t="s">
        <v>148</v>
      </c>
      <c r="B79" s="22"/>
      <c r="C79" s="22"/>
      <c r="D79" s="22"/>
      <c r="E79" s="22">
        <v>93010</v>
      </c>
      <c r="F79" s="13">
        <v>65441</v>
      </c>
      <c r="G79" s="13">
        <v>31020</v>
      </c>
      <c r="H79" s="13">
        <v>153001</v>
      </c>
      <c r="I79" s="13">
        <v>46312</v>
      </c>
      <c r="J79" s="13">
        <v>102876</v>
      </c>
      <c r="K79" s="13">
        <v>80452</v>
      </c>
      <c r="L79" s="13">
        <v>124518</v>
      </c>
      <c r="M79" s="46"/>
      <c r="N79" s="3"/>
      <c r="O79" s="3"/>
      <c r="P79" s="3"/>
      <c r="Q79" s="3"/>
    </row>
    <row r="80" spans="1:17" ht="12.75">
      <c r="A80" s="16" t="s">
        <v>149</v>
      </c>
      <c r="B80" s="22"/>
      <c r="C80" s="22"/>
      <c r="D80" s="22"/>
      <c r="E80" s="22">
        <v>6074</v>
      </c>
      <c r="F80" s="13">
        <v>9667</v>
      </c>
      <c r="G80" s="13">
        <v>3116</v>
      </c>
      <c r="H80" s="13">
        <v>3825</v>
      </c>
      <c r="I80" s="13">
        <v>4523</v>
      </c>
      <c r="J80" s="13">
        <v>5860</v>
      </c>
      <c r="K80" s="13"/>
      <c r="L80" s="13"/>
      <c r="M80" s="46"/>
      <c r="N80" s="3"/>
      <c r="O80" s="3"/>
      <c r="P80" s="3"/>
      <c r="Q80" s="3"/>
    </row>
    <row r="81" spans="1:17" ht="12.75">
      <c r="A81" s="16" t="s">
        <v>150</v>
      </c>
      <c r="B81" s="22"/>
      <c r="C81" s="22"/>
      <c r="D81" s="22"/>
      <c r="E81" s="22"/>
      <c r="F81" s="13"/>
      <c r="G81" s="13"/>
      <c r="H81" s="13"/>
      <c r="I81" s="13"/>
      <c r="J81" s="13">
        <v>354</v>
      </c>
      <c r="K81" s="13"/>
      <c r="L81" s="13"/>
      <c r="M81" s="46"/>
      <c r="N81" s="3"/>
      <c r="O81" s="3"/>
      <c r="P81" s="3"/>
      <c r="Q81" s="3"/>
    </row>
    <row r="82" spans="1:13" ht="12.75">
      <c r="A82" s="16" t="s">
        <v>156</v>
      </c>
      <c r="B82" s="13">
        <v>62505</v>
      </c>
      <c r="C82" s="13">
        <v>51226</v>
      </c>
      <c r="D82" s="13">
        <v>162510</v>
      </c>
      <c r="E82" s="13">
        <f>SUM(E78:E80)</f>
        <v>112183</v>
      </c>
      <c r="F82" s="13">
        <f>SUM(F78:F80)</f>
        <v>96090</v>
      </c>
      <c r="G82" s="13">
        <f>SUM(G78:G80)</f>
        <v>45739</v>
      </c>
      <c r="H82" s="13">
        <f>SUM(H78:H80)</f>
        <v>171585</v>
      </c>
      <c r="I82" s="13">
        <f>SUM(I78:I80)</f>
        <v>59275</v>
      </c>
      <c r="J82" s="13">
        <f>SUM(J78:J81)</f>
        <v>122090</v>
      </c>
      <c r="K82" s="13">
        <f>SUM(K78:K81)</f>
        <v>98440</v>
      </c>
      <c r="L82" s="13">
        <f>SUM(L78:L81)</f>
        <v>143696</v>
      </c>
      <c r="M82" s="50"/>
    </row>
    <row r="83" spans="1:13" ht="12.75">
      <c r="A83" s="23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2.75">
      <c r="A84" s="49" t="s">
        <v>135</v>
      </c>
      <c r="B84" s="50" t="s">
        <v>11</v>
      </c>
      <c r="C84" s="50" t="s">
        <v>11</v>
      </c>
      <c r="D84" s="50" t="s">
        <v>11</v>
      </c>
      <c r="E84" s="50" t="s">
        <v>11</v>
      </c>
      <c r="F84" s="50" t="s">
        <v>11</v>
      </c>
      <c r="G84" s="50" t="s">
        <v>11</v>
      </c>
      <c r="H84" s="50" t="s">
        <v>11</v>
      </c>
      <c r="I84" s="105" t="s">
        <v>11</v>
      </c>
      <c r="J84" s="105" t="s">
        <v>11</v>
      </c>
      <c r="K84" s="105" t="s">
        <v>11</v>
      </c>
      <c r="L84" s="105" t="s">
        <v>11</v>
      </c>
      <c r="M84" s="50"/>
    </row>
    <row r="85" spans="1:13" ht="12.75">
      <c r="A85" s="68" t="s">
        <v>147</v>
      </c>
      <c r="B85" s="13"/>
      <c r="C85" s="13"/>
      <c r="D85" s="13"/>
      <c r="E85" s="13"/>
      <c r="F85" s="13">
        <v>4603</v>
      </c>
      <c r="G85" s="13">
        <v>1823</v>
      </c>
      <c r="H85" s="13">
        <v>3106</v>
      </c>
      <c r="I85" s="13">
        <v>9084</v>
      </c>
      <c r="J85" s="13">
        <v>3159</v>
      </c>
      <c r="K85" s="13">
        <v>3061</v>
      </c>
      <c r="L85" s="13">
        <v>19234</v>
      </c>
      <c r="M85" s="50"/>
    </row>
    <row r="86" spans="1:13" ht="12.75">
      <c r="A86" s="16" t="s">
        <v>148</v>
      </c>
      <c r="B86" s="13"/>
      <c r="C86" s="13"/>
      <c r="D86" s="13"/>
      <c r="E86" s="13"/>
      <c r="F86" s="13">
        <v>15183</v>
      </c>
      <c r="G86" s="13">
        <v>7380</v>
      </c>
      <c r="H86" s="13">
        <v>20072</v>
      </c>
      <c r="I86" s="13">
        <v>9358</v>
      </c>
      <c r="J86" s="65">
        <v>21620</v>
      </c>
      <c r="K86" s="65">
        <v>16653</v>
      </c>
      <c r="L86" s="65">
        <v>102585</v>
      </c>
      <c r="M86" s="50"/>
    </row>
    <row r="87" spans="1:13" ht="12.75">
      <c r="A87" s="16" t="s">
        <v>149</v>
      </c>
      <c r="B87" s="13"/>
      <c r="C87" s="13"/>
      <c r="D87" s="13"/>
      <c r="E87" s="13"/>
      <c r="F87" s="13">
        <v>2439</v>
      </c>
      <c r="G87" s="13">
        <v>835</v>
      </c>
      <c r="H87" s="13">
        <v>995</v>
      </c>
      <c r="I87" s="13">
        <v>554</v>
      </c>
      <c r="J87" s="13">
        <v>757</v>
      </c>
      <c r="K87" s="13"/>
      <c r="L87" s="13"/>
      <c r="M87" s="50"/>
    </row>
    <row r="88" spans="1:13" ht="12.75">
      <c r="A88" s="16" t="s">
        <v>36</v>
      </c>
      <c r="B88" s="13">
        <v>0</v>
      </c>
      <c r="C88" s="13">
        <v>0</v>
      </c>
      <c r="D88" s="13">
        <v>0</v>
      </c>
      <c r="E88" s="13">
        <v>0</v>
      </c>
      <c r="F88" s="13">
        <f aca="true" t="shared" si="8" ref="F88:L88">SUM(F85:F87)</f>
        <v>22225</v>
      </c>
      <c r="G88" s="13">
        <f t="shared" si="8"/>
        <v>10038</v>
      </c>
      <c r="H88" s="13">
        <f t="shared" si="8"/>
        <v>24173</v>
      </c>
      <c r="I88" s="13">
        <f t="shared" si="8"/>
        <v>18996</v>
      </c>
      <c r="J88" s="13">
        <f t="shared" si="8"/>
        <v>25536</v>
      </c>
      <c r="K88" s="13">
        <f t="shared" si="8"/>
        <v>19714</v>
      </c>
      <c r="L88" s="13">
        <f t="shared" si="8"/>
        <v>121819</v>
      </c>
      <c r="M88" s="50"/>
    </row>
    <row r="89" spans="1:13" ht="12.75">
      <c r="A89" s="23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2.75">
      <c r="A90" s="49" t="s">
        <v>153</v>
      </c>
      <c r="B90" s="46" t="s">
        <v>8</v>
      </c>
      <c r="C90" s="46" t="s">
        <v>8</v>
      </c>
      <c r="D90" s="46" t="s">
        <v>8</v>
      </c>
      <c r="E90" s="46" t="s">
        <v>8</v>
      </c>
      <c r="F90" s="46" t="s">
        <v>8</v>
      </c>
      <c r="G90" s="46" t="s">
        <v>8</v>
      </c>
      <c r="H90" s="46" t="s">
        <v>8</v>
      </c>
      <c r="I90" s="51" t="s">
        <v>8</v>
      </c>
      <c r="J90" s="51" t="s">
        <v>8</v>
      </c>
      <c r="K90" s="51" t="s">
        <v>8</v>
      </c>
      <c r="L90" s="51" t="s">
        <v>8</v>
      </c>
      <c r="M90" s="46"/>
    </row>
    <row r="91" spans="1:13" ht="12.75">
      <c r="A91" s="68" t="s">
        <v>147</v>
      </c>
      <c r="B91" s="13"/>
      <c r="C91" s="13"/>
      <c r="D91" s="13"/>
      <c r="E91" s="13"/>
      <c r="F91" s="13">
        <v>314730</v>
      </c>
      <c r="G91" s="13">
        <v>173295</v>
      </c>
      <c r="H91" s="13">
        <v>218561</v>
      </c>
      <c r="I91" s="13">
        <v>117747</v>
      </c>
      <c r="J91" s="13">
        <v>201659</v>
      </c>
      <c r="K91" s="13">
        <v>271627</v>
      </c>
      <c r="L91" s="13">
        <v>288849</v>
      </c>
      <c r="M91" s="50"/>
    </row>
    <row r="92" spans="1:13" ht="12.75">
      <c r="A92" s="16" t="s">
        <v>148</v>
      </c>
      <c r="B92" s="13"/>
      <c r="C92" s="13"/>
      <c r="D92" s="13"/>
      <c r="E92" s="13"/>
      <c r="F92" s="13">
        <v>981618</v>
      </c>
      <c r="G92" s="13">
        <v>454080</v>
      </c>
      <c r="H92" s="13">
        <v>2287261</v>
      </c>
      <c r="I92" s="13">
        <v>717163</v>
      </c>
      <c r="J92" s="13">
        <v>1496091</v>
      </c>
      <c r="K92" s="13">
        <v>1247663</v>
      </c>
      <c r="L92" s="13">
        <v>1971230</v>
      </c>
      <c r="M92" s="50"/>
    </row>
    <row r="93" spans="1:13" ht="12.75">
      <c r="A93" s="16" t="s">
        <v>149</v>
      </c>
      <c r="B93" s="13"/>
      <c r="C93" s="13"/>
      <c r="D93" s="13"/>
      <c r="E93" s="13"/>
      <c r="F93" s="13">
        <v>145005</v>
      </c>
      <c r="G93" s="13">
        <v>46740</v>
      </c>
      <c r="H93" s="13">
        <v>57725</v>
      </c>
      <c r="I93" s="13">
        <v>42284</v>
      </c>
      <c r="J93" s="13">
        <v>63572</v>
      </c>
      <c r="K93" s="13"/>
      <c r="L93" s="13"/>
      <c r="M93" s="50"/>
    </row>
    <row r="94" spans="1:13" ht="12.75">
      <c r="A94" s="16" t="s">
        <v>151</v>
      </c>
      <c r="B94" s="13">
        <v>937582</v>
      </c>
      <c r="C94" s="13">
        <v>654800</v>
      </c>
      <c r="D94" s="13">
        <v>2441633</v>
      </c>
      <c r="E94" s="13">
        <v>1682736</v>
      </c>
      <c r="F94" s="13">
        <v>1641228</v>
      </c>
      <c r="G94" s="13">
        <f aca="true" t="shared" si="9" ref="G94:L94">SUM(G91:G93)</f>
        <v>674115</v>
      </c>
      <c r="H94" s="13">
        <f t="shared" si="9"/>
        <v>2563547</v>
      </c>
      <c r="I94" s="13">
        <f t="shared" si="9"/>
        <v>877194</v>
      </c>
      <c r="J94" s="13">
        <f t="shared" si="9"/>
        <v>1761322</v>
      </c>
      <c r="K94" s="13">
        <f t="shared" si="9"/>
        <v>1519290</v>
      </c>
      <c r="L94" s="13">
        <f t="shared" si="9"/>
        <v>2260079</v>
      </c>
      <c r="M94" s="50"/>
    </row>
    <row r="95" spans="1:25" ht="12.75">
      <c r="A95" s="46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R95" s="9"/>
      <c r="S95" s="9"/>
      <c r="T95" s="9"/>
      <c r="U95" s="9"/>
      <c r="V95" s="9"/>
      <c r="W95" s="9"/>
      <c r="X95" s="9"/>
      <c r="Y95" s="9"/>
    </row>
    <row r="96" spans="1:25" ht="12.75">
      <c r="A96" s="49" t="s">
        <v>154</v>
      </c>
      <c r="B96" s="50" t="s">
        <v>13</v>
      </c>
      <c r="C96" s="50" t="s">
        <v>13</v>
      </c>
      <c r="D96" s="50" t="s">
        <v>13</v>
      </c>
      <c r="E96" s="50" t="s">
        <v>13</v>
      </c>
      <c r="F96" s="50" t="s">
        <v>13</v>
      </c>
      <c r="G96" s="50" t="s">
        <v>13</v>
      </c>
      <c r="H96" s="50" t="s">
        <v>13</v>
      </c>
      <c r="I96" s="50" t="s">
        <v>13</v>
      </c>
      <c r="J96" s="50" t="s">
        <v>13</v>
      </c>
      <c r="K96" s="50" t="s">
        <v>13</v>
      </c>
      <c r="L96" s="105" t="s">
        <v>13</v>
      </c>
      <c r="M96" s="50"/>
      <c r="R96" s="9"/>
      <c r="S96" s="9"/>
      <c r="T96" s="9"/>
      <c r="U96" s="9"/>
      <c r="V96" s="9"/>
      <c r="W96" s="9"/>
      <c r="X96" s="9"/>
      <c r="Y96" s="9"/>
    </row>
    <row r="97" spans="1:25" ht="12.75">
      <c r="A97" s="68" t="s">
        <v>147</v>
      </c>
      <c r="B97" s="13"/>
      <c r="C97" s="13"/>
      <c r="D97" s="13"/>
      <c r="E97" s="13"/>
      <c r="F97" s="13">
        <v>6368</v>
      </c>
      <c r="G97" s="13">
        <v>6760</v>
      </c>
      <c r="H97" s="13">
        <v>1573</v>
      </c>
      <c r="I97" s="13">
        <v>124072</v>
      </c>
      <c r="J97" s="13">
        <v>161750</v>
      </c>
      <c r="K97" s="13">
        <v>35107</v>
      </c>
      <c r="L97" s="13">
        <v>31528</v>
      </c>
      <c r="M97" s="50"/>
      <c r="R97" s="9"/>
      <c r="S97" s="9"/>
      <c r="T97" s="9"/>
      <c r="U97" s="9"/>
      <c r="V97" s="9"/>
      <c r="W97" s="9"/>
      <c r="X97" s="9"/>
      <c r="Y97" s="9"/>
    </row>
    <row r="98" spans="1:25" ht="12.75">
      <c r="A98" s="16" t="s">
        <v>148</v>
      </c>
      <c r="B98" s="13"/>
      <c r="C98" s="13"/>
      <c r="D98" s="13"/>
      <c r="E98" s="13"/>
      <c r="F98" s="13">
        <v>148756</v>
      </c>
      <c r="G98" s="13">
        <v>38822</v>
      </c>
      <c r="H98" s="13">
        <v>49590</v>
      </c>
      <c r="I98" s="13">
        <v>79322</v>
      </c>
      <c r="J98" s="13">
        <v>90574</v>
      </c>
      <c r="K98" s="13">
        <v>48061</v>
      </c>
      <c r="L98" s="13">
        <v>224832</v>
      </c>
      <c r="M98" s="50"/>
      <c r="R98" s="9"/>
      <c r="S98" s="9"/>
      <c r="T98" s="9"/>
      <c r="U98" s="9"/>
      <c r="V98" s="9"/>
      <c r="W98" s="9"/>
      <c r="X98" s="9"/>
      <c r="Y98" s="9"/>
    </row>
    <row r="99" spans="1:25" ht="12.75">
      <c r="A99" s="16" t="s">
        <v>149</v>
      </c>
      <c r="B99" s="13"/>
      <c r="C99" s="13"/>
      <c r="D99" s="13"/>
      <c r="E99" s="13"/>
      <c r="F99" s="13">
        <v>12326</v>
      </c>
      <c r="G99" s="13">
        <v>13178</v>
      </c>
      <c r="H99" s="13">
        <v>6596</v>
      </c>
      <c r="I99" s="13">
        <v>14742</v>
      </c>
      <c r="J99" s="13">
        <v>14414</v>
      </c>
      <c r="K99" s="13"/>
      <c r="L99" s="13"/>
      <c r="M99" s="50"/>
      <c r="R99" s="9"/>
      <c r="S99" s="9"/>
      <c r="T99" s="9"/>
      <c r="U99" s="9"/>
      <c r="V99" s="9"/>
      <c r="W99" s="9"/>
      <c r="X99" s="9"/>
      <c r="Y99" s="9"/>
    </row>
    <row r="100" spans="1:25" ht="12.75">
      <c r="A100" s="16" t="s">
        <v>156</v>
      </c>
      <c r="B100" s="13">
        <v>0</v>
      </c>
      <c r="C100" s="13">
        <v>31802</v>
      </c>
      <c r="D100" s="13">
        <v>27617</v>
      </c>
      <c r="E100" s="13">
        <v>153518</v>
      </c>
      <c r="F100" s="65">
        <f aca="true" t="shared" si="10" ref="F100:L100">SUM(F97:F99)</f>
        <v>167450</v>
      </c>
      <c r="G100" s="65">
        <f t="shared" si="10"/>
        <v>58760</v>
      </c>
      <c r="H100" s="65">
        <f t="shared" si="10"/>
        <v>57759</v>
      </c>
      <c r="I100" s="65">
        <f t="shared" si="10"/>
        <v>218136</v>
      </c>
      <c r="J100" s="65">
        <f t="shared" si="10"/>
        <v>266738</v>
      </c>
      <c r="K100" s="65">
        <f t="shared" si="10"/>
        <v>83168</v>
      </c>
      <c r="L100" s="65">
        <f t="shared" si="10"/>
        <v>256360</v>
      </c>
      <c r="M100" s="50"/>
      <c r="R100" s="9"/>
      <c r="S100" s="9"/>
      <c r="T100" s="9"/>
      <c r="U100" s="9"/>
      <c r="V100" s="9"/>
      <c r="W100" s="9"/>
      <c r="X100" s="9"/>
      <c r="Y100" s="9"/>
    </row>
    <row r="101" spans="1:25" ht="12.75">
      <c r="A101" s="23"/>
      <c r="B101" s="50"/>
      <c r="C101" s="50"/>
      <c r="D101" s="50"/>
      <c r="E101" s="50"/>
      <c r="F101" s="69"/>
      <c r="G101" s="69"/>
      <c r="H101" s="69"/>
      <c r="I101" s="69"/>
      <c r="J101" s="69"/>
      <c r="K101" s="69"/>
      <c r="L101" s="69"/>
      <c r="M101" s="50"/>
      <c r="R101" s="9"/>
      <c r="S101" s="9"/>
      <c r="T101" s="9"/>
      <c r="U101" s="9"/>
      <c r="V101" s="9"/>
      <c r="W101" s="9"/>
      <c r="X101" s="9"/>
      <c r="Y101" s="9"/>
    </row>
    <row r="102" spans="1:25" ht="12.75">
      <c r="A102" s="49" t="s">
        <v>155</v>
      </c>
      <c r="B102" s="50" t="s">
        <v>13</v>
      </c>
      <c r="C102" s="50" t="s">
        <v>13</v>
      </c>
      <c r="D102" s="50" t="s">
        <v>13</v>
      </c>
      <c r="E102" s="50" t="s">
        <v>13</v>
      </c>
      <c r="F102" s="50" t="s">
        <v>13</v>
      </c>
      <c r="G102" s="50" t="s">
        <v>13</v>
      </c>
      <c r="H102" s="50" t="s">
        <v>13</v>
      </c>
      <c r="I102" s="50" t="s">
        <v>13</v>
      </c>
      <c r="J102" s="50" t="s">
        <v>13</v>
      </c>
      <c r="K102" s="50" t="s">
        <v>13</v>
      </c>
      <c r="L102" s="105" t="s">
        <v>13</v>
      </c>
      <c r="M102" s="50"/>
      <c r="R102" s="9"/>
      <c r="S102" s="9"/>
      <c r="T102" s="9"/>
      <c r="U102" s="9"/>
      <c r="V102" s="9"/>
      <c r="W102" s="9"/>
      <c r="X102" s="9"/>
      <c r="Y102" s="9"/>
    </row>
    <row r="103" spans="1:25" ht="12.75">
      <c r="A103" s="68" t="s">
        <v>147</v>
      </c>
      <c r="B103" s="13"/>
      <c r="C103" s="13"/>
      <c r="D103" s="13"/>
      <c r="E103" s="13"/>
      <c r="F103" s="65">
        <v>95526</v>
      </c>
      <c r="G103" s="65">
        <v>101400</v>
      </c>
      <c r="H103" s="65">
        <v>31200</v>
      </c>
      <c r="I103" s="65">
        <v>269286</v>
      </c>
      <c r="J103" s="65">
        <v>2533483</v>
      </c>
      <c r="K103" s="65">
        <v>567517</v>
      </c>
      <c r="L103" s="65">
        <v>504953</v>
      </c>
      <c r="M103" s="50"/>
      <c r="R103" s="9"/>
      <c r="S103" s="9"/>
      <c r="T103" s="9"/>
      <c r="U103" s="9"/>
      <c r="V103" s="9"/>
      <c r="W103" s="9"/>
      <c r="X103" s="9"/>
      <c r="Y103" s="9"/>
    </row>
    <row r="104" spans="1:25" ht="12.75">
      <c r="A104" s="16" t="s">
        <v>148</v>
      </c>
      <c r="B104" s="13"/>
      <c r="C104" s="13"/>
      <c r="D104" s="13"/>
      <c r="E104" s="13"/>
      <c r="F104" s="65">
        <v>2340823</v>
      </c>
      <c r="G104" s="65">
        <v>582460</v>
      </c>
      <c r="H104" s="65">
        <v>717372</v>
      </c>
      <c r="I104" s="65">
        <v>1026722</v>
      </c>
      <c r="J104" s="65">
        <v>1505918</v>
      </c>
      <c r="K104" s="65">
        <v>906166</v>
      </c>
      <c r="L104" s="65">
        <v>4392557</v>
      </c>
      <c r="M104" s="50"/>
      <c r="R104" s="9"/>
      <c r="S104" s="9"/>
      <c r="T104" s="9"/>
      <c r="U104" s="9"/>
      <c r="V104" s="9"/>
      <c r="W104" s="9"/>
      <c r="X104" s="9"/>
      <c r="Y104" s="9"/>
    </row>
    <row r="105" spans="1:25" ht="12.75">
      <c r="A105" s="16" t="s">
        <v>149</v>
      </c>
      <c r="B105" s="13"/>
      <c r="C105" s="13"/>
      <c r="D105" s="13"/>
      <c r="E105" s="13"/>
      <c r="F105" s="65">
        <v>190177</v>
      </c>
      <c r="G105" s="65">
        <v>209420</v>
      </c>
      <c r="H105" s="65">
        <v>130004</v>
      </c>
      <c r="I105" s="65">
        <v>194886</v>
      </c>
      <c r="J105" s="65">
        <v>233551</v>
      </c>
      <c r="K105" s="65"/>
      <c r="L105" s="65"/>
      <c r="M105" s="50"/>
      <c r="R105" s="9"/>
      <c r="S105" s="9"/>
      <c r="T105" s="9"/>
      <c r="U105" s="9"/>
      <c r="V105" s="9"/>
      <c r="W105" s="9"/>
      <c r="X105" s="9"/>
      <c r="Y105" s="9"/>
    </row>
    <row r="106" spans="1:13" ht="12.75">
      <c r="A106" s="16" t="s">
        <v>151</v>
      </c>
      <c r="B106" s="13">
        <v>0</v>
      </c>
      <c r="C106" s="13">
        <v>477024</v>
      </c>
      <c r="D106" s="13">
        <v>416360</v>
      </c>
      <c r="E106" s="13">
        <v>2302770</v>
      </c>
      <c r="F106" s="65">
        <f aca="true" t="shared" si="11" ref="F106:L106">SUM(F103:F105)</f>
        <v>2626526</v>
      </c>
      <c r="G106" s="65">
        <f t="shared" si="11"/>
        <v>893280</v>
      </c>
      <c r="H106" s="65">
        <f t="shared" si="11"/>
        <v>878576</v>
      </c>
      <c r="I106" s="65">
        <f t="shared" si="11"/>
        <v>1490894</v>
      </c>
      <c r="J106" s="65">
        <f t="shared" si="11"/>
        <v>4272952</v>
      </c>
      <c r="K106" s="65">
        <f t="shared" si="11"/>
        <v>1473683</v>
      </c>
      <c r="L106" s="65">
        <f t="shared" si="11"/>
        <v>4897510</v>
      </c>
      <c r="M106" s="50"/>
    </row>
    <row r="107" spans="1:13" ht="12.75">
      <c r="A107" s="23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ht="12.75">
      <c r="A108" s="2"/>
    </row>
    <row r="109" spans="1:12" ht="12.75">
      <c r="A109" s="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1" ht="12.75">
      <c r="A111" s="2"/>
    </row>
    <row r="112" spans="1:17" ht="12.75">
      <c r="A112" s="2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12.75">
      <c r="A113" s="2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2" ht="12.75">
      <c r="A114" s="2"/>
      <c r="B114" s="3"/>
    </row>
    <row r="115" ht="12.75">
      <c r="A115" s="2"/>
    </row>
    <row r="116" spans="1:17" ht="12.75">
      <c r="A116" s="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2.75">
      <c r="A117" s="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2.75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2.7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2.75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2.75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2.75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2.75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2.75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2.75">
      <c r="A125" s="2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ht="12.75">
      <c r="A126" s="2"/>
    </row>
    <row r="127" ht="12.75">
      <c r="A127" s="2"/>
    </row>
  </sheetData>
  <sheetProtection/>
  <mergeCells count="4">
    <mergeCell ref="A1:M1"/>
    <mergeCell ref="A39:M39"/>
    <mergeCell ref="A13:M13"/>
    <mergeCell ref="A75:M75"/>
  </mergeCells>
  <printOptions/>
  <pageMargins left="0.75" right="0.75" top="1" bottom="1" header="0.5" footer="0.5"/>
  <pageSetup horizontalDpi="600" verticalDpi="600" orientation="landscape" scale="55" r:id="rId1"/>
  <rowBreaks count="2" manualBreakCount="2">
    <brk id="38" max="255" man="1"/>
    <brk id="74" max="12" man="1"/>
  </rowBreaks>
  <ignoredErrors>
    <ignoredError sqref="B11:F11" formulaRange="1"/>
    <ignoredError sqref="F60:G6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25.140625" style="0" customWidth="1"/>
    <col min="2" max="2" width="16.140625" style="0" customWidth="1"/>
    <col min="3" max="3" width="14.421875" style="0" customWidth="1"/>
    <col min="4" max="4" width="15.00390625" style="0" customWidth="1"/>
    <col min="5" max="5" width="15.00390625" style="187" customWidth="1"/>
    <col min="6" max="6" width="15.421875" style="0" customWidth="1"/>
  </cols>
  <sheetData>
    <row r="1" spans="1:6" ht="15.75">
      <c r="A1" s="240" t="s">
        <v>316</v>
      </c>
      <c r="B1" s="240"/>
      <c r="C1" s="240"/>
      <c r="D1" s="240"/>
      <c r="E1" s="240"/>
      <c r="F1" s="240"/>
    </row>
    <row r="3" spans="1:6" ht="12.75">
      <c r="A3" s="33" t="s">
        <v>282</v>
      </c>
      <c r="B3" s="31">
        <v>2008</v>
      </c>
      <c r="C3" s="126">
        <v>2009</v>
      </c>
      <c r="D3" s="126">
        <v>2010</v>
      </c>
      <c r="E3" s="188">
        <v>2011</v>
      </c>
      <c r="F3" s="126" t="s">
        <v>1</v>
      </c>
    </row>
    <row r="4" spans="1:6" ht="12.75">
      <c r="A4" s="17"/>
      <c r="B4" s="167">
        <v>5000000</v>
      </c>
      <c r="C4" s="155">
        <v>23245128.080000002</v>
      </c>
      <c r="D4" s="155">
        <v>32305102.62</v>
      </c>
      <c r="E4" s="157">
        <v>43355701.5</v>
      </c>
      <c r="F4" s="155">
        <f>SUM(B4:E4)</f>
        <v>103905932.2</v>
      </c>
    </row>
    <row r="5" spans="1:6" ht="12.75">
      <c r="A5" s="23"/>
      <c r="B5" s="23"/>
      <c r="C5" s="128"/>
      <c r="D5" s="128"/>
      <c r="E5" s="189"/>
      <c r="F5" s="128"/>
    </row>
    <row r="6" spans="1:6" ht="12.75">
      <c r="A6" s="33" t="s">
        <v>283</v>
      </c>
      <c r="B6" s="33"/>
      <c r="C6" s="128"/>
      <c r="D6" s="128"/>
      <c r="E6" s="189"/>
      <c r="F6" s="128"/>
    </row>
    <row r="7" spans="1:6" ht="12.75">
      <c r="A7" s="17" t="s">
        <v>24</v>
      </c>
      <c r="B7" s="18">
        <v>52000</v>
      </c>
      <c r="C7" s="18">
        <v>743119.2</v>
      </c>
      <c r="D7" s="155">
        <v>1242734.12</v>
      </c>
      <c r="E7" s="157">
        <v>5023091.48</v>
      </c>
      <c r="F7" s="155">
        <f>SUM(B7:E7)</f>
        <v>7060944.800000001</v>
      </c>
    </row>
    <row r="8" spans="1:6" ht="12.75">
      <c r="A8" s="17" t="s">
        <v>23</v>
      </c>
      <c r="B8" s="18"/>
      <c r="C8" s="18"/>
      <c r="D8" s="155"/>
      <c r="E8" s="157">
        <v>26724700</v>
      </c>
      <c r="F8" s="155"/>
    </row>
    <row r="9" spans="1:6" ht="12.75">
      <c r="A9" s="17" t="s">
        <v>1</v>
      </c>
      <c r="B9" s="18"/>
      <c r="C9" s="18"/>
      <c r="D9" s="155"/>
      <c r="E9" s="157">
        <f>SUM(E7:E8)</f>
        <v>31747791.48</v>
      </c>
      <c r="F9" s="155"/>
    </row>
    <row r="10" spans="1:2" ht="12.75">
      <c r="A10" s="23"/>
      <c r="B10" s="23"/>
    </row>
    <row r="11" spans="1:2" ht="12.75">
      <c r="A11" s="49" t="s">
        <v>326</v>
      </c>
      <c r="B11" s="49"/>
    </row>
    <row r="12" spans="1:6" ht="12.75">
      <c r="A12" s="21" t="s">
        <v>317</v>
      </c>
      <c r="B12" s="17"/>
      <c r="C12" s="24">
        <v>4</v>
      </c>
      <c r="D12" s="24">
        <v>24</v>
      </c>
      <c r="E12" s="104">
        <v>51</v>
      </c>
      <c r="F12" s="24">
        <f>SUM(B12:E12)</f>
        <v>79</v>
      </c>
    </row>
    <row r="13" spans="1:6" ht="12.75">
      <c r="A13" s="21" t="s">
        <v>318</v>
      </c>
      <c r="B13" s="17"/>
      <c r="C13" s="24">
        <v>0</v>
      </c>
      <c r="D13" s="24">
        <v>0</v>
      </c>
      <c r="E13" s="104">
        <v>16</v>
      </c>
      <c r="F13" s="24">
        <f>SUM(B13:E13)</f>
        <v>16</v>
      </c>
    </row>
    <row r="14" spans="1:6" ht="12.75">
      <c r="A14" s="17" t="s">
        <v>1</v>
      </c>
      <c r="B14" s="17"/>
      <c r="C14" s="24">
        <f>SUM(C12:C13)</f>
        <v>4</v>
      </c>
      <c r="D14" s="24">
        <f>SUM(D12:D13)</f>
        <v>24</v>
      </c>
      <c r="E14" s="104">
        <f>SUM(E12:E13)</f>
        <v>67</v>
      </c>
      <c r="F14" s="24">
        <f>SUM(B14:D14)</f>
        <v>28</v>
      </c>
    </row>
    <row r="15" spans="1:6" ht="12.75">
      <c r="A15" s="49"/>
      <c r="B15" s="49"/>
      <c r="C15" s="26"/>
      <c r="D15" s="26"/>
      <c r="E15" s="90"/>
      <c r="F15" s="26"/>
    </row>
    <row r="16" spans="1:2" ht="12.75">
      <c r="A16" s="49" t="s">
        <v>325</v>
      </c>
      <c r="B16" s="49"/>
    </row>
    <row r="17" spans="1:7" ht="12.75">
      <c r="A17" s="21"/>
      <c r="B17" s="17"/>
      <c r="C17" s="24"/>
      <c r="D17" s="104">
        <v>121</v>
      </c>
      <c r="E17" s="104"/>
      <c r="F17" s="24">
        <f>SUM(B17:E17)</f>
        <v>121</v>
      </c>
      <c r="G17" s="170"/>
    </row>
    <row r="18" spans="1:6" ht="12.75">
      <c r="A18" s="49"/>
      <c r="B18" s="49"/>
      <c r="C18" s="26"/>
      <c r="D18" s="26"/>
      <c r="E18" s="90"/>
      <c r="F18" s="26"/>
    </row>
    <row r="19" spans="1:2" ht="12.75">
      <c r="A19" s="49" t="s">
        <v>323</v>
      </c>
      <c r="B19" s="23"/>
    </row>
    <row r="20" spans="1:2" ht="12.75">
      <c r="A20" s="49" t="s">
        <v>134</v>
      </c>
      <c r="B20" s="49"/>
    </row>
    <row r="21" spans="1:6" ht="12.75">
      <c r="A21" s="23" t="s">
        <v>14</v>
      </c>
      <c r="B21" s="46" t="s">
        <v>8</v>
      </c>
      <c r="C21" s="46" t="s">
        <v>8</v>
      </c>
      <c r="D21" s="50" t="s">
        <v>8</v>
      </c>
      <c r="E21" s="69" t="s">
        <v>8</v>
      </c>
      <c r="F21" s="50" t="s">
        <v>8</v>
      </c>
    </row>
    <row r="22" spans="1:6" ht="12.75">
      <c r="A22" s="17"/>
      <c r="B22" s="17"/>
      <c r="C22" s="24"/>
      <c r="D22" s="19">
        <v>796</v>
      </c>
      <c r="E22" s="80">
        <v>15422</v>
      </c>
      <c r="F22" s="19">
        <f>SUM(B22:E22)</f>
        <v>16218</v>
      </c>
    </row>
    <row r="23" spans="1:6" ht="12.75">
      <c r="A23" s="23"/>
      <c r="B23" s="23"/>
      <c r="D23" s="25"/>
      <c r="E23" s="190"/>
      <c r="F23" s="25"/>
    </row>
    <row r="24" spans="1:6" ht="12.75">
      <c r="A24" s="23" t="s">
        <v>10</v>
      </c>
      <c r="B24" s="46" t="s">
        <v>8</v>
      </c>
      <c r="C24" s="46" t="s">
        <v>8</v>
      </c>
      <c r="D24" s="50" t="s">
        <v>8</v>
      </c>
      <c r="E24" s="69" t="s">
        <v>8</v>
      </c>
      <c r="F24" s="50" t="s">
        <v>8</v>
      </c>
    </row>
    <row r="25" spans="1:6" ht="12.75">
      <c r="A25" s="17"/>
      <c r="B25" s="17"/>
      <c r="C25" s="24"/>
      <c r="D25" s="19">
        <v>8757</v>
      </c>
      <c r="E25" s="80">
        <v>216562</v>
      </c>
      <c r="F25" s="19">
        <f>SUM(B25:E25)</f>
        <v>225319</v>
      </c>
    </row>
    <row r="26" spans="1:6" ht="12.75">
      <c r="A26" s="23"/>
      <c r="B26" s="23"/>
      <c r="D26" s="25"/>
      <c r="E26" s="190"/>
      <c r="F26" s="25"/>
    </row>
    <row r="27" spans="1:6" ht="12.75">
      <c r="A27" s="23" t="s">
        <v>36</v>
      </c>
      <c r="B27" s="50" t="s">
        <v>11</v>
      </c>
      <c r="C27" s="50" t="s">
        <v>11</v>
      </c>
      <c r="D27" s="50" t="s">
        <v>11</v>
      </c>
      <c r="E27" s="69" t="s">
        <v>11</v>
      </c>
      <c r="F27" s="50" t="s">
        <v>11</v>
      </c>
    </row>
    <row r="28" spans="1:6" ht="12.75">
      <c r="A28" s="17"/>
      <c r="B28" s="17"/>
      <c r="C28" s="24"/>
      <c r="D28" s="19">
        <v>62</v>
      </c>
      <c r="E28" s="80">
        <v>2514</v>
      </c>
      <c r="F28" s="19">
        <f>SUM(B28:E28)</f>
        <v>2576</v>
      </c>
    </row>
    <row r="29" spans="1:6" ht="12.75">
      <c r="A29" s="5"/>
      <c r="B29" s="5"/>
      <c r="D29" s="25"/>
      <c r="E29" s="190"/>
      <c r="F29" s="25"/>
    </row>
    <row r="30" spans="1:6" ht="12.75">
      <c r="A30" s="49" t="s">
        <v>194</v>
      </c>
      <c r="B30" s="49"/>
      <c r="D30" s="25"/>
      <c r="E30" s="190"/>
      <c r="F30" s="25"/>
    </row>
    <row r="31" spans="1:6" ht="12.75">
      <c r="A31" s="23" t="s">
        <v>14</v>
      </c>
      <c r="B31" s="50" t="s">
        <v>13</v>
      </c>
      <c r="C31" s="50" t="s">
        <v>13</v>
      </c>
      <c r="D31" s="50" t="s">
        <v>13</v>
      </c>
      <c r="E31" s="69" t="s">
        <v>13</v>
      </c>
      <c r="F31" s="50" t="s">
        <v>13</v>
      </c>
    </row>
    <row r="32" spans="1:6" ht="12.75">
      <c r="A32" s="17"/>
      <c r="B32" s="17"/>
      <c r="C32" s="24"/>
      <c r="D32" s="19"/>
      <c r="E32" s="80">
        <v>45344</v>
      </c>
      <c r="F32" s="19">
        <f>SUM(B32:E32)</f>
        <v>45344</v>
      </c>
    </row>
    <row r="33" spans="1:6" ht="12.75">
      <c r="A33" s="23"/>
      <c r="B33" s="23"/>
      <c r="D33" s="25"/>
      <c r="E33" s="190"/>
      <c r="F33" s="25"/>
    </row>
    <row r="34" spans="1:6" ht="12.75">
      <c r="A34" s="23" t="s">
        <v>10</v>
      </c>
      <c r="B34" s="50" t="s">
        <v>13</v>
      </c>
      <c r="C34" s="50" t="s">
        <v>13</v>
      </c>
      <c r="D34" s="50" t="s">
        <v>13</v>
      </c>
      <c r="E34" s="69" t="s">
        <v>13</v>
      </c>
      <c r="F34" s="50" t="s">
        <v>13</v>
      </c>
    </row>
    <row r="35" spans="1:6" ht="12.75">
      <c r="A35" s="17"/>
      <c r="B35" s="17"/>
      <c r="C35" s="24"/>
      <c r="D35" s="19"/>
      <c r="E35" s="80">
        <v>527074</v>
      </c>
      <c r="F35" s="19">
        <f>SUM(B35:E35)</f>
        <v>527074</v>
      </c>
    </row>
    <row r="36" spans="1:6" ht="12.75">
      <c r="A36" s="49"/>
      <c r="B36" s="49"/>
      <c r="C36" s="26"/>
      <c r="D36" s="74"/>
      <c r="E36" s="122"/>
      <c r="F36" s="74"/>
    </row>
    <row r="37" spans="1:9" ht="12.75">
      <c r="A37" s="1" t="s">
        <v>143</v>
      </c>
      <c r="B37" s="31">
        <v>2008</v>
      </c>
      <c r="C37" s="126">
        <v>2009</v>
      </c>
      <c r="D37" s="191">
        <v>2010</v>
      </c>
      <c r="E37" s="192">
        <v>2011</v>
      </c>
      <c r="F37" s="182" t="s">
        <v>1</v>
      </c>
      <c r="I37" s="107" t="s">
        <v>103</v>
      </c>
    </row>
    <row r="38" spans="1:9" ht="12.75">
      <c r="A38" s="49" t="s">
        <v>134</v>
      </c>
      <c r="D38" s="25"/>
      <c r="E38" s="190"/>
      <c r="F38" s="25"/>
      <c r="I38" s="107"/>
    </row>
    <row r="39" spans="1:6" ht="12.75">
      <c r="A39" s="23" t="s">
        <v>14</v>
      </c>
      <c r="B39" s="46" t="s">
        <v>8</v>
      </c>
      <c r="C39" s="46" t="s">
        <v>8</v>
      </c>
      <c r="D39" s="50" t="s">
        <v>8</v>
      </c>
      <c r="E39" s="69" t="s">
        <v>8</v>
      </c>
      <c r="F39" s="50" t="s">
        <v>8</v>
      </c>
    </row>
    <row r="40" spans="1:6" ht="12.75">
      <c r="A40" s="17"/>
      <c r="B40" s="17"/>
      <c r="C40" s="24"/>
      <c r="D40" s="19"/>
      <c r="E40" s="80">
        <v>50830</v>
      </c>
      <c r="F40" s="19">
        <f>SUM(B40:E40)</f>
        <v>50830</v>
      </c>
    </row>
    <row r="41" spans="1:6" ht="12.75">
      <c r="A41" s="23"/>
      <c r="B41" s="23"/>
      <c r="D41" s="25"/>
      <c r="E41" s="190"/>
      <c r="F41" s="25"/>
    </row>
    <row r="42" spans="1:6" ht="12.75">
      <c r="A42" s="23" t="s">
        <v>10</v>
      </c>
      <c r="B42" s="46" t="s">
        <v>8</v>
      </c>
      <c r="C42" s="46" t="s">
        <v>8</v>
      </c>
      <c r="D42" s="50" t="s">
        <v>8</v>
      </c>
      <c r="E42" s="69" t="s">
        <v>8</v>
      </c>
      <c r="F42" s="50" t="s">
        <v>8</v>
      </c>
    </row>
    <row r="43" spans="1:6" ht="12.75">
      <c r="A43" s="17"/>
      <c r="B43" s="17"/>
      <c r="C43" s="24"/>
      <c r="D43" s="19"/>
      <c r="E43" s="80">
        <v>847665</v>
      </c>
      <c r="F43" s="19">
        <f>SUM(B43:E43)</f>
        <v>847665</v>
      </c>
    </row>
    <row r="44" spans="1:6" ht="12.75">
      <c r="A44" s="23"/>
      <c r="B44" s="23"/>
      <c r="D44" s="25"/>
      <c r="E44" s="190"/>
      <c r="F44" s="25"/>
    </row>
    <row r="45" spans="1:6" ht="12.75">
      <c r="A45" s="23" t="s">
        <v>36</v>
      </c>
      <c r="B45" s="50" t="s">
        <v>11</v>
      </c>
      <c r="C45" s="50" t="s">
        <v>11</v>
      </c>
      <c r="D45" s="50" t="s">
        <v>11</v>
      </c>
      <c r="E45" s="69" t="s">
        <v>11</v>
      </c>
      <c r="F45" s="50" t="s">
        <v>11</v>
      </c>
    </row>
    <row r="46" spans="1:6" ht="12.75">
      <c r="A46" s="17"/>
      <c r="B46" s="17"/>
      <c r="C46" s="24"/>
      <c r="D46" s="19"/>
      <c r="E46" s="80">
        <v>10469</v>
      </c>
      <c r="F46" s="19">
        <f>SUM(B46:E46)</f>
        <v>10469</v>
      </c>
    </row>
    <row r="47" spans="1:6" ht="12.75">
      <c r="A47" s="5"/>
      <c r="B47" s="5"/>
      <c r="D47" s="25"/>
      <c r="E47" s="190"/>
      <c r="F47" s="25"/>
    </row>
    <row r="48" spans="1:6" ht="12.75">
      <c r="A48" s="49" t="s">
        <v>194</v>
      </c>
      <c r="B48" s="49"/>
      <c r="D48" s="25"/>
      <c r="E48" s="190"/>
      <c r="F48" s="25"/>
    </row>
    <row r="49" spans="1:6" ht="12.75">
      <c r="A49" s="23" t="s">
        <v>14</v>
      </c>
      <c r="B49" s="50" t="s">
        <v>13</v>
      </c>
      <c r="C49" s="50" t="s">
        <v>13</v>
      </c>
      <c r="D49" s="50" t="s">
        <v>13</v>
      </c>
      <c r="E49" s="69" t="s">
        <v>13</v>
      </c>
      <c r="F49" s="50" t="s">
        <v>13</v>
      </c>
    </row>
    <row r="50" spans="1:6" ht="12.75">
      <c r="A50" s="17"/>
      <c r="B50" s="17"/>
      <c r="C50" s="24"/>
      <c r="D50" s="19">
        <v>105152</v>
      </c>
      <c r="E50" s="80">
        <v>270852</v>
      </c>
      <c r="F50" s="19">
        <f>SUM(B50:E50)</f>
        <v>376004</v>
      </c>
    </row>
    <row r="51" spans="1:6" ht="12.75">
      <c r="A51" s="23"/>
      <c r="B51" s="23"/>
      <c r="D51" s="25"/>
      <c r="E51" s="190"/>
      <c r="F51" s="25"/>
    </row>
    <row r="52" spans="1:6" ht="12.75">
      <c r="A52" s="23" t="s">
        <v>10</v>
      </c>
      <c r="B52" s="50" t="s">
        <v>13</v>
      </c>
      <c r="C52" s="50" t="s">
        <v>13</v>
      </c>
      <c r="D52" s="50" t="s">
        <v>13</v>
      </c>
      <c r="E52" s="69" t="s">
        <v>13</v>
      </c>
      <c r="F52" s="50" t="s">
        <v>13</v>
      </c>
    </row>
    <row r="53" spans="1:6" ht="12.75">
      <c r="A53" s="17"/>
      <c r="B53" s="17"/>
      <c r="C53" s="24"/>
      <c r="D53" s="19">
        <v>1738786</v>
      </c>
      <c r="E53" s="80">
        <v>4620736</v>
      </c>
      <c r="F53" s="19">
        <f>SUM(B53:E53)</f>
        <v>6359522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4.00390625" style="0" customWidth="1"/>
    <col min="2" max="3" width="14.421875" style="0" customWidth="1"/>
    <col min="4" max="4" width="13.7109375" style="0" customWidth="1"/>
  </cols>
  <sheetData>
    <row r="1" spans="1:3" ht="12.75">
      <c r="A1" s="241" t="s">
        <v>319</v>
      </c>
      <c r="B1" s="241"/>
      <c r="C1" s="101"/>
    </row>
    <row r="3" spans="1:4" ht="12.75">
      <c r="A3" s="33" t="s">
        <v>282</v>
      </c>
      <c r="B3" s="126">
        <v>2010</v>
      </c>
      <c r="C3" s="126">
        <v>2011</v>
      </c>
      <c r="D3" s="126" t="s">
        <v>1</v>
      </c>
    </row>
    <row r="4" spans="1:4" ht="12.75">
      <c r="A4" s="17"/>
      <c r="B4" s="155">
        <v>4966134.6</v>
      </c>
      <c r="C4" s="155">
        <v>7471645.96</v>
      </c>
      <c r="D4" s="155">
        <f>SUM(B4:C4)</f>
        <v>12437780.559999999</v>
      </c>
    </row>
    <row r="5" spans="1:4" ht="12.75">
      <c r="A5" s="23"/>
      <c r="B5" s="128"/>
      <c r="C5" s="128"/>
      <c r="D5" s="128"/>
    </row>
    <row r="6" spans="1:4" ht="12.75">
      <c r="A6" s="33" t="s">
        <v>283</v>
      </c>
      <c r="B6" s="128"/>
      <c r="C6" s="128"/>
      <c r="D6" s="128"/>
    </row>
    <row r="7" spans="1:4" ht="12.75">
      <c r="A7" s="17" t="s">
        <v>24</v>
      </c>
      <c r="B7" s="155">
        <v>494488.64</v>
      </c>
      <c r="C7" s="155">
        <v>478711.08</v>
      </c>
      <c r="D7" s="155">
        <f>SUM(B7:C7)</f>
        <v>973199.72</v>
      </c>
    </row>
    <row r="8" spans="1:4" ht="12.75">
      <c r="A8" s="17" t="s">
        <v>23</v>
      </c>
      <c r="B8" s="155"/>
      <c r="C8" s="155">
        <v>1083760</v>
      </c>
      <c r="D8" s="155"/>
    </row>
    <row r="9" spans="1:4" ht="12.75">
      <c r="A9" s="17" t="s">
        <v>1</v>
      </c>
      <c r="B9" s="155"/>
      <c r="C9" s="155">
        <f>SUM(C7:C8)</f>
        <v>1562471.08</v>
      </c>
      <c r="D9" s="155"/>
    </row>
    <row r="10" spans="1:4" ht="12.75">
      <c r="A10" s="49"/>
      <c r="B10" s="156"/>
      <c r="C10" s="156"/>
      <c r="D10" s="156"/>
    </row>
    <row r="11" ht="12.75">
      <c r="A11" s="49" t="s">
        <v>171</v>
      </c>
    </row>
    <row r="12" spans="1:4" ht="12.75">
      <c r="A12" s="21" t="s">
        <v>317</v>
      </c>
      <c r="B12" s="24">
        <v>0</v>
      </c>
      <c r="C12" s="24">
        <v>6</v>
      </c>
      <c r="D12" s="24">
        <f>SUM(B12:C12)</f>
        <v>6</v>
      </c>
    </row>
    <row r="13" spans="1:4" ht="12.75">
      <c r="A13" s="21" t="s">
        <v>318</v>
      </c>
      <c r="B13" s="24">
        <v>0</v>
      </c>
      <c r="C13" s="24">
        <v>0</v>
      </c>
      <c r="D13" s="24">
        <f>SUM(B13:C13)</f>
        <v>0</v>
      </c>
    </row>
    <row r="14" spans="1:4" ht="12.75">
      <c r="A14" s="17" t="s">
        <v>1</v>
      </c>
      <c r="B14" s="24">
        <f>SUM(B12:B13)</f>
        <v>0</v>
      </c>
      <c r="C14" s="24">
        <f>SUM(C12:C13)</f>
        <v>6</v>
      </c>
      <c r="D14" s="24">
        <f>SUM(B14:C14)</f>
        <v>6</v>
      </c>
    </row>
    <row r="15" spans="1:4" ht="12.75">
      <c r="A15" s="49"/>
      <c r="B15" s="26"/>
      <c r="C15" s="26"/>
      <c r="D15" s="26"/>
    </row>
    <row r="16" ht="12.75">
      <c r="A16" s="49" t="s">
        <v>224</v>
      </c>
    </row>
    <row r="17" spans="1:5" ht="12.75">
      <c r="A17" s="17"/>
      <c r="B17" s="104">
        <v>13</v>
      </c>
      <c r="C17" s="104"/>
      <c r="D17" s="24"/>
      <c r="E17" s="170"/>
    </row>
    <row r="18" spans="1:4" ht="12.75">
      <c r="A18" s="49"/>
      <c r="B18" s="26"/>
      <c r="C18" s="26"/>
      <c r="D18" s="26"/>
    </row>
    <row r="19" ht="12.75">
      <c r="A19" s="49" t="s">
        <v>323</v>
      </c>
    </row>
    <row r="20" ht="12.75">
      <c r="A20" s="49" t="s">
        <v>134</v>
      </c>
    </row>
    <row r="21" spans="1:4" ht="12.75">
      <c r="A21" s="23" t="s">
        <v>14</v>
      </c>
      <c r="B21" s="46" t="s">
        <v>8</v>
      </c>
      <c r="C21" s="46" t="s">
        <v>8</v>
      </c>
      <c r="D21" s="46" t="s">
        <v>8</v>
      </c>
    </row>
    <row r="22" spans="1:4" ht="12.75">
      <c r="A22" s="96"/>
      <c r="B22" s="19"/>
      <c r="C22" s="19">
        <v>0</v>
      </c>
      <c r="D22" s="19">
        <f>SUM(B22:C22)</f>
        <v>0</v>
      </c>
    </row>
    <row r="23" spans="1:4" ht="12.75">
      <c r="A23" s="181"/>
      <c r="B23" s="25"/>
      <c r="C23" s="25"/>
      <c r="D23" s="25"/>
    </row>
    <row r="24" spans="1:4" ht="12.75">
      <c r="A24" s="181" t="s">
        <v>10</v>
      </c>
      <c r="B24" s="50" t="s">
        <v>8</v>
      </c>
      <c r="C24" s="50" t="s">
        <v>8</v>
      </c>
      <c r="D24" s="50" t="s">
        <v>8</v>
      </c>
    </row>
    <row r="25" spans="1:4" ht="12.75">
      <c r="A25" s="96"/>
      <c r="B25" s="19"/>
      <c r="C25" s="19">
        <v>0</v>
      </c>
      <c r="D25" s="19">
        <f>SUM(B25:C25)</f>
        <v>0</v>
      </c>
    </row>
    <row r="26" spans="1:4" ht="12.75">
      <c r="A26" s="181"/>
      <c r="B26" s="25"/>
      <c r="C26" s="25"/>
      <c r="D26" s="25"/>
    </row>
    <row r="27" spans="1:4" ht="12.75">
      <c r="A27" s="181" t="s">
        <v>36</v>
      </c>
      <c r="B27" s="50" t="s">
        <v>11</v>
      </c>
      <c r="C27" s="50" t="s">
        <v>11</v>
      </c>
      <c r="D27" s="50" t="s">
        <v>11</v>
      </c>
    </row>
    <row r="28" spans="1:4" ht="12.75">
      <c r="A28" s="96"/>
      <c r="B28" s="19"/>
      <c r="C28" s="19">
        <v>0</v>
      </c>
      <c r="D28" s="19">
        <f>SUM(B28:C28)</f>
        <v>0</v>
      </c>
    </row>
    <row r="29" spans="1:4" ht="12.75">
      <c r="A29" s="52"/>
      <c r="B29" s="25"/>
      <c r="C29" s="25"/>
      <c r="D29" s="25"/>
    </row>
    <row r="30" spans="1:4" ht="12.75">
      <c r="A30" s="98" t="s">
        <v>194</v>
      </c>
      <c r="B30" s="25"/>
      <c r="C30" s="25"/>
      <c r="D30" s="25"/>
    </row>
    <row r="31" spans="1:4" ht="12.75">
      <c r="A31" s="181" t="s">
        <v>14</v>
      </c>
      <c r="B31" s="50" t="s">
        <v>13</v>
      </c>
      <c r="C31" s="50" t="s">
        <v>13</v>
      </c>
      <c r="D31" s="50" t="s">
        <v>13</v>
      </c>
    </row>
    <row r="32" spans="1:4" ht="12.75">
      <c r="A32" s="96"/>
      <c r="B32" s="19"/>
      <c r="C32" s="19">
        <v>0</v>
      </c>
      <c r="D32" s="19">
        <f>SUM(B32:C32)</f>
        <v>0</v>
      </c>
    </row>
    <row r="33" spans="1:4" ht="12.75">
      <c r="A33" s="181"/>
      <c r="B33" s="25"/>
      <c r="C33" s="25"/>
      <c r="D33" s="25"/>
    </row>
    <row r="34" spans="1:4" ht="12.75">
      <c r="A34" s="181" t="s">
        <v>10</v>
      </c>
      <c r="B34" s="50" t="s">
        <v>13</v>
      </c>
      <c r="C34" s="50" t="s">
        <v>13</v>
      </c>
      <c r="D34" s="50" t="s">
        <v>13</v>
      </c>
    </row>
    <row r="35" spans="1:4" ht="12.75">
      <c r="A35" s="96"/>
      <c r="B35" s="19"/>
      <c r="C35" s="19">
        <v>0</v>
      </c>
      <c r="D35" s="19">
        <f>SUM(B35:C35)</f>
        <v>0</v>
      </c>
    </row>
    <row r="36" spans="1:4" ht="12.75">
      <c r="A36" s="98"/>
      <c r="B36" s="74"/>
      <c r="C36" s="74"/>
      <c r="D36" s="74"/>
    </row>
    <row r="37" spans="1:6" ht="12.75">
      <c r="A37" s="98" t="s">
        <v>143</v>
      </c>
      <c r="B37" s="182">
        <v>2010</v>
      </c>
      <c r="C37" s="182"/>
      <c r="D37" s="182" t="s">
        <v>1</v>
      </c>
      <c r="F37" s="107" t="s">
        <v>103</v>
      </c>
    </row>
    <row r="38" spans="1:4" ht="12.75">
      <c r="A38" s="98" t="s">
        <v>134</v>
      </c>
      <c r="B38" s="25"/>
      <c r="C38" s="25"/>
      <c r="D38" s="25"/>
    </row>
    <row r="39" spans="1:4" ht="12.75">
      <c r="A39" s="181" t="s">
        <v>14</v>
      </c>
      <c r="B39" s="50" t="s">
        <v>8</v>
      </c>
      <c r="C39" s="50" t="s">
        <v>8</v>
      </c>
      <c r="D39" s="50" t="s">
        <v>8</v>
      </c>
    </row>
    <row r="40" spans="1:4" ht="12.75">
      <c r="A40" s="96"/>
      <c r="B40" s="19"/>
      <c r="C40" s="19">
        <v>6352</v>
      </c>
      <c r="D40" s="19">
        <f>SUM(B40:C40)</f>
        <v>6352</v>
      </c>
    </row>
    <row r="41" spans="1:4" ht="12.75">
      <c r="A41" s="181"/>
      <c r="B41" s="25"/>
      <c r="C41" s="25"/>
      <c r="D41" s="25"/>
    </row>
    <row r="42" spans="1:4" ht="12.75">
      <c r="A42" s="181" t="s">
        <v>10</v>
      </c>
      <c r="B42" s="50" t="s">
        <v>8</v>
      </c>
      <c r="C42" s="50" t="s">
        <v>8</v>
      </c>
      <c r="D42" s="50" t="s">
        <v>8</v>
      </c>
    </row>
    <row r="43" spans="1:4" ht="12.75">
      <c r="A43" s="96"/>
      <c r="B43" s="19"/>
      <c r="C43" s="19">
        <v>112356</v>
      </c>
      <c r="D43" s="19">
        <f>SUM(B43:C43)</f>
        <v>112356</v>
      </c>
    </row>
    <row r="44" spans="1:4" ht="12.75">
      <c r="A44" s="181"/>
      <c r="B44" s="25"/>
      <c r="C44" s="25"/>
      <c r="D44" s="25"/>
    </row>
    <row r="45" spans="1:4" ht="12.75">
      <c r="A45" s="181" t="s">
        <v>36</v>
      </c>
      <c r="B45" s="50" t="s">
        <v>11</v>
      </c>
      <c r="C45" s="50" t="s">
        <v>11</v>
      </c>
      <c r="D45" s="50" t="s">
        <v>11</v>
      </c>
    </row>
    <row r="46" spans="1:4" ht="12.75">
      <c r="A46" s="96"/>
      <c r="B46" s="19"/>
      <c r="C46" s="19">
        <v>1288</v>
      </c>
      <c r="D46" s="19">
        <f>SUM(B46:C46)</f>
        <v>1288</v>
      </c>
    </row>
    <row r="47" spans="1:4" ht="12.75">
      <c r="A47" s="52"/>
      <c r="B47" s="25"/>
      <c r="C47" s="25"/>
      <c r="D47" s="25"/>
    </row>
    <row r="48" spans="1:4" ht="12.75">
      <c r="A48" s="98" t="s">
        <v>194</v>
      </c>
      <c r="B48" s="25"/>
      <c r="C48" s="25"/>
      <c r="D48" s="25"/>
    </row>
    <row r="49" spans="1:4" ht="12.75">
      <c r="A49" s="181" t="s">
        <v>14</v>
      </c>
      <c r="B49" s="50" t="s">
        <v>13</v>
      </c>
      <c r="C49" s="50" t="s">
        <v>13</v>
      </c>
      <c r="D49" s="50" t="s">
        <v>13</v>
      </c>
    </row>
    <row r="50" spans="1:4" ht="12.75">
      <c r="A50" s="96"/>
      <c r="B50" s="19"/>
      <c r="C50" s="19">
        <v>7716</v>
      </c>
      <c r="D50" s="19">
        <f>SUM(B50:C50)</f>
        <v>7716</v>
      </c>
    </row>
    <row r="51" spans="1:4" ht="12.75">
      <c r="A51" s="181"/>
      <c r="B51" s="25"/>
      <c r="C51" s="25"/>
      <c r="D51" s="25"/>
    </row>
    <row r="52" spans="1:4" ht="12.75">
      <c r="A52" s="181" t="s">
        <v>10</v>
      </c>
      <c r="B52" s="50" t="s">
        <v>13</v>
      </c>
      <c r="C52" s="50" t="s">
        <v>13</v>
      </c>
      <c r="D52" s="50" t="s">
        <v>13</v>
      </c>
    </row>
    <row r="53" spans="1:4" ht="12.75">
      <c r="A53" s="96"/>
      <c r="B53" s="19"/>
      <c r="C53" s="19">
        <v>223315</v>
      </c>
      <c r="D53" s="19">
        <f>SUM(B53:C53)</f>
        <v>223315</v>
      </c>
    </row>
    <row r="54" spans="1:4" ht="12.75">
      <c r="A54" s="25"/>
      <c r="B54" s="25"/>
      <c r="C54" s="25"/>
      <c r="D54" s="25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23.140625" style="0" customWidth="1"/>
    <col min="2" max="2" width="13.57421875" style="0" customWidth="1"/>
    <col min="3" max="3" width="14.00390625" style="0" customWidth="1"/>
    <col min="4" max="5" width="14.421875" style="0" customWidth="1"/>
    <col min="6" max="6" width="14.00390625" style="0" customWidth="1"/>
  </cols>
  <sheetData>
    <row r="1" spans="1:6" ht="15.75" customHeight="1">
      <c r="A1" s="242" t="s">
        <v>320</v>
      </c>
      <c r="B1" s="242"/>
      <c r="C1" s="242"/>
      <c r="D1" s="242"/>
      <c r="E1" s="242"/>
      <c r="F1" s="242"/>
    </row>
    <row r="3" spans="1:6" ht="12.75">
      <c r="A3" s="33" t="s">
        <v>282</v>
      </c>
      <c r="B3" s="31">
        <v>2008</v>
      </c>
      <c r="C3" s="126">
        <v>2009</v>
      </c>
      <c r="D3" s="126">
        <v>2010</v>
      </c>
      <c r="E3" s="126">
        <v>2011</v>
      </c>
      <c r="F3" s="126" t="s">
        <v>1</v>
      </c>
    </row>
    <row r="4" spans="1:6" ht="12.75">
      <c r="A4" s="17"/>
      <c r="B4" s="167">
        <v>3000000</v>
      </c>
      <c r="C4" s="155">
        <v>23245128.080000002</v>
      </c>
      <c r="D4" s="155">
        <v>24532976.5</v>
      </c>
      <c r="E4" s="155">
        <v>35896150.92</v>
      </c>
      <c r="F4" s="155">
        <f>SUM(B4:E4)</f>
        <v>86674255.5</v>
      </c>
    </row>
    <row r="5" spans="1:6" ht="12.75">
      <c r="A5" s="23"/>
      <c r="B5" s="23"/>
      <c r="C5" s="128"/>
      <c r="D5" s="128"/>
      <c r="E5" s="128"/>
      <c r="F5" s="128"/>
    </row>
    <row r="6" spans="1:6" ht="12.75">
      <c r="A6" s="33" t="s">
        <v>283</v>
      </c>
      <c r="B6" s="33"/>
      <c r="C6" s="128"/>
      <c r="D6" s="128"/>
      <c r="E6" s="128"/>
      <c r="F6" s="128"/>
    </row>
    <row r="7" spans="1:6" ht="12.75">
      <c r="A7" s="17" t="s">
        <v>24</v>
      </c>
      <c r="B7" s="167">
        <v>0</v>
      </c>
      <c r="C7" s="155">
        <v>125000</v>
      </c>
      <c r="D7" s="155">
        <v>3970159.58</v>
      </c>
      <c r="E7" s="155">
        <v>21733218.78</v>
      </c>
      <c r="F7" s="155">
        <f>SUM(B7:E7)</f>
        <v>25828378.36</v>
      </c>
    </row>
    <row r="8" spans="1:7" ht="12.75">
      <c r="A8" s="17" t="s">
        <v>23</v>
      </c>
      <c r="B8" s="167"/>
      <c r="C8" s="155"/>
      <c r="D8" s="155"/>
      <c r="E8" s="155">
        <v>1086568</v>
      </c>
      <c r="F8" s="157"/>
      <c r="G8" s="202"/>
    </row>
    <row r="9" spans="1:7" ht="12.75">
      <c r="A9" s="17" t="s">
        <v>1</v>
      </c>
      <c r="B9" s="167"/>
      <c r="C9" s="155"/>
      <c r="D9" s="155"/>
      <c r="E9" s="155">
        <f>SUM(E7:E8)</f>
        <v>22819786.78</v>
      </c>
      <c r="F9" s="157"/>
      <c r="G9" s="187"/>
    </row>
    <row r="10" spans="1:2" ht="12.75">
      <c r="A10" s="23"/>
      <c r="B10" s="23"/>
    </row>
    <row r="11" spans="1:8" ht="12.75">
      <c r="A11" s="49" t="s">
        <v>5</v>
      </c>
      <c r="B11" s="49"/>
      <c r="E11" s="187"/>
      <c r="F11" s="187"/>
      <c r="G11" s="187"/>
      <c r="H11" s="187"/>
    </row>
    <row r="12" spans="1:8" ht="12.75">
      <c r="A12" s="21" t="s">
        <v>24</v>
      </c>
      <c r="B12" s="17"/>
      <c r="C12" s="24"/>
      <c r="D12" s="24">
        <v>162</v>
      </c>
      <c r="E12" s="80">
        <v>1325</v>
      </c>
      <c r="F12" s="80">
        <f>SUM(B12:E12)</f>
        <v>1487</v>
      </c>
      <c r="G12" s="190"/>
      <c r="H12" s="187"/>
    </row>
    <row r="13" spans="1:8" ht="12.75">
      <c r="A13" s="21" t="s">
        <v>23</v>
      </c>
      <c r="B13" s="17"/>
      <c r="C13" s="24"/>
      <c r="D13" s="104">
        <v>443</v>
      </c>
      <c r="E13" s="80"/>
      <c r="F13" s="80">
        <f>SUM(B13:E13)</f>
        <v>443</v>
      </c>
      <c r="G13" s="183"/>
      <c r="H13" s="187"/>
    </row>
    <row r="14" spans="1:8" ht="12.75">
      <c r="A14" s="17" t="s">
        <v>1</v>
      </c>
      <c r="B14" s="17"/>
      <c r="C14" s="24">
        <f>SUM(C12:C13)</f>
        <v>0</v>
      </c>
      <c r="D14" s="24">
        <f>SUM(D12:D13)</f>
        <v>605</v>
      </c>
      <c r="E14" s="80">
        <f>SUM(E12:E13)</f>
        <v>1325</v>
      </c>
      <c r="F14" s="80">
        <f>SUM(B14:E14)</f>
        <v>1930</v>
      </c>
      <c r="G14" s="215"/>
      <c r="H14" s="187"/>
    </row>
    <row r="15" spans="1:8" ht="12.75">
      <c r="A15" s="49"/>
      <c r="B15" s="49"/>
      <c r="C15" s="26"/>
      <c r="D15" s="26"/>
      <c r="E15" s="90"/>
      <c r="F15" s="90"/>
      <c r="G15" s="187"/>
      <c r="H15" s="187"/>
    </row>
    <row r="16" spans="1:8" ht="12.75">
      <c r="A16" s="49" t="s">
        <v>323</v>
      </c>
      <c r="B16" s="23"/>
      <c r="E16" s="187"/>
      <c r="F16" s="187"/>
      <c r="G16" s="187"/>
      <c r="H16" s="187"/>
    </row>
    <row r="17" spans="1:2" ht="12.75">
      <c r="A17" s="49" t="s">
        <v>134</v>
      </c>
      <c r="B17" s="49"/>
    </row>
    <row r="18" spans="1:6" ht="12.75">
      <c r="A18" s="23" t="s">
        <v>14</v>
      </c>
      <c r="B18" s="46" t="s">
        <v>8</v>
      </c>
      <c r="C18" s="46" t="s">
        <v>8</v>
      </c>
      <c r="D18" s="46" t="s">
        <v>8</v>
      </c>
      <c r="E18" s="46" t="s">
        <v>8</v>
      </c>
      <c r="F18" s="46" t="s">
        <v>8</v>
      </c>
    </row>
    <row r="19" spans="1:6" ht="12.75">
      <c r="A19" s="17"/>
      <c r="B19" s="17"/>
      <c r="C19" s="24"/>
      <c r="D19" s="19">
        <v>5007</v>
      </c>
      <c r="E19" s="19">
        <v>41640</v>
      </c>
      <c r="F19" s="19">
        <f>SUM(B19:E19)</f>
        <v>46647</v>
      </c>
    </row>
    <row r="20" spans="1:6" ht="12.75">
      <c r="A20" s="23"/>
      <c r="B20" s="23"/>
      <c r="D20" s="25"/>
      <c r="E20" s="25"/>
      <c r="F20" s="25"/>
    </row>
    <row r="21" spans="1:6" ht="12.75">
      <c r="A21" s="23" t="s">
        <v>10</v>
      </c>
      <c r="B21" s="46" t="s">
        <v>8</v>
      </c>
      <c r="C21" s="46" t="s">
        <v>8</v>
      </c>
      <c r="D21" s="50" t="s">
        <v>8</v>
      </c>
      <c r="E21" s="50" t="s">
        <v>8</v>
      </c>
      <c r="F21" s="50" t="s">
        <v>8</v>
      </c>
    </row>
    <row r="22" spans="1:6" ht="12.75">
      <c r="A22" s="17"/>
      <c r="B22" s="17"/>
      <c r="C22" s="24"/>
      <c r="D22" s="19">
        <v>75032</v>
      </c>
      <c r="E22" s="19">
        <v>621575</v>
      </c>
      <c r="F22" s="19">
        <f>SUM(B22:E22)</f>
        <v>696607</v>
      </c>
    </row>
    <row r="23" spans="1:6" ht="12.75">
      <c r="A23" s="23"/>
      <c r="B23" s="23"/>
      <c r="D23" s="25"/>
      <c r="E23" s="25"/>
      <c r="F23" s="25"/>
    </row>
    <row r="24" spans="1:6" ht="12.75">
      <c r="A24" s="23" t="s">
        <v>36</v>
      </c>
      <c r="B24" s="50" t="s">
        <v>11</v>
      </c>
      <c r="C24" s="50" t="s">
        <v>11</v>
      </c>
      <c r="D24" s="50" t="s">
        <v>11</v>
      </c>
      <c r="E24" s="50" t="s">
        <v>11</v>
      </c>
      <c r="F24" s="50" t="s">
        <v>11</v>
      </c>
    </row>
    <row r="25" spans="1:6" ht="12.75">
      <c r="A25" s="17"/>
      <c r="B25" s="17"/>
      <c r="C25" s="24"/>
      <c r="D25" s="19">
        <v>1276</v>
      </c>
      <c r="E25" s="19">
        <v>8693</v>
      </c>
      <c r="F25" s="19">
        <f>SUM(B25:E25)</f>
        <v>9969</v>
      </c>
    </row>
    <row r="26" spans="1:6" ht="12.75">
      <c r="A26" s="5"/>
      <c r="B26" s="5"/>
      <c r="D26" s="25"/>
      <c r="E26" s="25"/>
      <c r="F26" s="25"/>
    </row>
    <row r="27" spans="1:6" ht="12.75">
      <c r="A27" s="49" t="s">
        <v>194</v>
      </c>
      <c r="B27" s="49"/>
      <c r="D27" s="25"/>
      <c r="E27" s="25"/>
      <c r="F27" s="25"/>
    </row>
    <row r="28" spans="1:6" ht="12.75">
      <c r="A28" s="23" t="s">
        <v>14</v>
      </c>
      <c r="B28" s="50" t="s">
        <v>13</v>
      </c>
      <c r="C28" s="50" t="s">
        <v>13</v>
      </c>
      <c r="D28" s="50" t="s">
        <v>13</v>
      </c>
      <c r="E28" s="50" t="s">
        <v>13</v>
      </c>
      <c r="F28" s="50" t="s">
        <v>13</v>
      </c>
    </row>
    <row r="29" spans="1:6" ht="12.75">
      <c r="A29" s="17"/>
      <c r="B29" s="17"/>
      <c r="C29" s="24"/>
      <c r="D29" s="19">
        <v>4487</v>
      </c>
      <c r="E29" s="19">
        <v>61347</v>
      </c>
      <c r="F29" s="19">
        <f>SUM(B29:E29)</f>
        <v>65834</v>
      </c>
    </row>
    <row r="30" spans="1:6" ht="12.75">
      <c r="A30" s="23"/>
      <c r="B30" s="23"/>
      <c r="D30" s="25"/>
      <c r="E30" s="25"/>
      <c r="F30" s="25"/>
    </row>
    <row r="31" spans="1:6" ht="12.75">
      <c r="A31" s="23" t="s">
        <v>10</v>
      </c>
      <c r="B31" s="50" t="s">
        <v>13</v>
      </c>
      <c r="C31" s="50" t="s">
        <v>13</v>
      </c>
      <c r="D31" s="50" t="s">
        <v>13</v>
      </c>
      <c r="E31" s="50" t="s">
        <v>13</v>
      </c>
      <c r="F31" s="50" t="s">
        <v>13</v>
      </c>
    </row>
    <row r="32" spans="1:6" ht="12.75">
      <c r="A32" s="17"/>
      <c r="B32" s="17"/>
      <c r="C32" s="24"/>
      <c r="D32" s="19">
        <v>67968</v>
      </c>
      <c r="E32" s="19">
        <v>1016634</v>
      </c>
      <c r="F32" s="19">
        <f>SUM(B32:E32)</f>
        <v>1084602</v>
      </c>
    </row>
    <row r="33" spans="1:6" ht="12.75">
      <c r="A33" s="49"/>
      <c r="B33" s="49"/>
      <c r="C33" s="26"/>
      <c r="D33" s="74"/>
      <c r="E33" s="74"/>
      <c r="F33" s="74"/>
    </row>
    <row r="34" spans="1:6" ht="12.75">
      <c r="A34" s="49" t="s">
        <v>143</v>
      </c>
      <c r="B34" s="31">
        <v>2008</v>
      </c>
      <c r="C34" s="126">
        <v>2009</v>
      </c>
      <c r="D34" s="126">
        <v>2010</v>
      </c>
      <c r="E34" s="126">
        <v>2011</v>
      </c>
      <c r="F34" s="182" t="s">
        <v>1</v>
      </c>
    </row>
    <row r="35" spans="1:6" ht="12.75">
      <c r="A35" s="49" t="s">
        <v>134</v>
      </c>
      <c r="D35" s="25"/>
      <c r="E35" s="25"/>
      <c r="F35" s="25"/>
    </row>
    <row r="36" spans="1:6" ht="12.75">
      <c r="A36" s="23" t="s">
        <v>14</v>
      </c>
      <c r="B36" s="46" t="s">
        <v>8</v>
      </c>
      <c r="C36" s="46" t="s">
        <v>8</v>
      </c>
      <c r="D36" s="50" t="s">
        <v>8</v>
      </c>
      <c r="E36" s="50" t="s">
        <v>8</v>
      </c>
      <c r="F36" s="50" t="s">
        <v>8</v>
      </c>
    </row>
    <row r="37" spans="1:6" ht="12.75">
      <c r="A37" s="17"/>
      <c r="B37" s="17"/>
      <c r="C37" s="24"/>
      <c r="D37" s="19">
        <v>15949</v>
      </c>
      <c r="E37" s="19">
        <v>27009</v>
      </c>
      <c r="F37" s="19">
        <f>SUM(B37:E37)</f>
        <v>42958</v>
      </c>
    </row>
    <row r="38" spans="1:6" ht="12.75">
      <c r="A38" s="23"/>
      <c r="B38" s="23"/>
      <c r="D38" s="25"/>
      <c r="E38" s="25"/>
      <c r="F38" s="25"/>
    </row>
    <row r="39" spans="1:6" ht="12.75">
      <c r="A39" s="23" t="s">
        <v>10</v>
      </c>
      <c r="B39" s="46" t="s">
        <v>8</v>
      </c>
      <c r="C39" s="46" t="s">
        <v>8</v>
      </c>
      <c r="D39" s="50" t="s">
        <v>8</v>
      </c>
      <c r="E39" s="50" t="s">
        <v>8</v>
      </c>
      <c r="F39" s="50" t="s">
        <v>8</v>
      </c>
    </row>
    <row r="40" spans="1:6" ht="12.75">
      <c r="A40" s="17"/>
      <c r="B40" s="17"/>
      <c r="C40" s="24"/>
      <c r="D40" s="19">
        <v>241683</v>
      </c>
      <c r="E40" s="19">
        <v>398064</v>
      </c>
      <c r="F40" s="19">
        <f>SUM(B40:E40)</f>
        <v>639747</v>
      </c>
    </row>
    <row r="41" spans="1:6" ht="12.75">
      <c r="A41" s="23"/>
      <c r="B41" s="23"/>
      <c r="D41" s="25"/>
      <c r="E41" s="25"/>
      <c r="F41" s="25"/>
    </row>
    <row r="42" spans="1:6" ht="12.75">
      <c r="A42" s="23" t="s">
        <v>36</v>
      </c>
      <c r="B42" s="50" t="s">
        <v>11</v>
      </c>
      <c r="C42" s="50" t="s">
        <v>11</v>
      </c>
      <c r="D42" s="50" t="s">
        <v>11</v>
      </c>
      <c r="E42" s="50" t="s">
        <v>11</v>
      </c>
      <c r="F42" s="50" t="s">
        <v>11</v>
      </c>
    </row>
    <row r="43" spans="1:6" ht="12.75">
      <c r="A43" s="17"/>
      <c r="B43" s="17"/>
      <c r="C43" s="24"/>
      <c r="D43" s="19">
        <v>3753</v>
      </c>
      <c r="E43" s="19">
        <v>6497</v>
      </c>
      <c r="F43" s="19">
        <f>SUM(B43:E43)</f>
        <v>10250</v>
      </c>
    </row>
    <row r="44" spans="1:6" ht="12.75">
      <c r="A44" s="5"/>
      <c r="B44" s="5"/>
      <c r="D44" s="25"/>
      <c r="E44" s="25"/>
      <c r="F44" s="25"/>
    </row>
    <row r="45" spans="1:6" ht="12.75">
      <c r="A45" s="49" t="s">
        <v>194</v>
      </c>
      <c r="B45" s="49"/>
      <c r="D45" s="25"/>
      <c r="E45" s="25"/>
      <c r="F45" s="25"/>
    </row>
    <row r="46" spans="1:6" ht="12.75">
      <c r="A46" s="23" t="s">
        <v>14</v>
      </c>
      <c r="B46" s="50" t="s">
        <v>13</v>
      </c>
      <c r="C46" s="50" t="s">
        <v>13</v>
      </c>
      <c r="D46" s="50" t="s">
        <v>13</v>
      </c>
      <c r="E46" s="50" t="s">
        <v>13</v>
      </c>
      <c r="F46" s="50" t="s">
        <v>13</v>
      </c>
    </row>
    <row r="47" spans="1:6" ht="12.75">
      <c r="A47" s="17"/>
      <c r="B47" s="17"/>
      <c r="C47" s="24"/>
      <c r="D47" s="19">
        <v>5011</v>
      </c>
      <c r="E47" s="19">
        <v>59801</v>
      </c>
      <c r="F47" s="19">
        <f>SUM(B47:E47)</f>
        <v>64812</v>
      </c>
    </row>
    <row r="48" spans="1:6" ht="12.75">
      <c r="A48" s="23"/>
      <c r="B48" s="23"/>
      <c r="D48" s="25"/>
      <c r="E48" s="25"/>
      <c r="F48" s="25"/>
    </row>
    <row r="49" spans="1:6" ht="12.75">
      <c r="A49" s="23" t="s">
        <v>10</v>
      </c>
      <c r="B49" s="50" t="s">
        <v>13</v>
      </c>
      <c r="C49" s="50" t="s">
        <v>13</v>
      </c>
      <c r="D49" s="50" t="s">
        <v>13</v>
      </c>
      <c r="E49" s="50" t="s">
        <v>13</v>
      </c>
      <c r="F49" s="50" t="s">
        <v>13</v>
      </c>
    </row>
    <row r="50" spans="1:6" ht="12.75">
      <c r="A50" s="17"/>
      <c r="B50" s="17"/>
      <c r="C50" s="24"/>
      <c r="D50" s="19">
        <v>76641</v>
      </c>
      <c r="E50" s="19">
        <v>970820</v>
      </c>
      <c r="F50" s="19">
        <f>SUM(B50:E50)</f>
        <v>1047461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23.28125" style="0" customWidth="1"/>
    <col min="2" max="4" width="9.28125" style="0" customWidth="1"/>
    <col min="5" max="5" width="12.421875" style="0" customWidth="1"/>
    <col min="6" max="6" width="13.00390625" style="0" customWidth="1"/>
    <col min="7" max="7" width="14.140625" style="0" bestFit="1" customWidth="1"/>
    <col min="8" max="9" width="13.8515625" style="0" customWidth="1"/>
    <col min="10" max="12" width="13.421875" style="0" customWidth="1"/>
    <col min="13" max="13" width="13.8515625" style="0" customWidth="1"/>
  </cols>
  <sheetData>
    <row r="1" ht="12.75">
      <c r="A1" s="1" t="s">
        <v>187</v>
      </c>
    </row>
    <row r="2" ht="15">
      <c r="A2" s="144"/>
    </row>
    <row r="3" spans="2:13" ht="25.5">
      <c r="B3" s="27">
        <v>2001</v>
      </c>
      <c r="C3" s="27">
        <v>2002</v>
      </c>
      <c r="D3" s="27">
        <v>2003</v>
      </c>
      <c r="E3" s="27">
        <v>2004</v>
      </c>
      <c r="F3" s="27">
        <v>2005</v>
      </c>
      <c r="G3" s="27">
        <v>2006</v>
      </c>
      <c r="H3" s="27">
        <v>2007</v>
      </c>
      <c r="I3" s="27">
        <v>2008</v>
      </c>
      <c r="J3" s="27">
        <v>2009</v>
      </c>
      <c r="K3" s="27">
        <v>2010</v>
      </c>
      <c r="L3" s="27">
        <v>2011</v>
      </c>
      <c r="M3" s="162" t="s">
        <v>360</v>
      </c>
    </row>
    <row r="4" ht="12.75">
      <c r="A4" s="5" t="s">
        <v>282</v>
      </c>
    </row>
    <row r="5" spans="1:13" ht="12.75">
      <c r="A5" s="24" t="s">
        <v>59</v>
      </c>
      <c r="B5" s="134"/>
      <c r="C5" s="134"/>
      <c r="D5" s="134"/>
      <c r="E5" s="18">
        <f>5000*1000</f>
        <v>5000000</v>
      </c>
      <c r="F5" s="18">
        <f>7750*1000</f>
        <v>7750000</v>
      </c>
      <c r="G5" s="18">
        <f>6681*1000</f>
        <v>6681000</v>
      </c>
      <c r="H5" s="18">
        <f>7857*1000</f>
        <v>7857000</v>
      </c>
      <c r="I5" s="18">
        <f>15914*1000</f>
        <v>15914000</v>
      </c>
      <c r="J5" s="18">
        <v>11784675.15</v>
      </c>
      <c r="K5" s="18">
        <v>5859508.79</v>
      </c>
      <c r="L5" s="18">
        <v>1002122.83</v>
      </c>
      <c r="M5" s="18">
        <f>SUM(B5:L5)</f>
        <v>61848306.769999996</v>
      </c>
    </row>
    <row r="6" spans="5:13" ht="12.75"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1" t="s">
        <v>283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24" t="s">
        <v>229</v>
      </c>
      <c r="B8" s="24"/>
      <c r="C8" s="24"/>
      <c r="D8" s="24"/>
      <c r="E8" s="18">
        <f>32*1000</f>
        <v>32000</v>
      </c>
      <c r="F8" s="18">
        <f>502*1000</f>
        <v>502000</v>
      </c>
      <c r="G8" s="18">
        <f>1875*1000</f>
        <v>1875000</v>
      </c>
      <c r="H8" s="18">
        <f>3024*1000</f>
        <v>3024000</v>
      </c>
      <c r="I8" s="18">
        <f>2119*1000</f>
        <v>2119000</v>
      </c>
      <c r="J8" s="18">
        <v>1003184.76</v>
      </c>
      <c r="K8" s="18">
        <v>2708013.72</v>
      </c>
      <c r="L8" s="18">
        <v>0</v>
      </c>
      <c r="M8" s="18">
        <f>SUM(B8:L8)</f>
        <v>11263198.48</v>
      </c>
    </row>
    <row r="9" spans="1:13" ht="12.75">
      <c r="A9" s="104" t="s">
        <v>23</v>
      </c>
      <c r="B9" s="24"/>
      <c r="C9" s="24"/>
      <c r="D9" s="24"/>
      <c r="E9" s="18"/>
      <c r="F9" s="18"/>
      <c r="G9" s="18"/>
      <c r="H9" s="18">
        <f>7037*1000</f>
        <v>7037000</v>
      </c>
      <c r="I9" s="18">
        <f>9067*1000</f>
        <v>9067000</v>
      </c>
      <c r="J9" s="18">
        <v>7842812</v>
      </c>
      <c r="K9" s="18">
        <v>2000000</v>
      </c>
      <c r="L9" s="18">
        <v>1000000</v>
      </c>
      <c r="M9" s="18">
        <f>SUM(B9:L9)</f>
        <v>26946812</v>
      </c>
    </row>
    <row r="10" spans="1:13" ht="12.75">
      <c r="A10" s="104" t="s">
        <v>1</v>
      </c>
      <c r="B10" s="24"/>
      <c r="C10" s="24"/>
      <c r="D10" s="24"/>
      <c r="E10" s="18"/>
      <c r="F10" s="18"/>
      <c r="G10" s="18"/>
      <c r="H10" s="18">
        <f>SUM(H8:H9)</f>
        <v>10061000</v>
      </c>
      <c r="I10" s="18">
        <f>SUM(I8:I9)</f>
        <v>11186000</v>
      </c>
      <c r="J10" s="18">
        <f>SUM(J8:J9)</f>
        <v>8845996.76</v>
      </c>
      <c r="K10" s="18">
        <f>SUM(K8:K9)</f>
        <v>4708013.720000001</v>
      </c>
      <c r="L10" s="18">
        <f>SUM(L8:L9)</f>
        <v>1000000</v>
      </c>
      <c r="M10" s="18">
        <f>SUM(B10:L10)</f>
        <v>35801010.48</v>
      </c>
    </row>
    <row r="12" ht="12.75">
      <c r="A12" s="1" t="s">
        <v>63</v>
      </c>
    </row>
    <row r="13" spans="1:13" ht="12.75">
      <c r="A13" s="24" t="s">
        <v>59</v>
      </c>
      <c r="B13" s="24"/>
      <c r="C13" s="24"/>
      <c r="D13" s="24"/>
      <c r="E13" s="24"/>
      <c r="F13" s="24">
        <v>2</v>
      </c>
      <c r="G13" s="24">
        <v>4</v>
      </c>
      <c r="H13" s="24">
        <v>5</v>
      </c>
      <c r="I13" s="24">
        <v>4</v>
      </c>
      <c r="J13" s="24">
        <v>1</v>
      </c>
      <c r="K13" s="24">
        <v>6</v>
      </c>
      <c r="L13" s="24">
        <v>0</v>
      </c>
      <c r="M13" s="19">
        <f>SUM(B13:L13)</f>
        <v>22</v>
      </c>
    </row>
    <row r="14" ht="12.75">
      <c r="M14" s="25"/>
    </row>
    <row r="15" spans="1:13" ht="12.75">
      <c r="A15" s="1" t="s">
        <v>64</v>
      </c>
      <c r="M15" s="25"/>
    </row>
    <row r="16" spans="1:14" ht="12.75">
      <c r="A16" s="24" t="s">
        <v>59</v>
      </c>
      <c r="B16" s="24"/>
      <c r="C16" s="24"/>
      <c r="D16" s="24"/>
      <c r="E16" s="24"/>
      <c r="F16" s="24"/>
      <c r="G16" s="24"/>
      <c r="H16" s="24">
        <v>13</v>
      </c>
      <c r="I16" s="24">
        <v>15</v>
      </c>
      <c r="J16" s="24">
        <v>9</v>
      </c>
      <c r="K16" s="104">
        <v>2</v>
      </c>
      <c r="L16" s="104">
        <v>0</v>
      </c>
      <c r="M16" s="19">
        <f>SUM(B16:L16)</f>
        <v>39</v>
      </c>
      <c r="N16" s="170"/>
    </row>
    <row r="17" spans="2:13" ht="12.7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125"/>
    </row>
    <row r="18" spans="1:13" ht="15.75">
      <c r="A18" s="66" t="s">
        <v>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25"/>
    </row>
    <row r="19" spans="1:13" ht="12.75">
      <c r="A19" s="1" t="s">
        <v>152</v>
      </c>
      <c r="B19" s="27" t="s">
        <v>8</v>
      </c>
      <c r="C19" s="27" t="s">
        <v>8</v>
      </c>
      <c r="D19" s="27" t="s">
        <v>8</v>
      </c>
      <c r="E19" s="27" t="s">
        <v>8</v>
      </c>
      <c r="F19" s="27" t="s">
        <v>8</v>
      </c>
      <c r="G19" s="27" t="s">
        <v>8</v>
      </c>
      <c r="H19" s="27" t="s">
        <v>8</v>
      </c>
      <c r="I19" s="27" t="s">
        <v>8</v>
      </c>
      <c r="J19" s="27" t="s">
        <v>8</v>
      </c>
      <c r="K19" s="27" t="s">
        <v>8</v>
      </c>
      <c r="L19" s="27" t="s">
        <v>8</v>
      </c>
      <c r="M19" s="125" t="s">
        <v>8</v>
      </c>
    </row>
    <row r="20" spans="1:13" ht="12.75">
      <c r="A20" s="24" t="s">
        <v>150</v>
      </c>
      <c r="B20" s="24"/>
      <c r="C20" s="24"/>
      <c r="D20" s="24"/>
      <c r="E20" s="24"/>
      <c r="F20" s="19"/>
      <c r="G20" s="19"/>
      <c r="H20" s="19"/>
      <c r="I20" s="80">
        <v>141</v>
      </c>
      <c r="J20" s="80">
        <v>0</v>
      </c>
      <c r="K20" s="80">
        <v>2000</v>
      </c>
      <c r="L20" s="80"/>
      <c r="M20" s="19">
        <f>SUM(B20:L20)</f>
        <v>2141</v>
      </c>
    </row>
    <row r="21" spans="1:13" ht="12.75">
      <c r="A21" s="26"/>
      <c r="B21" s="26"/>
      <c r="C21" s="26"/>
      <c r="D21" s="26"/>
      <c r="E21" s="26"/>
      <c r="F21" s="74"/>
      <c r="G21" s="74"/>
      <c r="H21" s="74"/>
      <c r="I21" s="122"/>
      <c r="J21" s="122"/>
      <c r="K21" s="122"/>
      <c r="L21" s="122"/>
      <c r="M21" s="74"/>
    </row>
    <row r="22" spans="1:13" ht="12.75">
      <c r="A22" s="1" t="s">
        <v>153</v>
      </c>
      <c r="B22" s="27" t="s">
        <v>8</v>
      </c>
      <c r="C22" s="27" t="s">
        <v>8</v>
      </c>
      <c r="D22" s="27" t="s">
        <v>8</v>
      </c>
      <c r="E22" s="27" t="s">
        <v>8</v>
      </c>
      <c r="F22" s="27" t="s">
        <v>8</v>
      </c>
      <c r="G22" s="27" t="s">
        <v>8</v>
      </c>
      <c r="H22" s="27" t="s">
        <v>8</v>
      </c>
      <c r="I22" s="27" t="s">
        <v>8</v>
      </c>
      <c r="J22" s="27" t="s">
        <v>8</v>
      </c>
      <c r="K22" s="27" t="s">
        <v>8</v>
      </c>
      <c r="L22" s="27" t="s">
        <v>8</v>
      </c>
      <c r="M22" s="125" t="s">
        <v>8</v>
      </c>
    </row>
    <row r="23" spans="1:13" ht="12.75">
      <c r="A23" s="24" t="s">
        <v>150</v>
      </c>
      <c r="B23" s="24"/>
      <c r="C23" s="24"/>
      <c r="D23" s="24"/>
      <c r="E23" s="24"/>
      <c r="F23" s="19"/>
      <c r="G23" s="19"/>
      <c r="H23" s="19"/>
      <c r="I23" s="19">
        <v>2119</v>
      </c>
      <c r="J23" s="19">
        <v>0</v>
      </c>
      <c r="K23" s="19">
        <v>24001</v>
      </c>
      <c r="L23" s="19"/>
      <c r="M23" s="19">
        <f>SUM(B23:L23)</f>
        <v>26120</v>
      </c>
    </row>
    <row r="24" spans="1:13" ht="12.75">
      <c r="A24" s="26"/>
      <c r="B24" s="26"/>
      <c r="C24" s="26"/>
      <c r="D24" s="26"/>
      <c r="E24" s="26"/>
      <c r="F24" s="74"/>
      <c r="G24" s="74"/>
      <c r="H24" s="74"/>
      <c r="I24" s="74"/>
      <c r="J24" s="74"/>
      <c r="K24" s="74"/>
      <c r="L24" s="74"/>
      <c r="M24" s="74"/>
    </row>
    <row r="25" spans="1:13" ht="12.75">
      <c r="A25" s="1" t="s">
        <v>135</v>
      </c>
      <c r="B25" s="27" t="s">
        <v>11</v>
      </c>
      <c r="C25" s="27" t="s">
        <v>11</v>
      </c>
      <c r="D25" s="27" t="s">
        <v>11</v>
      </c>
      <c r="E25" s="27" t="s">
        <v>11</v>
      </c>
      <c r="F25" s="27" t="s">
        <v>11</v>
      </c>
      <c r="G25" s="27" t="s">
        <v>11</v>
      </c>
      <c r="H25" s="27" t="s">
        <v>11</v>
      </c>
      <c r="I25" s="27" t="s">
        <v>11</v>
      </c>
      <c r="J25" s="27" t="s">
        <v>11</v>
      </c>
      <c r="K25" s="27" t="s">
        <v>11</v>
      </c>
      <c r="L25" s="27" t="s">
        <v>11</v>
      </c>
      <c r="M25" s="125" t="s">
        <v>11</v>
      </c>
    </row>
    <row r="26" spans="1:13" ht="12.75">
      <c r="A26" s="24" t="s">
        <v>150</v>
      </c>
      <c r="B26" s="24"/>
      <c r="C26" s="24"/>
      <c r="D26" s="24"/>
      <c r="E26" s="24"/>
      <c r="F26" s="19"/>
      <c r="G26" s="19"/>
      <c r="H26" s="19"/>
      <c r="I26" s="19">
        <v>30</v>
      </c>
      <c r="J26" s="19">
        <v>0</v>
      </c>
      <c r="K26" s="19">
        <v>275</v>
      </c>
      <c r="L26" s="19"/>
      <c r="M26" s="19">
        <f>SUM(B26:L26)</f>
        <v>305</v>
      </c>
    </row>
    <row r="27" spans="1:13" ht="12.75">
      <c r="A27" s="26"/>
      <c r="B27" s="26"/>
      <c r="C27" s="26"/>
      <c r="D27" s="26"/>
      <c r="E27" s="26"/>
      <c r="F27" s="74"/>
      <c r="G27" s="74"/>
      <c r="H27" s="74"/>
      <c r="I27" s="74"/>
      <c r="J27" s="74"/>
      <c r="K27" s="74"/>
      <c r="L27" s="74"/>
      <c r="M27" s="74"/>
    </row>
    <row r="28" spans="1:13" ht="12.75">
      <c r="A28" s="1" t="s">
        <v>279</v>
      </c>
      <c r="B28" s="26"/>
      <c r="C28" s="26"/>
      <c r="D28" s="26"/>
      <c r="E28" s="26"/>
      <c r="F28" s="74"/>
      <c r="G28" s="74"/>
      <c r="H28" s="74"/>
      <c r="I28" s="74"/>
      <c r="J28" s="74"/>
      <c r="K28" s="74"/>
      <c r="L28" s="74"/>
      <c r="M28" s="74"/>
    </row>
    <row r="29" spans="1:13" ht="12.75">
      <c r="A29" s="1" t="s">
        <v>153</v>
      </c>
      <c r="B29" s="27" t="s">
        <v>8</v>
      </c>
      <c r="C29" s="27" t="s">
        <v>8</v>
      </c>
      <c r="D29" s="27" t="s">
        <v>8</v>
      </c>
      <c r="E29" s="27" t="s">
        <v>8</v>
      </c>
      <c r="F29" s="27" t="s">
        <v>8</v>
      </c>
      <c r="G29" s="27" t="s">
        <v>8</v>
      </c>
      <c r="H29" s="27" t="s">
        <v>8</v>
      </c>
      <c r="I29" s="27" t="s">
        <v>8</v>
      </c>
      <c r="J29" s="27" t="s">
        <v>8</v>
      </c>
      <c r="K29" s="27" t="s">
        <v>8</v>
      </c>
      <c r="L29" s="27" t="s">
        <v>8</v>
      </c>
      <c r="M29" s="100"/>
    </row>
    <row r="30" spans="1:13" ht="12.75">
      <c r="A30" s="24" t="s">
        <v>150</v>
      </c>
      <c r="B30" s="24"/>
      <c r="C30" s="24"/>
      <c r="D30" s="24"/>
      <c r="E30" s="24"/>
      <c r="F30" s="19"/>
      <c r="G30" s="19"/>
      <c r="H30" s="19"/>
      <c r="I30" s="19"/>
      <c r="J30" s="19">
        <v>4245</v>
      </c>
      <c r="K30" s="19"/>
      <c r="L30" s="19"/>
      <c r="M30" s="74"/>
    </row>
    <row r="31" spans="1:13" ht="12.75">
      <c r="A31" s="26"/>
      <c r="B31" s="26"/>
      <c r="C31" s="26"/>
      <c r="D31" s="26"/>
      <c r="E31" s="26"/>
      <c r="F31" s="74"/>
      <c r="G31" s="74"/>
      <c r="H31" s="74"/>
      <c r="I31" s="74"/>
      <c r="J31" s="74"/>
      <c r="K31" s="74"/>
      <c r="L31" s="74"/>
      <c r="M31" s="74"/>
    </row>
    <row r="32" spans="1:13" ht="12.75">
      <c r="A32" s="26"/>
      <c r="B32" s="26"/>
      <c r="C32" s="26"/>
      <c r="D32" s="26"/>
      <c r="E32" s="26"/>
      <c r="F32" s="74"/>
      <c r="G32" s="74"/>
      <c r="H32" s="74"/>
      <c r="I32" s="74"/>
      <c r="J32" s="74"/>
      <c r="K32" s="74"/>
      <c r="L32" s="74"/>
      <c r="M32" s="74"/>
    </row>
    <row r="33" spans="1:13" ht="12.75">
      <c r="A33" s="1" t="s">
        <v>154</v>
      </c>
      <c r="B33" s="27" t="s">
        <v>13</v>
      </c>
      <c r="C33" s="27" t="s">
        <v>13</v>
      </c>
      <c r="D33" s="27" t="s">
        <v>13</v>
      </c>
      <c r="E33" s="27" t="s">
        <v>13</v>
      </c>
      <c r="F33" s="27" t="s">
        <v>13</v>
      </c>
      <c r="G33" s="27" t="s">
        <v>13</v>
      </c>
      <c r="H33" s="27" t="s">
        <v>13</v>
      </c>
      <c r="I33" s="27" t="s">
        <v>13</v>
      </c>
      <c r="J33" s="27" t="s">
        <v>13</v>
      </c>
      <c r="K33" s="27" t="s">
        <v>13</v>
      </c>
      <c r="L33" s="27" t="s">
        <v>13</v>
      </c>
      <c r="M33" s="125" t="s">
        <v>13</v>
      </c>
    </row>
    <row r="34" spans="1:13" ht="12.75">
      <c r="A34" s="24" t="s">
        <v>150</v>
      </c>
      <c r="B34" s="24"/>
      <c r="C34" s="24"/>
      <c r="D34" s="24"/>
      <c r="E34" s="24"/>
      <c r="F34" s="24">
        <v>0</v>
      </c>
      <c r="G34" s="24">
        <v>0</v>
      </c>
      <c r="H34" s="19">
        <v>526105</v>
      </c>
      <c r="I34" s="19">
        <v>52103</v>
      </c>
      <c r="J34" s="19">
        <v>176521</v>
      </c>
      <c r="K34" s="19">
        <v>171923</v>
      </c>
      <c r="L34" s="19"/>
      <c r="M34" s="19">
        <f>SUM(B34:L34)</f>
        <v>926652</v>
      </c>
    </row>
    <row r="35" ht="12.75">
      <c r="M35" s="25"/>
    </row>
    <row r="36" spans="1:13" ht="12.75">
      <c r="A36" s="1" t="s">
        <v>155</v>
      </c>
      <c r="B36" s="27" t="s">
        <v>13</v>
      </c>
      <c r="C36" s="27" t="s">
        <v>13</v>
      </c>
      <c r="D36" s="27" t="s">
        <v>13</v>
      </c>
      <c r="E36" s="27" t="s">
        <v>13</v>
      </c>
      <c r="F36" s="27" t="s">
        <v>13</v>
      </c>
      <c r="G36" s="27" t="s">
        <v>13</v>
      </c>
      <c r="H36" s="27" t="s">
        <v>13</v>
      </c>
      <c r="I36" s="27" t="s">
        <v>13</v>
      </c>
      <c r="J36" s="27" t="s">
        <v>13</v>
      </c>
      <c r="K36" s="27" t="s">
        <v>13</v>
      </c>
      <c r="L36" s="27" t="s">
        <v>13</v>
      </c>
      <c r="M36" s="125" t="s">
        <v>13</v>
      </c>
    </row>
    <row r="37" spans="1:13" ht="12.75">
      <c r="A37" s="24" t="s">
        <v>150</v>
      </c>
      <c r="B37" s="24"/>
      <c r="C37" s="24"/>
      <c r="D37" s="24"/>
      <c r="E37" s="24"/>
      <c r="F37" s="24">
        <v>0</v>
      </c>
      <c r="G37" s="24">
        <v>0</v>
      </c>
      <c r="H37" s="19">
        <v>6313260</v>
      </c>
      <c r="I37" s="19">
        <v>625236</v>
      </c>
      <c r="J37" s="19">
        <v>2118252</v>
      </c>
      <c r="K37" s="19">
        <v>2063074</v>
      </c>
      <c r="L37" s="19"/>
      <c r="M37" s="19">
        <f>SUM(B37:L37)</f>
        <v>11119822</v>
      </c>
    </row>
    <row r="38" spans="1:13" ht="12.75">
      <c r="A38" s="26"/>
      <c r="B38" s="26"/>
      <c r="C38" s="26"/>
      <c r="D38" s="26"/>
      <c r="E38" s="26"/>
      <c r="F38" s="26"/>
      <c r="G38" s="26"/>
      <c r="H38" s="74"/>
      <c r="I38" s="74"/>
      <c r="J38" s="74"/>
      <c r="K38" s="74"/>
      <c r="L38" s="74"/>
      <c r="M38" s="74"/>
    </row>
    <row r="39" spans="1:13" ht="12.75">
      <c r="A39" s="1" t="s">
        <v>263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125"/>
    </row>
    <row r="40" spans="1:13" ht="12.75">
      <c r="A40" s="1" t="s">
        <v>154</v>
      </c>
      <c r="B40" s="27" t="s">
        <v>13</v>
      </c>
      <c r="C40" s="27" t="s">
        <v>13</v>
      </c>
      <c r="D40" s="27" t="s">
        <v>13</v>
      </c>
      <c r="E40" s="27" t="s">
        <v>13</v>
      </c>
      <c r="F40" s="27" t="s">
        <v>13</v>
      </c>
      <c r="G40" s="27" t="s">
        <v>13</v>
      </c>
      <c r="H40" s="27" t="s">
        <v>13</v>
      </c>
      <c r="I40" s="27" t="s">
        <v>13</v>
      </c>
      <c r="J40" s="27" t="s">
        <v>13</v>
      </c>
      <c r="K40" s="27" t="s">
        <v>13</v>
      </c>
      <c r="L40" s="27" t="s">
        <v>13</v>
      </c>
      <c r="M40" s="125"/>
    </row>
    <row r="41" spans="1:13" ht="12.75">
      <c r="A41" s="24" t="s">
        <v>150</v>
      </c>
      <c r="B41" s="24"/>
      <c r="C41" s="24"/>
      <c r="D41" s="24"/>
      <c r="E41" s="24"/>
      <c r="F41" s="19">
        <v>217927</v>
      </c>
      <c r="G41" s="19">
        <v>0</v>
      </c>
      <c r="H41" s="19">
        <v>603845</v>
      </c>
      <c r="I41" s="19">
        <v>1254210</v>
      </c>
      <c r="J41" s="19">
        <v>962446</v>
      </c>
      <c r="K41" s="19">
        <v>235419</v>
      </c>
      <c r="L41" s="19">
        <v>5202</v>
      </c>
      <c r="M41" s="125"/>
    </row>
    <row r="42" spans="6:13" ht="12.75">
      <c r="F42" s="25"/>
      <c r="G42" s="25"/>
      <c r="H42" s="25"/>
      <c r="I42" s="25"/>
      <c r="J42" s="25"/>
      <c r="K42" s="25"/>
      <c r="L42" s="25"/>
      <c r="M42" s="125"/>
    </row>
    <row r="43" spans="1:13" ht="12.75">
      <c r="A43" s="1" t="s">
        <v>155</v>
      </c>
      <c r="B43" s="27" t="s">
        <v>13</v>
      </c>
      <c r="C43" s="27" t="s">
        <v>13</v>
      </c>
      <c r="D43" s="27" t="s">
        <v>13</v>
      </c>
      <c r="E43" s="27" t="s">
        <v>13</v>
      </c>
      <c r="F43" s="27" t="s">
        <v>13</v>
      </c>
      <c r="G43" s="27" t="s">
        <v>13</v>
      </c>
      <c r="H43" s="27" t="s">
        <v>13</v>
      </c>
      <c r="I43" s="27" t="s">
        <v>13</v>
      </c>
      <c r="J43" s="27" t="s">
        <v>13</v>
      </c>
      <c r="K43" s="27" t="s">
        <v>13</v>
      </c>
      <c r="L43" s="27" t="s">
        <v>13</v>
      </c>
      <c r="M43" s="27"/>
    </row>
    <row r="44" spans="1:13" ht="12.75">
      <c r="A44" s="24" t="s">
        <v>150</v>
      </c>
      <c r="B44" s="24"/>
      <c r="C44" s="24"/>
      <c r="D44" s="24"/>
      <c r="E44" s="24"/>
      <c r="F44" s="19">
        <v>3268911</v>
      </c>
      <c r="G44" s="19">
        <v>0</v>
      </c>
      <c r="H44" s="19">
        <v>7246151</v>
      </c>
      <c r="I44" s="19">
        <v>14391686</v>
      </c>
      <c r="J44" s="19">
        <v>11549352</v>
      </c>
      <c r="K44" s="19">
        <v>2825028</v>
      </c>
      <c r="L44" s="19">
        <v>62424</v>
      </c>
      <c r="M44" s="27"/>
    </row>
    <row r="45" spans="1:13" ht="12.75">
      <c r="A45" s="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5.75">
      <c r="A46" s="66" t="s">
        <v>261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ht="12.75">
      <c r="A47" s="1" t="s">
        <v>24</v>
      </c>
    </row>
    <row r="48" spans="1:13" ht="12.75">
      <c r="A48" s="1" t="s">
        <v>152</v>
      </c>
      <c r="B48" s="27" t="s">
        <v>8</v>
      </c>
      <c r="C48" s="27" t="s">
        <v>8</v>
      </c>
      <c r="D48" s="27" t="s">
        <v>8</v>
      </c>
      <c r="E48" s="27" t="s">
        <v>8</v>
      </c>
      <c r="F48" s="27" t="s">
        <v>8</v>
      </c>
      <c r="G48" s="27" t="s">
        <v>8</v>
      </c>
      <c r="H48" s="27" t="s">
        <v>8</v>
      </c>
      <c r="I48" s="27" t="s">
        <v>8</v>
      </c>
      <c r="J48" s="27" t="s">
        <v>8</v>
      </c>
      <c r="K48" s="27" t="s">
        <v>8</v>
      </c>
      <c r="L48" s="27" t="s">
        <v>8</v>
      </c>
      <c r="M48" s="27" t="s">
        <v>8</v>
      </c>
    </row>
    <row r="49" spans="1:13" ht="12.75">
      <c r="A49" s="24" t="s">
        <v>150</v>
      </c>
      <c r="B49" s="24"/>
      <c r="C49" s="24"/>
      <c r="D49" s="24"/>
      <c r="E49" s="24"/>
      <c r="F49" s="19">
        <v>767</v>
      </c>
      <c r="G49" s="19">
        <v>12575</v>
      </c>
      <c r="H49" s="19">
        <v>102125</v>
      </c>
      <c r="I49" s="80">
        <v>9114</v>
      </c>
      <c r="J49" s="80">
        <v>35317</v>
      </c>
      <c r="K49" s="80">
        <v>47743</v>
      </c>
      <c r="L49" s="80"/>
      <c r="M49" s="19">
        <f>SUM(B49:K49)</f>
        <v>207641</v>
      </c>
    </row>
    <row r="51" spans="1:13" ht="12.75">
      <c r="A51" s="1" t="s">
        <v>153</v>
      </c>
      <c r="B51" s="27" t="s">
        <v>8</v>
      </c>
      <c r="C51" s="27" t="s">
        <v>8</v>
      </c>
      <c r="D51" s="27" t="s">
        <v>8</v>
      </c>
      <c r="E51" s="27" t="s">
        <v>8</v>
      </c>
      <c r="F51" s="27" t="s">
        <v>8</v>
      </c>
      <c r="G51" s="27" t="s">
        <v>8</v>
      </c>
      <c r="H51" s="27" t="s">
        <v>8</v>
      </c>
      <c r="I51" s="27" t="s">
        <v>8</v>
      </c>
      <c r="J51" s="27" t="s">
        <v>8</v>
      </c>
      <c r="K51" s="27" t="s">
        <v>8</v>
      </c>
      <c r="L51" s="27" t="s">
        <v>8</v>
      </c>
      <c r="M51" s="27" t="s">
        <v>8</v>
      </c>
    </row>
    <row r="52" spans="1:13" ht="12.75">
      <c r="A52" s="24" t="s">
        <v>150</v>
      </c>
      <c r="B52" s="24"/>
      <c r="C52" s="24"/>
      <c r="D52" s="24"/>
      <c r="E52" s="24"/>
      <c r="F52" s="19">
        <v>11498</v>
      </c>
      <c r="G52" s="19">
        <v>112759</v>
      </c>
      <c r="H52" s="19">
        <v>1225505</v>
      </c>
      <c r="I52" s="19">
        <v>109364</v>
      </c>
      <c r="J52" s="19">
        <v>423802</v>
      </c>
      <c r="K52" s="19">
        <v>524075</v>
      </c>
      <c r="L52" s="19"/>
      <c r="M52" s="19">
        <f>SUM(B52:K52)</f>
        <v>2407003</v>
      </c>
    </row>
    <row r="54" spans="1:13" ht="12.75">
      <c r="A54" s="1" t="s">
        <v>135</v>
      </c>
      <c r="B54" s="27" t="s">
        <v>11</v>
      </c>
      <c r="C54" s="27" t="s">
        <v>11</v>
      </c>
      <c r="D54" s="27" t="s">
        <v>11</v>
      </c>
      <c r="E54" s="27" t="s">
        <v>11</v>
      </c>
      <c r="F54" s="27" t="s">
        <v>11</v>
      </c>
      <c r="G54" s="27" t="s">
        <v>11</v>
      </c>
      <c r="H54" s="27" t="s">
        <v>11</v>
      </c>
      <c r="I54" s="27" t="s">
        <v>11</v>
      </c>
      <c r="J54" s="27" t="s">
        <v>11</v>
      </c>
      <c r="K54" s="27" t="s">
        <v>11</v>
      </c>
      <c r="L54" s="27" t="s">
        <v>11</v>
      </c>
      <c r="M54" s="27" t="s">
        <v>11</v>
      </c>
    </row>
    <row r="55" spans="1:13" ht="12.75">
      <c r="A55" s="24" t="s">
        <v>150</v>
      </c>
      <c r="B55" s="24"/>
      <c r="C55" s="24"/>
      <c r="D55" s="24"/>
      <c r="E55" s="24"/>
      <c r="F55" s="19">
        <v>140</v>
      </c>
      <c r="G55" s="19">
        <v>3175</v>
      </c>
      <c r="H55" s="19">
        <v>4925</v>
      </c>
      <c r="I55" s="19">
        <v>1276</v>
      </c>
      <c r="J55" s="19">
        <v>4700</v>
      </c>
      <c r="K55" s="19">
        <v>5535</v>
      </c>
      <c r="L55" s="19"/>
      <c r="M55" s="19">
        <f>SUM(B55:K55)</f>
        <v>19751</v>
      </c>
    </row>
    <row r="57" ht="12.75">
      <c r="A57" s="1" t="s">
        <v>262</v>
      </c>
    </row>
    <row r="58" spans="1:13" ht="12.75">
      <c r="A58" s="1" t="s">
        <v>152</v>
      </c>
      <c r="B58" s="27" t="s">
        <v>8</v>
      </c>
      <c r="C58" s="27" t="s">
        <v>8</v>
      </c>
      <c r="D58" s="27" t="s">
        <v>8</v>
      </c>
      <c r="E58" s="27" t="s">
        <v>8</v>
      </c>
      <c r="F58" s="27" t="s">
        <v>29</v>
      </c>
      <c r="G58" s="27" t="s">
        <v>29</v>
      </c>
      <c r="H58" s="27" t="s">
        <v>8</v>
      </c>
      <c r="I58" s="27" t="s">
        <v>8</v>
      </c>
      <c r="J58" s="27" t="s">
        <v>8</v>
      </c>
      <c r="K58" s="27" t="s">
        <v>8</v>
      </c>
      <c r="L58" s="27" t="s">
        <v>8</v>
      </c>
      <c r="M58" s="31"/>
    </row>
    <row r="59" spans="1:13" ht="12.75">
      <c r="A59" s="24" t="s">
        <v>150</v>
      </c>
      <c r="B59" s="24"/>
      <c r="C59" s="24"/>
      <c r="D59" s="24"/>
      <c r="E59" s="19"/>
      <c r="F59" s="19"/>
      <c r="G59" s="19">
        <v>729628</v>
      </c>
      <c r="H59" s="19">
        <v>105252</v>
      </c>
      <c r="I59" s="19">
        <v>90800</v>
      </c>
      <c r="J59" s="19">
        <v>123895</v>
      </c>
      <c r="K59" s="19">
        <v>41718</v>
      </c>
      <c r="L59" s="19">
        <v>2455</v>
      </c>
      <c r="M59" s="74"/>
    </row>
    <row r="60" ht="12.75">
      <c r="M60" s="26"/>
    </row>
    <row r="61" spans="1:13" ht="12.75">
      <c r="A61" s="1" t="s">
        <v>153</v>
      </c>
      <c r="B61" s="27" t="s">
        <v>8</v>
      </c>
      <c r="C61" s="27" t="s">
        <v>8</v>
      </c>
      <c r="D61" s="27" t="s">
        <v>8</v>
      </c>
      <c r="E61" s="27" t="s">
        <v>8</v>
      </c>
      <c r="F61" s="27" t="s">
        <v>8</v>
      </c>
      <c r="G61" s="27" t="s">
        <v>8</v>
      </c>
      <c r="H61" s="27" t="s">
        <v>8</v>
      </c>
      <c r="I61" s="27" t="s">
        <v>8</v>
      </c>
      <c r="J61" s="27" t="s">
        <v>8</v>
      </c>
      <c r="K61" s="27" t="s">
        <v>8</v>
      </c>
      <c r="L61" s="27" t="s">
        <v>8</v>
      </c>
      <c r="M61" s="31"/>
    </row>
    <row r="62" spans="1:13" ht="12.75">
      <c r="A62" s="24" t="s">
        <v>150</v>
      </c>
      <c r="B62" s="24"/>
      <c r="C62" s="24"/>
      <c r="D62" s="24"/>
      <c r="E62" s="19"/>
      <c r="F62" s="19">
        <v>199875</v>
      </c>
      <c r="G62" s="19">
        <v>0</v>
      </c>
      <c r="H62" s="19">
        <v>1263019</v>
      </c>
      <c r="I62" s="19">
        <v>3705353</v>
      </c>
      <c r="J62" s="19">
        <v>1486741</v>
      </c>
      <c r="K62" s="24">
        <v>500620</v>
      </c>
      <c r="L62" s="24">
        <v>29465</v>
      </c>
      <c r="M62" s="74"/>
    </row>
    <row r="63" ht="12.75">
      <c r="M63" s="26"/>
    </row>
    <row r="64" spans="1:13" ht="12.75">
      <c r="A64" s="1" t="s">
        <v>135</v>
      </c>
      <c r="B64" s="27" t="s">
        <v>11</v>
      </c>
      <c r="C64" s="27" t="s">
        <v>11</v>
      </c>
      <c r="D64" s="27" t="s">
        <v>11</v>
      </c>
      <c r="E64" s="27" t="s">
        <v>11</v>
      </c>
      <c r="F64" s="27" t="s">
        <v>11</v>
      </c>
      <c r="G64" s="27" t="s">
        <v>11</v>
      </c>
      <c r="H64" s="27" t="s">
        <v>11</v>
      </c>
      <c r="I64" s="27" t="s">
        <v>11</v>
      </c>
      <c r="J64" s="27" t="s">
        <v>11</v>
      </c>
      <c r="K64" s="27" t="s">
        <v>11</v>
      </c>
      <c r="L64" s="27" t="s">
        <v>11</v>
      </c>
      <c r="M64" s="31"/>
    </row>
    <row r="65" spans="1:13" ht="12.75">
      <c r="A65" s="24" t="s">
        <v>150</v>
      </c>
      <c r="B65" s="24"/>
      <c r="C65" s="24"/>
      <c r="D65" s="24"/>
      <c r="E65" s="24"/>
      <c r="F65" s="19">
        <v>2668</v>
      </c>
      <c r="G65" s="19">
        <v>0</v>
      </c>
      <c r="H65" s="19">
        <v>13685</v>
      </c>
      <c r="I65" s="19">
        <v>11365</v>
      </c>
      <c r="J65" s="19">
        <v>16367</v>
      </c>
      <c r="K65" s="19">
        <v>5970</v>
      </c>
      <c r="L65" s="19">
        <v>300</v>
      </c>
      <c r="M65" s="74"/>
    </row>
    <row r="66" ht="12.75">
      <c r="M66" s="74"/>
    </row>
    <row r="67" ht="12.75">
      <c r="M67" s="31"/>
    </row>
    <row r="68" ht="12.75">
      <c r="M68" s="74"/>
    </row>
  </sheetData>
  <sheetProtection/>
  <printOptions/>
  <pageMargins left="0.75" right="0.75" top="1" bottom="1" header="0.5" footer="0.5"/>
  <pageSetup horizontalDpi="600" verticalDpi="600" orientation="landscape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29.140625" style="220" bestFit="1" customWidth="1"/>
    <col min="2" max="6" width="12.140625" style="220" customWidth="1"/>
    <col min="7" max="16384" width="9.140625" style="220" customWidth="1"/>
  </cols>
  <sheetData>
    <row r="1" spans="1:6" ht="15.75">
      <c r="A1" s="243" t="s">
        <v>398</v>
      </c>
      <c r="B1" s="243"/>
      <c r="C1" s="244"/>
      <c r="D1" s="244"/>
      <c r="E1" s="244"/>
      <c r="F1" s="244"/>
    </row>
    <row r="2" spans="1:6" ht="12.75">
      <c r="A2" s="225"/>
      <c r="B2" s="225"/>
      <c r="C2" s="233"/>
      <c r="D2" s="233"/>
      <c r="E2" s="233"/>
      <c r="F2" s="233"/>
    </row>
    <row r="3" spans="1:6" ht="12.75">
      <c r="A3" s="230" t="s">
        <v>348</v>
      </c>
      <c r="B3" s="232">
        <v>2008</v>
      </c>
      <c r="C3" s="232">
        <v>2009</v>
      </c>
      <c r="D3" s="232">
        <v>2010</v>
      </c>
      <c r="E3" s="232">
        <v>2011</v>
      </c>
      <c r="F3" s="232" t="s">
        <v>1</v>
      </c>
    </row>
    <row r="4" spans="1:6" ht="12.75">
      <c r="A4" s="231" t="s">
        <v>274</v>
      </c>
      <c r="B4" s="226">
        <v>2324000</v>
      </c>
      <c r="C4" s="226">
        <v>13276120</v>
      </c>
      <c r="D4" s="226">
        <v>13232385.46</v>
      </c>
      <c r="E4" s="226">
        <v>9115170.97</v>
      </c>
      <c r="F4" s="226">
        <f>SUM(C4:E4)</f>
        <v>35623676.43</v>
      </c>
    </row>
    <row r="5" spans="1:6" ht="12.75">
      <c r="A5" s="225"/>
      <c r="B5" s="228"/>
      <c r="C5" s="228"/>
      <c r="D5" s="228"/>
      <c r="E5" s="228"/>
      <c r="F5" s="228"/>
    </row>
    <row r="6" spans="1:6" ht="12.75">
      <c r="A6" s="230" t="s">
        <v>283</v>
      </c>
      <c r="B6" s="229"/>
      <c r="C6" s="229"/>
      <c r="D6" s="229"/>
      <c r="E6" s="229"/>
      <c r="F6" s="228"/>
    </row>
    <row r="7" spans="1:6" ht="12.75">
      <c r="A7" s="227" t="s">
        <v>32</v>
      </c>
      <c r="B7" s="226">
        <v>45880</v>
      </c>
      <c r="C7" s="226">
        <v>1862388.85</v>
      </c>
      <c r="D7" s="226">
        <v>7187364.49</v>
      </c>
      <c r="E7" s="226">
        <v>3493179</v>
      </c>
      <c r="F7" s="226">
        <f>SUM(C7:E7)</f>
        <v>12542932.34</v>
      </c>
    </row>
    <row r="8" spans="1:6" ht="12.75">
      <c r="A8" s="227" t="s">
        <v>20</v>
      </c>
      <c r="B8" s="226">
        <v>0</v>
      </c>
      <c r="C8" s="226">
        <v>5000022.45</v>
      </c>
      <c r="D8" s="226">
        <v>3390200</v>
      </c>
      <c r="E8" s="226">
        <v>2404280</v>
      </c>
      <c r="F8" s="226">
        <f>SUM(C8:E8)</f>
        <v>10794502.45</v>
      </c>
    </row>
    <row r="9" spans="1:6" ht="12.75">
      <c r="A9" s="227" t="s">
        <v>33</v>
      </c>
      <c r="B9" s="226">
        <f>SUM(B7:B8)</f>
        <v>45880</v>
      </c>
      <c r="C9" s="226">
        <f>SUM(C7:C8)</f>
        <v>6862411.300000001</v>
      </c>
      <c r="D9" s="226">
        <f>SUM(D7:D8)</f>
        <v>10577564.49</v>
      </c>
      <c r="E9" s="226">
        <f>SUM(E7:E8)</f>
        <v>5897459</v>
      </c>
      <c r="F9" s="226">
        <f>SUM(C9:E9)</f>
        <v>23337434.79</v>
      </c>
    </row>
    <row r="10" spans="1:6" ht="12.75">
      <c r="A10" s="225"/>
      <c r="B10" s="223"/>
      <c r="C10" s="223"/>
      <c r="D10" s="223"/>
      <c r="E10" s="223"/>
      <c r="F10" s="223"/>
    </row>
    <row r="11" spans="1:6" ht="12.75">
      <c r="A11" s="224" t="s">
        <v>5</v>
      </c>
      <c r="B11" s="223"/>
      <c r="C11" s="223"/>
      <c r="D11" s="223"/>
      <c r="E11" s="223"/>
      <c r="F11" s="223"/>
    </row>
    <row r="12" spans="1:6" ht="12.75">
      <c r="A12" s="222" t="s">
        <v>397</v>
      </c>
      <c r="B12" s="221">
        <v>30</v>
      </c>
      <c r="C12" s="221">
        <v>352</v>
      </c>
      <c r="D12" s="221">
        <v>965</v>
      </c>
      <c r="E12" s="221">
        <v>358</v>
      </c>
      <c r="F12" s="221">
        <f>SUM(C12:E12)</f>
        <v>1675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  <ignoredErrors>
    <ignoredError sqref="F4:F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22">
      <selection activeCell="N1" sqref="N1"/>
    </sheetView>
  </sheetViews>
  <sheetFormatPr defaultColWidth="9.140625" defaultRowHeight="12.75"/>
  <cols>
    <col min="1" max="1" width="20.7109375" style="0" customWidth="1"/>
    <col min="2" max="2" width="11.8515625" style="0" bestFit="1" customWidth="1"/>
    <col min="3" max="3" width="13.00390625" style="0" bestFit="1" customWidth="1"/>
    <col min="4" max="4" width="13.28125" style="0" customWidth="1"/>
    <col min="5" max="5" width="13.28125" style="0" bestFit="1" customWidth="1"/>
    <col min="6" max="10" width="12.140625" style="0" customWidth="1"/>
    <col min="11" max="12" width="12.28125" style="0" customWidth="1"/>
    <col min="13" max="13" width="13.8515625" style="187" bestFit="1" customWidth="1"/>
    <col min="14" max="14" width="12.140625" style="0" bestFit="1" customWidth="1"/>
    <col min="15" max="15" width="9.140625" style="0" customWidth="1"/>
  </cols>
  <sheetData>
    <row r="1" spans="1:13" ht="12.75">
      <c r="A1" s="234" t="s">
        <v>78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>
      <c r="A2" s="234" t="s">
        <v>353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>
      <c r="A3" s="24"/>
      <c r="B3" s="35">
        <v>2001</v>
      </c>
      <c r="C3" s="35">
        <v>2002</v>
      </c>
      <c r="D3" s="35">
        <v>2003</v>
      </c>
      <c r="E3" s="35">
        <v>2004</v>
      </c>
      <c r="F3" s="35">
        <v>2005</v>
      </c>
      <c r="G3" s="35">
        <v>2006</v>
      </c>
      <c r="H3" s="35">
        <v>2007</v>
      </c>
      <c r="I3" s="35">
        <v>2008</v>
      </c>
      <c r="J3" s="35">
        <v>2009</v>
      </c>
      <c r="K3" s="35">
        <v>2010</v>
      </c>
      <c r="L3" s="35">
        <v>2011</v>
      </c>
      <c r="M3" s="121" t="s">
        <v>1</v>
      </c>
    </row>
    <row r="4" spans="1:13" ht="12.75">
      <c r="A4" s="14" t="s">
        <v>347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04"/>
    </row>
    <row r="5" spans="1:14" ht="12.75">
      <c r="A5" s="63" t="s">
        <v>345</v>
      </c>
      <c r="B5" s="175">
        <v>35483000</v>
      </c>
      <c r="C5" s="175">
        <v>46467000</v>
      </c>
      <c r="D5" s="175">
        <f>14444000+15365000+911000+872000+4219000+303000+14756000+679000</f>
        <v>51549000</v>
      </c>
      <c r="E5" s="175">
        <v>60534000</v>
      </c>
      <c r="F5" s="175">
        <v>57903000</v>
      </c>
      <c r="G5" s="175">
        <v>56524000</v>
      </c>
      <c r="H5" s="176">
        <v>67386000</v>
      </c>
      <c r="I5" s="175">
        <f>62844000</f>
        <v>62844000</v>
      </c>
      <c r="J5" s="175">
        <f>52670164.21+30741450.93</f>
        <v>83411615.14</v>
      </c>
      <c r="K5" s="175">
        <f>85420354.49+31377188.9</f>
        <v>116797543.38999999</v>
      </c>
      <c r="L5" s="175">
        <f>59985128.88+28405761.97</f>
        <v>88390890.85</v>
      </c>
      <c r="M5" s="175">
        <f aca="true" t="shared" si="0" ref="M5:M12">SUM(B5:L5)</f>
        <v>727290049.38</v>
      </c>
      <c r="N5" t="s">
        <v>373</v>
      </c>
    </row>
    <row r="6" spans="1:14" ht="12.75">
      <c r="A6" s="63" t="s">
        <v>346</v>
      </c>
      <c r="B6" s="175">
        <f>12501000+8586000</f>
        <v>21087000</v>
      </c>
      <c r="C6" s="176">
        <f>38839000+7952000</f>
        <v>46791000</v>
      </c>
      <c r="D6" s="175">
        <f>3832000+25095000+1628000+5916000+39000+255000</f>
        <v>36765000</v>
      </c>
      <c r="E6" s="175">
        <v>32219000</v>
      </c>
      <c r="F6" s="175">
        <v>27512000</v>
      </c>
      <c r="G6" s="175">
        <f>21943000+1175000</f>
        <v>23118000</v>
      </c>
      <c r="H6" s="176">
        <f>19652000+3040000</f>
        <v>22692000</v>
      </c>
      <c r="I6" s="175">
        <f>16560000+3048000</f>
        <v>19608000</v>
      </c>
      <c r="J6" s="175">
        <f>23837277.25+3709765.51+10000000</f>
        <v>37547042.76</v>
      </c>
      <c r="K6" s="175">
        <f>36616429+298947.9</f>
        <v>36915376.9</v>
      </c>
      <c r="L6" s="175">
        <f>50068865.6+576044.74</f>
        <v>50644910.34</v>
      </c>
      <c r="M6" s="175">
        <f t="shared" si="0"/>
        <v>354899330</v>
      </c>
      <c r="N6" s="12" t="s">
        <v>374</v>
      </c>
    </row>
    <row r="7" spans="1:15" ht="12.75">
      <c r="A7" s="20" t="s">
        <v>90</v>
      </c>
      <c r="B7" s="18">
        <f>56570*1000</f>
        <v>56570000</v>
      </c>
      <c r="C7" s="18">
        <f>93258*1000</f>
        <v>93258000</v>
      </c>
      <c r="D7" s="18">
        <f>88314*1000</f>
        <v>88314000</v>
      </c>
      <c r="E7" s="18">
        <f>92753*1000</f>
        <v>92753000</v>
      </c>
      <c r="F7" s="177">
        <f>85414.16*1000</f>
        <v>85414160</v>
      </c>
      <c r="G7" s="18">
        <f>79642*1000</f>
        <v>79642000</v>
      </c>
      <c r="H7" s="177">
        <f>90078*1000</f>
        <v>90078000</v>
      </c>
      <c r="I7" s="18">
        <f>82452*1000</f>
        <v>82452000</v>
      </c>
      <c r="J7" s="18">
        <v>120958657.9</v>
      </c>
      <c r="K7" s="18">
        <v>153712920.29</v>
      </c>
      <c r="L7" s="18">
        <f>SUM(L5:L6)</f>
        <v>139035801.19</v>
      </c>
      <c r="M7" s="175">
        <f t="shared" si="0"/>
        <v>1082188539.3799999</v>
      </c>
      <c r="N7" t="s">
        <v>103</v>
      </c>
      <c r="O7" t="s">
        <v>103</v>
      </c>
    </row>
    <row r="8" spans="1:15" ht="12.75">
      <c r="A8" s="24" t="s">
        <v>80</v>
      </c>
      <c r="B8" s="18">
        <f>985*1000</f>
        <v>985000</v>
      </c>
      <c r="C8" s="18">
        <f>6646*1000</f>
        <v>6646000</v>
      </c>
      <c r="D8" s="18">
        <f>(9269+203)*1000</f>
        <v>9472000</v>
      </c>
      <c r="E8" s="18">
        <f>14749*1000</f>
        <v>14749000</v>
      </c>
      <c r="F8" s="18">
        <f>35524.382*1000</f>
        <v>35524382</v>
      </c>
      <c r="G8" s="18">
        <f>84279*1000</f>
        <v>84279000</v>
      </c>
      <c r="H8" s="18">
        <f>78210*1000</f>
        <v>78210000</v>
      </c>
      <c r="I8" s="18">
        <f>56930*1000</f>
        <v>56930000</v>
      </c>
      <c r="J8" s="18">
        <v>52677504.54</v>
      </c>
      <c r="K8" s="18">
        <f>57588771.13+4745714</f>
        <v>62334485.13</v>
      </c>
      <c r="L8" s="18">
        <v>38963321.6</v>
      </c>
      <c r="M8" s="175">
        <f t="shared" si="0"/>
        <v>440770693.27000004</v>
      </c>
      <c r="O8" s="107" t="s">
        <v>103</v>
      </c>
    </row>
    <row r="9" spans="1:15" ht="12.75">
      <c r="A9" s="24" t="s">
        <v>371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>
        <v>6335017</v>
      </c>
      <c r="M9" s="175">
        <f t="shared" si="0"/>
        <v>6335017</v>
      </c>
      <c r="O9" s="107"/>
    </row>
    <row r="10" spans="1:13" ht="12.75">
      <c r="A10" s="24" t="s">
        <v>126</v>
      </c>
      <c r="B10" s="18">
        <v>0</v>
      </c>
      <c r="C10" s="18">
        <v>0</v>
      </c>
      <c r="D10" s="18">
        <v>0</v>
      </c>
      <c r="E10" s="18">
        <v>0</v>
      </c>
      <c r="F10" s="18">
        <f>3654*1000</f>
        <v>3654000</v>
      </c>
      <c r="G10" s="18">
        <f>7276*1000</f>
        <v>7276000</v>
      </c>
      <c r="H10" s="18">
        <f>8523*1000</f>
        <v>8523000</v>
      </c>
      <c r="I10" s="18">
        <f>8168*1000</f>
        <v>8168000</v>
      </c>
      <c r="J10" s="18">
        <v>4528037.29</v>
      </c>
      <c r="K10" s="18">
        <v>3537798.94</v>
      </c>
      <c r="L10" s="18">
        <v>4331674.86</v>
      </c>
      <c r="M10" s="175">
        <f t="shared" si="0"/>
        <v>40018511.089999996</v>
      </c>
    </row>
    <row r="11" spans="1:13" ht="12.75">
      <c r="A11" s="24" t="s">
        <v>372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>
        <v>3210125.71</v>
      </c>
      <c r="M11" s="175">
        <f t="shared" si="0"/>
        <v>3210125.71</v>
      </c>
    </row>
    <row r="12" spans="1:15" ht="12.75">
      <c r="A12" s="24" t="s">
        <v>1</v>
      </c>
      <c r="B12" s="18">
        <f aca="true" t="shared" si="1" ref="B12:J12">SUM(B7:B10)</f>
        <v>57555000</v>
      </c>
      <c r="C12" s="18">
        <f t="shared" si="1"/>
        <v>99904000</v>
      </c>
      <c r="D12" s="18">
        <f t="shared" si="1"/>
        <v>97786000</v>
      </c>
      <c r="E12" s="18">
        <f t="shared" si="1"/>
        <v>107502000</v>
      </c>
      <c r="F12" s="18">
        <f t="shared" si="1"/>
        <v>124592542</v>
      </c>
      <c r="G12" s="18">
        <f t="shared" si="1"/>
        <v>171197000</v>
      </c>
      <c r="H12" s="18">
        <f t="shared" si="1"/>
        <v>176811000</v>
      </c>
      <c r="I12" s="18">
        <f t="shared" si="1"/>
        <v>147550000</v>
      </c>
      <c r="J12" s="18">
        <f t="shared" si="1"/>
        <v>178164199.73</v>
      </c>
      <c r="K12" s="18">
        <f>SUM(K7:K10)</f>
        <v>219585204.35999998</v>
      </c>
      <c r="L12" s="18">
        <f>SUM(L7:L11)</f>
        <v>191875940.36</v>
      </c>
      <c r="M12" s="175">
        <f t="shared" si="0"/>
        <v>1572522886.4499998</v>
      </c>
      <c r="N12" s="12"/>
      <c r="O12" s="12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04"/>
    </row>
    <row r="14" spans="1:13" ht="12.75">
      <c r="A14" s="14" t="s">
        <v>220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04"/>
    </row>
    <row r="15" spans="1:13" ht="12.75">
      <c r="A15" s="14"/>
      <c r="B15" s="22" t="s">
        <v>8</v>
      </c>
      <c r="C15" s="22" t="s">
        <v>8</v>
      </c>
      <c r="D15" s="22" t="s">
        <v>8</v>
      </c>
      <c r="E15" s="22" t="s">
        <v>8</v>
      </c>
      <c r="F15" s="22" t="s">
        <v>8</v>
      </c>
      <c r="G15" s="22" t="s">
        <v>8</v>
      </c>
      <c r="H15" s="22" t="s">
        <v>8</v>
      </c>
      <c r="I15" s="22" t="s">
        <v>8</v>
      </c>
      <c r="J15" s="22" t="s">
        <v>8</v>
      </c>
      <c r="K15" s="22" t="s">
        <v>8</v>
      </c>
      <c r="L15" s="22" t="s">
        <v>8</v>
      </c>
      <c r="M15" s="186" t="s">
        <v>8</v>
      </c>
    </row>
    <row r="16" spans="1:14" ht="12.75">
      <c r="A16" s="20" t="s">
        <v>345</v>
      </c>
      <c r="B16" s="30">
        <f>12343+7386</f>
        <v>19729</v>
      </c>
      <c r="C16" s="30">
        <f>18965+5196</f>
        <v>24161</v>
      </c>
      <c r="D16" s="30">
        <f>82456+5774</f>
        <v>88230</v>
      </c>
      <c r="E16" s="67">
        <f>117374+6995</f>
        <v>124369</v>
      </c>
      <c r="F16" s="30">
        <f>84653+6636</f>
        <v>91289</v>
      </c>
      <c r="G16" s="30">
        <f>17270+10708</f>
        <v>27978</v>
      </c>
      <c r="H16" s="30">
        <f>126391+10614</f>
        <v>137005</v>
      </c>
      <c r="I16" s="30">
        <f>226187+8778</f>
        <v>234965</v>
      </c>
      <c r="J16" s="30">
        <f>356614+9302</f>
        <v>365916</v>
      </c>
      <c r="K16" s="30">
        <f>204548+8994</f>
        <v>213542</v>
      </c>
      <c r="L16" s="30">
        <f>'Annual Savings'!L18+'Annual Savings'!L21</f>
        <v>276348.1</v>
      </c>
      <c r="M16" s="173">
        <f aca="true" t="shared" si="2" ref="M16:M21">SUM(B16:L16)</f>
        <v>1603532.1</v>
      </c>
      <c r="N16" s="107"/>
    </row>
    <row r="17" spans="1:13" ht="12.75">
      <c r="A17" s="20" t="s">
        <v>346</v>
      </c>
      <c r="B17" s="30">
        <v>30943</v>
      </c>
      <c r="C17" s="30">
        <v>144635</v>
      </c>
      <c r="D17" s="30">
        <v>197347</v>
      </c>
      <c r="E17" s="30">
        <v>204144</v>
      </c>
      <c r="F17" s="30">
        <f>148252+4118</f>
        <v>152370</v>
      </c>
      <c r="G17" s="30">
        <f>98377+1897</f>
        <v>100274</v>
      </c>
      <c r="H17" s="30">
        <f>90589+1127</f>
        <v>91716</v>
      </c>
      <c r="I17" s="30">
        <f>99663+373</f>
        <v>100036</v>
      </c>
      <c r="J17" s="30">
        <f>95791+455</f>
        <v>96246</v>
      </c>
      <c r="K17" s="30">
        <f>134365</f>
        <v>134365</v>
      </c>
      <c r="L17" s="30">
        <f>'Annual Savings'!L30</f>
        <v>177334</v>
      </c>
      <c r="M17" s="173">
        <f t="shared" si="2"/>
        <v>1429410</v>
      </c>
    </row>
    <row r="18" spans="1:14" ht="12.75">
      <c r="A18" s="20" t="s">
        <v>90</v>
      </c>
      <c r="B18" s="19">
        <f>'Annual Savings'!B32</f>
        <v>50672</v>
      </c>
      <c r="C18" s="19">
        <f>'Annual Savings'!C32</f>
        <v>168796</v>
      </c>
      <c r="D18" s="19">
        <f>'Annual Savings'!D32</f>
        <v>285577</v>
      </c>
      <c r="E18" s="19">
        <f>'Annual Savings'!E32</f>
        <v>328513</v>
      </c>
      <c r="F18" s="19">
        <f>'Annual Savings'!F32</f>
        <v>242659</v>
      </c>
      <c r="G18" s="19">
        <f>'Annual Savings'!G32</f>
        <v>128252</v>
      </c>
      <c r="H18" s="19">
        <f>'Annual Savings'!H32</f>
        <v>228721</v>
      </c>
      <c r="I18" s="19">
        <f>'Annual Savings'!I32</f>
        <v>335001</v>
      </c>
      <c r="J18" s="19">
        <f>'Annual Savings'!J32</f>
        <v>462162</v>
      </c>
      <c r="K18" s="19">
        <f>'Annual Savings'!K32</f>
        <v>347906.80000000005</v>
      </c>
      <c r="L18" s="19">
        <f>SUM(L16:L17)</f>
        <v>453682.1</v>
      </c>
      <c r="M18" s="173">
        <f t="shared" si="2"/>
        <v>3031941.9</v>
      </c>
      <c r="N18" s="25"/>
    </row>
    <row r="19" spans="1:13" ht="12.75">
      <c r="A19" s="24" t="s">
        <v>80</v>
      </c>
      <c r="B19" s="19">
        <f>'Annual Savings'!B100</f>
        <v>11</v>
      </c>
      <c r="C19" s="19">
        <f>'Annual Savings'!C100</f>
        <v>2896</v>
      </c>
      <c r="D19" s="19">
        <f>'Annual Savings'!D100</f>
        <v>7239</v>
      </c>
      <c r="E19" s="19">
        <f>'Annual Savings'!E100</f>
        <v>6515</v>
      </c>
      <c r="F19" s="19">
        <f>'Annual Savings'!F100</f>
        <v>29136</v>
      </c>
      <c r="G19" s="19">
        <f>'Annual Savings'!G100</f>
        <v>44659</v>
      </c>
      <c r="H19" s="19">
        <f>'Annual Savings'!H100</f>
        <v>140229</v>
      </c>
      <c r="I19" s="19">
        <f>'Annual Savings'!I100</f>
        <v>188968.72</v>
      </c>
      <c r="J19" s="19">
        <f>'Annual Savings'!J100</f>
        <v>169101</v>
      </c>
      <c r="K19" s="19">
        <f>'Annual Savings'!K100</f>
        <v>327579</v>
      </c>
      <c r="L19" s="19">
        <f>'Annual Savings'!L100</f>
        <v>382066</v>
      </c>
      <c r="M19" s="173">
        <f t="shared" si="2"/>
        <v>1298399.72</v>
      </c>
    </row>
    <row r="20" spans="1:13" ht="12.75">
      <c r="A20" s="24" t="s">
        <v>150</v>
      </c>
      <c r="B20" s="19">
        <f>CHP!B49</f>
        <v>0</v>
      </c>
      <c r="C20" s="19">
        <f>CHP!C49</f>
        <v>0</v>
      </c>
      <c r="D20" s="19">
        <f>CHP!D49</f>
        <v>0</v>
      </c>
      <c r="E20" s="19">
        <f>CHP!E49</f>
        <v>0</v>
      </c>
      <c r="F20" s="19">
        <f>'Annual Savings'!F34</f>
        <v>767</v>
      </c>
      <c r="G20" s="19">
        <f>'Annual Savings'!G34</f>
        <v>12575</v>
      </c>
      <c r="H20" s="19">
        <f>'Annual Savings'!H34</f>
        <v>102125</v>
      </c>
      <c r="I20" s="19">
        <f>'Annual Savings'!I34</f>
        <v>9114</v>
      </c>
      <c r="J20" s="19">
        <f>'Annual Savings'!J34</f>
        <v>35317</v>
      </c>
      <c r="K20" s="19">
        <f>'Annual Savings'!K34</f>
        <v>47743</v>
      </c>
      <c r="L20" s="19">
        <f>'Annual Savings'!L34</f>
        <v>0</v>
      </c>
      <c r="M20" s="173">
        <f t="shared" si="2"/>
        <v>207641</v>
      </c>
    </row>
    <row r="21" spans="1:13" ht="12.75">
      <c r="A21" s="24" t="s">
        <v>1</v>
      </c>
      <c r="B21" s="19">
        <f aca="true" t="shared" si="3" ref="B21:H21">SUM(B18:B20)</f>
        <v>50683</v>
      </c>
      <c r="C21" s="19">
        <f t="shared" si="3"/>
        <v>171692</v>
      </c>
      <c r="D21" s="19">
        <f t="shared" si="3"/>
        <v>292816</v>
      </c>
      <c r="E21" s="19">
        <f t="shared" si="3"/>
        <v>335028</v>
      </c>
      <c r="F21" s="19">
        <f t="shared" si="3"/>
        <v>272562</v>
      </c>
      <c r="G21" s="19">
        <f t="shared" si="3"/>
        <v>185486</v>
      </c>
      <c r="H21" s="19">
        <f t="shared" si="3"/>
        <v>471075</v>
      </c>
      <c r="I21" s="19">
        <f>SUM(I18:I20)</f>
        <v>533083.72</v>
      </c>
      <c r="J21" s="19">
        <f>SUM(J18:J20)</f>
        <v>666580</v>
      </c>
      <c r="K21" s="19">
        <f>SUM(K18:K20)</f>
        <v>723228.8</v>
      </c>
      <c r="L21" s="19">
        <f>SUM(L18:L20)</f>
        <v>835748.1</v>
      </c>
      <c r="M21" s="173">
        <f t="shared" si="2"/>
        <v>4537982.619999999</v>
      </c>
    </row>
    <row r="22" spans="1:13" ht="12.75">
      <c r="A22" s="2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80"/>
    </row>
    <row r="23" spans="1:13" ht="12.75">
      <c r="A23" s="24"/>
      <c r="B23" s="22" t="s">
        <v>11</v>
      </c>
      <c r="C23" s="22" t="s">
        <v>11</v>
      </c>
      <c r="D23" s="22" t="s">
        <v>11</v>
      </c>
      <c r="E23" s="22" t="s">
        <v>11</v>
      </c>
      <c r="F23" s="22" t="s">
        <v>11</v>
      </c>
      <c r="G23" s="22" t="s">
        <v>11</v>
      </c>
      <c r="H23" s="22" t="s">
        <v>11</v>
      </c>
      <c r="I23" s="22" t="s">
        <v>11</v>
      </c>
      <c r="J23" s="22" t="s">
        <v>11</v>
      </c>
      <c r="K23" s="22" t="s">
        <v>11</v>
      </c>
      <c r="L23" s="22" t="s">
        <v>11</v>
      </c>
      <c r="M23" s="186" t="s">
        <v>11</v>
      </c>
    </row>
    <row r="24" spans="1:13" ht="12.75">
      <c r="A24" s="63" t="s">
        <v>345</v>
      </c>
      <c r="B24" s="173">
        <f>10772+1032</f>
        <v>11804</v>
      </c>
      <c r="C24" s="173">
        <f>17240+627</f>
        <v>17867</v>
      </c>
      <c r="D24" s="173">
        <f>28541+868</f>
        <v>29409</v>
      </c>
      <c r="E24" s="173">
        <f>34464+820</f>
        <v>35284</v>
      </c>
      <c r="F24" s="173">
        <f>36510+569</f>
        <v>37079</v>
      </c>
      <c r="G24" s="173">
        <f>23503+1645</f>
        <v>25148</v>
      </c>
      <c r="H24" s="173">
        <f>29758+1600</f>
        <v>31358</v>
      </c>
      <c r="I24" s="174">
        <f>22930+1268</f>
        <v>24198</v>
      </c>
      <c r="J24" s="173">
        <f>26497+1071</f>
        <v>27568</v>
      </c>
      <c r="K24" s="173">
        <f>37169+937</f>
        <v>38106</v>
      </c>
      <c r="L24" s="173">
        <f>'Annual Savings'!L73+'Annual Savings'!L76</f>
        <v>44241.8</v>
      </c>
      <c r="M24" s="173">
        <f aca="true" t="shared" si="4" ref="M24:M29">SUM(B24:L24)</f>
        <v>322062.8</v>
      </c>
    </row>
    <row r="25" spans="1:13" ht="12.75">
      <c r="A25" s="63" t="s">
        <v>346</v>
      </c>
      <c r="B25" s="173">
        <v>6364</v>
      </c>
      <c r="C25" s="173">
        <v>26750</v>
      </c>
      <c r="D25" s="173">
        <v>38155</v>
      </c>
      <c r="E25" s="173">
        <v>43470</v>
      </c>
      <c r="F25" s="173">
        <v>36382</v>
      </c>
      <c r="G25" s="173">
        <v>26301</v>
      </c>
      <c r="H25" s="173">
        <v>17502</v>
      </c>
      <c r="I25" s="173">
        <v>16468</v>
      </c>
      <c r="J25" s="173">
        <v>18781</v>
      </c>
      <c r="K25" s="173">
        <v>24415</v>
      </c>
      <c r="L25" s="173">
        <f>'Annual Savings'!L85</f>
        <v>85424</v>
      </c>
      <c r="M25" s="173">
        <f t="shared" si="4"/>
        <v>340012</v>
      </c>
    </row>
    <row r="26" spans="1:15" ht="12.75">
      <c r="A26" s="20" t="s">
        <v>90</v>
      </c>
      <c r="B26" s="19">
        <f>'Annual Savings'!B86</f>
        <v>18168</v>
      </c>
      <c r="C26" s="19">
        <f>'Annual Savings'!C86</f>
        <v>44617</v>
      </c>
      <c r="D26" s="19">
        <f>'Annual Savings'!D86</f>
        <v>67564</v>
      </c>
      <c r="E26" s="19">
        <f>'Annual Savings'!E86</f>
        <v>78754</v>
      </c>
      <c r="F26" s="19">
        <f>'Annual Savings'!F86</f>
        <v>73461</v>
      </c>
      <c r="G26" s="19">
        <f>'Annual Savings'!G86</f>
        <v>51449</v>
      </c>
      <c r="H26" s="19">
        <f>'Annual Savings'!H86</f>
        <v>48860</v>
      </c>
      <c r="I26" s="19">
        <f>'Annual Savings'!I86</f>
        <v>40666</v>
      </c>
      <c r="J26" s="19">
        <f>'Annual Savings'!J86</f>
        <v>46349</v>
      </c>
      <c r="K26" s="19">
        <f>'Annual Savings'!K86</f>
        <v>62520.600000000006</v>
      </c>
      <c r="L26" s="19">
        <f>'Annual Savings'!L86</f>
        <v>129665.8</v>
      </c>
      <c r="M26" s="173">
        <f t="shared" si="4"/>
        <v>662074.4</v>
      </c>
      <c r="O26" s="25"/>
    </row>
    <row r="27" spans="1:13" ht="12.75">
      <c r="A27" s="24" t="s">
        <v>80</v>
      </c>
      <c r="B27" s="19">
        <f>'Annual Savings'!B104:F104</f>
        <v>8</v>
      </c>
      <c r="C27" s="19">
        <v>1142</v>
      </c>
      <c r="D27" s="19">
        <v>1743</v>
      </c>
      <c r="E27" s="19">
        <v>2644</v>
      </c>
      <c r="F27" s="19">
        <f>'Annual Savings'!F110</f>
        <v>8986</v>
      </c>
      <c r="G27" s="19">
        <f>'Annual Savings'!G110</f>
        <v>18725</v>
      </c>
      <c r="H27" s="19">
        <f>'Annual Savings'!H110</f>
        <v>28920</v>
      </c>
      <c r="I27" s="19">
        <f>'Annual Savings'!I110</f>
        <v>32805</v>
      </c>
      <c r="J27" s="19">
        <f>'Annual Savings'!J110</f>
        <v>50778</v>
      </c>
      <c r="K27" s="19">
        <f>'Annual Savings'!K110</f>
        <v>183244</v>
      </c>
      <c r="L27" s="19">
        <f>'Annual Savings'!L110</f>
        <v>318387</v>
      </c>
      <c r="M27" s="173">
        <f t="shared" si="4"/>
        <v>647382</v>
      </c>
    </row>
    <row r="28" spans="1:13" ht="12.75">
      <c r="A28" s="24" t="s">
        <v>150</v>
      </c>
      <c r="B28" s="19">
        <f>'Annual Savings'!B88</f>
        <v>0</v>
      </c>
      <c r="C28" s="19">
        <f>'Annual Savings'!C88</f>
        <v>0</v>
      </c>
      <c r="D28" s="19">
        <f>'Annual Savings'!D88</f>
        <v>0</v>
      </c>
      <c r="E28" s="19">
        <f>'Annual Savings'!E88</f>
        <v>0</v>
      </c>
      <c r="F28" s="19">
        <f>'Annual Savings'!F88</f>
        <v>140</v>
      </c>
      <c r="G28" s="19">
        <f>'Annual Savings'!G88</f>
        <v>3175</v>
      </c>
      <c r="H28" s="19">
        <f>'Annual Savings'!H88</f>
        <v>4925</v>
      </c>
      <c r="I28" s="19">
        <f>'Annual Savings'!I88</f>
        <v>1276</v>
      </c>
      <c r="J28" s="19">
        <f>'Annual Savings'!J88</f>
        <v>4700</v>
      </c>
      <c r="K28" s="19">
        <f>'Annual Savings'!K88</f>
        <v>5535</v>
      </c>
      <c r="L28" s="19">
        <f>'Annual Savings'!L88</f>
        <v>0</v>
      </c>
      <c r="M28" s="173">
        <f t="shared" si="4"/>
        <v>19751</v>
      </c>
    </row>
    <row r="29" spans="1:13" ht="12.75">
      <c r="A29" s="24" t="s">
        <v>1</v>
      </c>
      <c r="B29" s="19">
        <f aca="true" t="shared" si="5" ref="B29:I29">SUM(B26:B28)</f>
        <v>18176</v>
      </c>
      <c r="C29" s="19">
        <f t="shared" si="5"/>
        <v>45759</v>
      </c>
      <c r="D29" s="19">
        <f t="shared" si="5"/>
        <v>69307</v>
      </c>
      <c r="E29" s="19">
        <f t="shared" si="5"/>
        <v>81398</v>
      </c>
      <c r="F29" s="19">
        <f t="shared" si="5"/>
        <v>82587</v>
      </c>
      <c r="G29" s="19">
        <f t="shared" si="5"/>
        <v>73349</v>
      </c>
      <c r="H29" s="19">
        <f t="shared" si="5"/>
        <v>82705</v>
      </c>
      <c r="I29" s="19">
        <f t="shared" si="5"/>
        <v>74747</v>
      </c>
      <c r="J29" s="19">
        <f>SUM(J26:J28)</f>
        <v>101827</v>
      </c>
      <c r="K29" s="19">
        <f>SUM(K26:K28)</f>
        <v>251299.6</v>
      </c>
      <c r="L29" s="19">
        <f>SUM(L26:L28)</f>
        <v>448052.8</v>
      </c>
      <c r="M29" s="173">
        <f t="shared" si="4"/>
        <v>1329207.4</v>
      </c>
    </row>
    <row r="30" spans="1:13" ht="12.75">
      <c r="A30" s="2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80"/>
    </row>
    <row r="31" spans="1:13" ht="12.75">
      <c r="A31" s="24"/>
      <c r="B31" s="22" t="s">
        <v>13</v>
      </c>
      <c r="C31" s="22" t="s">
        <v>13</v>
      </c>
      <c r="D31" s="22" t="s">
        <v>13</v>
      </c>
      <c r="E31" s="22" t="s">
        <v>13</v>
      </c>
      <c r="F31" s="22" t="s">
        <v>13</v>
      </c>
      <c r="G31" s="22" t="s">
        <v>13</v>
      </c>
      <c r="H31" s="22" t="s">
        <v>13</v>
      </c>
      <c r="I31" s="22" t="s">
        <v>13</v>
      </c>
      <c r="J31" s="22" t="s">
        <v>13</v>
      </c>
      <c r="K31" s="22" t="s">
        <v>13</v>
      </c>
      <c r="L31" s="22" t="s">
        <v>13</v>
      </c>
      <c r="M31" s="186" t="s">
        <v>13</v>
      </c>
    </row>
    <row r="32" spans="1:13" ht="12.75">
      <c r="A32" s="20" t="s">
        <v>345</v>
      </c>
      <c r="B32" s="30">
        <f>117568+91776</f>
        <v>209344</v>
      </c>
      <c r="C32" s="30">
        <f>227984+73523</f>
        <v>301507</v>
      </c>
      <c r="D32" s="30">
        <f>255814+65035</f>
        <v>320849</v>
      </c>
      <c r="E32" s="30">
        <f>318695+59420</f>
        <v>378115</v>
      </c>
      <c r="F32" s="30">
        <f>378527+48733</f>
        <v>427260</v>
      </c>
      <c r="G32" s="30">
        <f>395823+42526</f>
        <v>438349</v>
      </c>
      <c r="H32" s="30">
        <f>364643+48101</f>
        <v>412744</v>
      </c>
      <c r="I32" s="30">
        <f>300732+73535</f>
        <v>374267</v>
      </c>
      <c r="J32" s="30">
        <f>325806+80504</f>
        <v>406310</v>
      </c>
      <c r="K32" s="30">
        <f>438789+65642</f>
        <v>504431</v>
      </c>
      <c r="L32" s="30">
        <f>'Annual Savings'!L42+'Annual Savings'!L45</f>
        <v>615123.95</v>
      </c>
      <c r="M32" s="173">
        <f>SUM(B32:L32)</f>
        <v>4388299.95</v>
      </c>
    </row>
    <row r="33" spans="1:13" ht="12.75">
      <c r="A33" s="20" t="s">
        <v>346</v>
      </c>
      <c r="B33" s="30">
        <v>33802</v>
      </c>
      <c r="C33" s="30">
        <v>37665</v>
      </c>
      <c r="D33" s="30">
        <v>89969</v>
      </c>
      <c r="E33" s="30">
        <v>54644</v>
      </c>
      <c r="F33" s="30">
        <v>190001</v>
      </c>
      <c r="G33" s="30">
        <v>201830</v>
      </c>
      <c r="H33" s="30">
        <v>566918</v>
      </c>
      <c r="I33" s="30">
        <v>115457</v>
      </c>
      <c r="J33" s="30">
        <v>230033</v>
      </c>
      <c r="K33" s="30">
        <v>430395</v>
      </c>
      <c r="L33" s="30">
        <f>'Annual Savings'!L55</f>
        <v>167433</v>
      </c>
      <c r="M33" s="173">
        <f>SUM(B33:L33)</f>
        <v>2118147</v>
      </c>
    </row>
    <row r="34" spans="1:13" ht="12.75">
      <c r="A34" s="20" t="s">
        <v>90</v>
      </c>
      <c r="B34" s="19">
        <f>'Annual Savings'!B56</f>
        <v>243146</v>
      </c>
      <c r="C34" s="19">
        <f>'Annual Savings'!C56</f>
        <v>339172</v>
      </c>
      <c r="D34" s="19">
        <f>'Annual Savings'!D56</f>
        <v>410818</v>
      </c>
      <c r="E34" s="19">
        <f>'Annual Savings'!E56</f>
        <v>432759</v>
      </c>
      <c r="F34" s="19">
        <f>'Annual Savings'!F56</f>
        <v>617261</v>
      </c>
      <c r="G34" s="19">
        <f>'Annual Savings'!G56</f>
        <v>640179</v>
      </c>
      <c r="H34" s="19">
        <f>'Annual Savings'!H56</f>
        <v>979662</v>
      </c>
      <c r="I34" s="19">
        <f>'Annual Savings'!I56</f>
        <v>489724</v>
      </c>
      <c r="J34" s="19">
        <f>'Annual Savings'!J56</f>
        <v>636343</v>
      </c>
      <c r="K34" s="19">
        <f>'Annual Savings'!K56</f>
        <v>934826</v>
      </c>
      <c r="L34" s="19">
        <f>SUM(L32:L33)</f>
        <v>782556.95</v>
      </c>
      <c r="M34" s="173">
        <f>SUM(B34:L34)</f>
        <v>6506446.95</v>
      </c>
    </row>
    <row r="35" spans="1:13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04"/>
    </row>
    <row r="36" spans="1:13" ht="12.75">
      <c r="A36" s="14" t="s">
        <v>219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04"/>
    </row>
    <row r="37" spans="1:13" ht="12.75">
      <c r="A37" s="24"/>
      <c r="B37" s="35">
        <v>2001</v>
      </c>
      <c r="C37" s="35">
        <v>2002</v>
      </c>
      <c r="D37" s="35">
        <v>2003</v>
      </c>
      <c r="E37" s="35">
        <v>2004</v>
      </c>
      <c r="F37" s="35">
        <v>2005</v>
      </c>
      <c r="G37" s="35">
        <v>2006</v>
      </c>
      <c r="H37" s="35">
        <v>2007</v>
      </c>
      <c r="I37" s="35">
        <v>2008</v>
      </c>
      <c r="J37" s="35">
        <v>2009</v>
      </c>
      <c r="K37" s="35">
        <v>2010</v>
      </c>
      <c r="L37" s="35">
        <v>2011</v>
      </c>
      <c r="M37" s="121" t="s">
        <v>1</v>
      </c>
    </row>
    <row r="38" spans="1:13" ht="12.75">
      <c r="A38" s="14"/>
      <c r="B38" s="22" t="s">
        <v>8</v>
      </c>
      <c r="C38" s="22" t="s">
        <v>8</v>
      </c>
      <c r="D38" s="22" t="s">
        <v>8</v>
      </c>
      <c r="E38" s="22" t="s">
        <v>8</v>
      </c>
      <c r="F38" s="22" t="s">
        <v>8</v>
      </c>
      <c r="G38" s="22" t="s">
        <v>8</v>
      </c>
      <c r="H38" s="22" t="s">
        <v>8</v>
      </c>
      <c r="I38" s="22" t="s">
        <v>8</v>
      </c>
      <c r="J38" s="22" t="s">
        <v>8</v>
      </c>
      <c r="K38" s="22" t="s">
        <v>8</v>
      </c>
      <c r="L38" s="22" t="s">
        <v>8</v>
      </c>
      <c r="M38" s="186" t="s">
        <v>8</v>
      </c>
    </row>
    <row r="39" spans="1:13" ht="12.75">
      <c r="A39" s="63" t="s">
        <v>345</v>
      </c>
      <c r="B39" s="173">
        <f>185730+147716</f>
        <v>333446</v>
      </c>
      <c r="C39" s="173">
        <f>300777+83203</f>
        <v>383980</v>
      </c>
      <c r="D39" s="173">
        <f>688116+106522</f>
        <v>794638</v>
      </c>
      <c r="E39" s="173">
        <f>1127434+119538</f>
        <v>1246972</v>
      </c>
      <c r="F39" s="173">
        <f>885413+93966</f>
        <v>979379</v>
      </c>
      <c r="G39" s="173">
        <f>272454+177208</f>
        <v>449662</v>
      </c>
      <c r="H39" s="173">
        <f>1058002+191930</f>
        <v>1249932</v>
      </c>
      <c r="I39" s="174">
        <f>1573613+66525</f>
        <v>1640138</v>
      </c>
      <c r="J39" s="174">
        <f>2492927+68712</f>
        <v>2561639</v>
      </c>
      <c r="K39" s="174">
        <f>1616034+64804</f>
        <v>1680838</v>
      </c>
      <c r="L39" s="174">
        <f>'Lifetime Savings'!L17+'Lifetime Savings'!L20</f>
        <v>2136151.3</v>
      </c>
      <c r="M39" s="173">
        <f aca="true" t="shared" si="6" ref="M39:M44">SUM(B39:L39)</f>
        <v>13456775.3</v>
      </c>
    </row>
    <row r="40" spans="1:13" ht="12.75">
      <c r="A40" s="63" t="s">
        <v>346</v>
      </c>
      <c r="B40" s="173">
        <v>464149</v>
      </c>
      <c r="C40" s="173">
        <v>2164648</v>
      </c>
      <c r="D40" s="173">
        <v>2944525</v>
      </c>
      <c r="E40" s="173">
        <v>3061799</v>
      </c>
      <c r="F40" s="173">
        <v>2503175</v>
      </c>
      <c r="G40" s="173">
        <v>1486128</v>
      </c>
      <c r="H40" s="173">
        <v>1395771</v>
      </c>
      <c r="I40" s="173">
        <v>1520141</v>
      </c>
      <c r="J40" s="173">
        <v>1424842</v>
      </c>
      <c r="K40" s="173">
        <v>1733513</v>
      </c>
      <c r="L40" s="173">
        <f>'Lifetime Savings'!L29</f>
        <v>2744834</v>
      </c>
      <c r="M40" s="173">
        <f t="shared" si="6"/>
        <v>21443525</v>
      </c>
    </row>
    <row r="41" spans="1:13" ht="12.75">
      <c r="A41" s="20" t="s">
        <v>90</v>
      </c>
      <c r="B41" s="19">
        <f>'Lifetime Savings'!B32</f>
        <v>797595</v>
      </c>
      <c r="C41" s="19">
        <f>'Lifetime Savings'!C32</f>
        <v>2548628</v>
      </c>
      <c r="D41" s="19">
        <f>'Lifetime Savings'!D32</f>
        <v>3739163</v>
      </c>
      <c r="E41" s="19">
        <f>'Lifetime Savings'!E32</f>
        <v>4308771</v>
      </c>
      <c r="F41" s="19">
        <f>'Lifetime Savings'!F32</f>
        <v>3482554</v>
      </c>
      <c r="G41" s="19">
        <f>'Lifetime Savings'!G32</f>
        <v>1935790</v>
      </c>
      <c r="H41" s="19">
        <f>'Lifetime Savings'!H32</f>
        <v>2645703</v>
      </c>
      <c r="I41" s="19">
        <f>'Lifetime Savings'!I32</f>
        <v>3160279</v>
      </c>
      <c r="J41" s="19">
        <f>'Lifetime Savings'!J32</f>
        <v>3986481</v>
      </c>
      <c r="K41" s="19">
        <f>'Lifetime Savings'!K32</f>
        <v>3414351.2</v>
      </c>
      <c r="L41" s="19">
        <f>SUM(L39:L40)</f>
        <v>4880985.3</v>
      </c>
      <c r="M41" s="173">
        <f t="shared" si="6"/>
        <v>34900300.5</v>
      </c>
    </row>
    <row r="42" spans="1:13" ht="12.75">
      <c r="A42" s="24" t="s">
        <v>80</v>
      </c>
      <c r="B42" s="19">
        <f>'Lifetime Savings'!B57</f>
        <v>173</v>
      </c>
      <c r="C42" s="19">
        <f>'Lifetime Savings'!C57</f>
        <v>56330</v>
      </c>
      <c r="D42" s="19">
        <f>'Lifetime Savings'!D57</f>
        <v>109981</v>
      </c>
      <c r="E42" s="19">
        <f>'Lifetime Savings'!E57</f>
        <v>82996</v>
      </c>
      <c r="F42" s="19">
        <f>'Lifetime Savings'!F62</f>
        <v>538919</v>
      </c>
      <c r="G42" s="19">
        <f>'Lifetime Savings'!G62</f>
        <v>449400</v>
      </c>
      <c r="H42" s="19">
        <f>'Lifetime Savings'!H62</f>
        <v>966155</v>
      </c>
      <c r="I42" s="19">
        <f>'Lifetime Savings'!I62</f>
        <v>1994960</v>
      </c>
      <c r="J42" s="19">
        <f>'Lifetime Savings'!J62</f>
        <v>1356920</v>
      </c>
      <c r="K42" s="19">
        <f>'Lifetime Savings'!K62</f>
        <v>4851133</v>
      </c>
      <c r="L42" s="19">
        <f>'Lifetime Savings'!L62</f>
        <v>7641312</v>
      </c>
      <c r="M42" s="173">
        <f t="shared" si="6"/>
        <v>18048279</v>
      </c>
    </row>
    <row r="43" spans="1:13" ht="12.75">
      <c r="A43" s="24" t="s">
        <v>150</v>
      </c>
      <c r="B43" s="19">
        <f>'Lifetime Savings'!B65</f>
        <v>0</v>
      </c>
      <c r="C43" s="19">
        <f>'Lifetime Savings'!C65</f>
        <v>0</v>
      </c>
      <c r="D43" s="19">
        <f>'Lifetime Savings'!D65</f>
        <v>0</v>
      </c>
      <c r="E43" s="19">
        <f>'Lifetime Savings'!E65</f>
        <v>0</v>
      </c>
      <c r="F43" s="19">
        <f>'Lifetime Savings'!F65</f>
        <v>11498</v>
      </c>
      <c r="G43" s="19">
        <f>'Lifetime Savings'!G65</f>
        <v>112759</v>
      </c>
      <c r="H43" s="19">
        <f>'Lifetime Savings'!H65</f>
        <v>1225505</v>
      </c>
      <c r="I43" s="19">
        <f>'Lifetime Savings'!I65</f>
        <v>109364</v>
      </c>
      <c r="J43" s="19">
        <f>'Lifetime Savings'!J65</f>
        <v>423802</v>
      </c>
      <c r="K43" s="19">
        <f>'Lifetime Savings'!K65</f>
        <v>524075</v>
      </c>
      <c r="L43" s="19">
        <f>'Lifetime Savings'!L65</f>
        <v>0</v>
      </c>
      <c r="M43" s="173">
        <f t="shared" si="6"/>
        <v>2407003</v>
      </c>
    </row>
    <row r="44" spans="1:13" ht="12.75">
      <c r="A44" s="24" t="s">
        <v>1</v>
      </c>
      <c r="B44" s="19">
        <f aca="true" t="shared" si="7" ref="B44:H44">SUM(B41:B43)</f>
        <v>797768</v>
      </c>
      <c r="C44" s="19">
        <f t="shared" si="7"/>
        <v>2604958</v>
      </c>
      <c r="D44" s="19">
        <f t="shared" si="7"/>
        <v>3849144</v>
      </c>
      <c r="E44" s="19">
        <f t="shared" si="7"/>
        <v>4391767</v>
      </c>
      <c r="F44" s="19">
        <f t="shared" si="7"/>
        <v>4032971</v>
      </c>
      <c r="G44" s="19">
        <f t="shared" si="7"/>
        <v>2497949</v>
      </c>
      <c r="H44" s="19">
        <f t="shared" si="7"/>
        <v>4837363</v>
      </c>
      <c r="I44" s="19">
        <f>SUM(I41:I43)</f>
        <v>5264603</v>
      </c>
      <c r="J44" s="19">
        <f>SUM(J41:J43)</f>
        <v>5767203</v>
      </c>
      <c r="K44" s="19">
        <f>SUM(K41:K43)</f>
        <v>8789559.2</v>
      </c>
      <c r="L44" s="19">
        <f>SUM(L41:L43)</f>
        <v>12522297.3</v>
      </c>
      <c r="M44" s="173">
        <f t="shared" si="6"/>
        <v>55355582.5</v>
      </c>
    </row>
    <row r="45" spans="1:13" ht="12.75">
      <c r="A45" s="2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80"/>
    </row>
    <row r="46" spans="1:13" ht="12.75">
      <c r="A46" s="24"/>
      <c r="B46" s="22" t="s">
        <v>13</v>
      </c>
      <c r="C46" s="22" t="s">
        <v>13</v>
      </c>
      <c r="D46" s="22" t="s">
        <v>13</v>
      </c>
      <c r="E46" s="22" t="s">
        <v>13</v>
      </c>
      <c r="F46" s="22" t="s">
        <v>13</v>
      </c>
      <c r="G46" s="22" t="s">
        <v>13</v>
      </c>
      <c r="H46" s="22" t="s">
        <v>13</v>
      </c>
      <c r="I46" s="22" t="s">
        <v>13</v>
      </c>
      <c r="J46" s="22" t="s">
        <v>13</v>
      </c>
      <c r="K46" s="22" t="s">
        <v>13</v>
      </c>
      <c r="L46" s="22" t="s">
        <v>13</v>
      </c>
      <c r="M46" s="186" t="s">
        <v>13</v>
      </c>
    </row>
    <row r="47" spans="1:13" ht="12.75">
      <c r="A47" s="63" t="s">
        <v>345</v>
      </c>
      <c r="B47" s="173">
        <f>2351372+1835511</f>
        <v>4186883</v>
      </c>
      <c r="C47" s="173">
        <f>4559679+1470460</f>
        <v>6030139</v>
      </c>
      <c r="D47" s="173">
        <f>4910919+1284711</f>
        <v>6195630</v>
      </c>
      <c r="E47" s="173">
        <f>6104981+1183165</f>
        <v>7288146</v>
      </c>
      <c r="F47" s="174">
        <f>7285164+955990</f>
        <v>8241154</v>
      </c>
      <c r="G47" s="174">
        <f>5288268+703101</f>
        <v>5991369</v>
      </c>
      <c r="H47" s="174">
        <f>5807302+932511</f>
        <v>6739813</v>
      </c>
      <c r="I47" s="173">
        <f>5857869+1054201</f>
        <v>6912070</v>
      </c>
      <c r="J47" s="173">
        <f>6482705+1105591</f>
        <v>7588296</v>
      </c>
      <c r="K47" s="173">
        <f>8845599+883182</f>
        <v>9728781</v>
      </c>
      <c r="L47" s="173">
        <f>'Lifetime Savings'!L39+'Lifetime Savings'!L42</f>
        <v>11855780.84</v>
      </c>
      <c r="M47" s="173">
        <f>SUM(B47:L47)</f>
        <v>80758061.84</v>
      </c>
    </row>
    <row r="48" spans="1:13" ht="12.75">
      <c r="A48" s="63" t="s">
        <v>346</v>
      </c>
      <c r="B48" s="173">
        <v>616099</v>
      </c>
      <c r="C48" s="173">
        <v>502563</v>
      </c>
      <c r="D48" s="173">
        <v>1510800</v>
      </c>
      <c r="E48" s="173">
        <v>819655</v>
      </c>
      <c r="F48" s="173">
        <v>3436246</v>
      </c>
      <c r="G48" s="173">
        <v>3145861</v>
      </c>
      <c r="H48" s="173">
        <v>6992671</v>
      </c>
      <c r="I48" s="173">
        <v>1659156</v>
      </c>
      <c r="J48" s="173">
        <v>2935762</v>
      </c>
      <c r="K48" s="173">
        <v>6746947</v>
      </c>
      <c r="L48" s="173">
        <f>'Lifetime Savings'!L51</f>
        <v>2637393</v>
      </c>
      <c r="M48" s="173">
        <f>SUM(B48:L48)</f>
        <v>31003153</v>
      </c>
    </row>
    <row r="49" spans="1:13" ht="12.75">
      <c r="A49" s="20" t="s">
        <v>90</v>
      </c>
      <c r="B49" s="19">
        <f>'Lifetime Savings'!B52</f>
        <v>4802982</v>
      </c>
      <c r="C49" s="19">
        <f>'Lifetime Savings'!C52</f>
        <v>6532702</v>
      </c>
      <c r="D49" s="19">
        <f>'Lifetime Savings'!D52</f>
        <v>7706430</v>
      </c>
      <c r="E49" s="19">
        <f>'Lifetime Savings'!E52</f>
        <v>8107801</v>
      </c>
      <c r="F49" s="19">
        <f>'Lifetime Savings'!F52</f>
        <v>11677400</v>
      </c>
      <c r="G49" s="19">
        <f>'Lifetime Savings'!G52</f>
        <v>9137230</v>
      </c>
      <c r="H49" s="19">
        <f>'Lifetime Savings'!H52</f>
        <v>13732484</v>
      </c>
      <c r="I49" s="19">
        <f>'Lifetime Savings'!I52</f>
        <v>8571226</v>
      </c>
      <c r="J49" s="19">
        <f>'Lifetime Savings'!J52</f>
        <v>10524058</v>
      </c>
      <c r="K49" s="19">
        <f>'Lifetime Savings'!K52</f>
        <v>16475728</v>
      </c>
      <c r="L49" s="19">
        <f>SUM(L47:L48)</f>
        <v>14493173.84</v>
      </c>
      <c r="M49" s="173">
        <f>SUM(B49:L49)</f>
        <v>111761214.84</v>
      </c>
    </row>
    <row r="50" ht="12.75">
      <c r="A50" s="90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scale="72" r:id="rId1"/>
  <colBreaks count="1" manualBreakCount="1">
    <brk id="1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" sqref="G1"/>
    </sheetView>
  </sheetViews>
  <sheetFormatPr defaultColWidth="10.7109375" defaultRowHeight="12.75"/>
  <cols>
    <col min="1" max="1" width="25.7109375" style="3" customWidth="1"/>
    <col min="2" max="16384" width="10.7109375" style="6" customWidth="1"/>
  </cols>
  <sheetData>
    <row r="1" spans="1:6" ht="12.75">
      <c r="A1" s="33" t="s">
        <v>30</v>
      </c>
      <c r="B1" s="26"/>
      <c r="C1" s="26"/>
      <c r="D1" s="26"/>
      <c r="E1" s="26"/>
      <c r="F1" s="26"/>
    </row>
    <row r="2" spans="1:9" ht="12.75">
      <c r="A2" s="23"/>
      <c r="B2" s="31">
        <v>2001</v>
      </c>
      <c r="C2" s="31">
        <v>2002</v>
      </c>
      <c r="D2" s="31">
        <v>2003</v>
      </c>
      <c r="E2" s="31">
        <v>2004</v>
      </c>
      <c r="F2" s="31" t="s">
        <v>1</v>
      </c>
      <c r="G2" s="3"/>
      <c r="H2" s="3"/>
      <c r="I2" s="3"/>
    </row>
    <row r="3" spans="1:9" ht="12.75">
      <c r="A3" s="49" t="s">
        <v>65</v>
      </c>
      <c r="B3" s="46"/>
      <c r="C3" s="46"/>
      <c r="D3" s="46"/>
      <c r="E3" s="46"/>
      <c r="F3" s="46"/>
      <c r="G3" s="3"/>
      <c r="H3" s="3"/>
      <c r="I3" s="3"/>
    </row>
    <row r="4" spans="1:9" ht="12.75">
      <c r="A4" s="16" t="s">
        <v>133</v>
      </c>
      <c r="B4" s="15">
        <v>6740</v>
      </c>
      <c r="C4" s="15">
        <v>7246</v>
      </c>
      <c r="D4" s="15">
        <v>7906</v>
      </c>
      <c r="E4" s="15">
        <v>935</v>
      </c>
      <c r="F4" s="15">
        <f>SUM(B4:E4)</f>
        <v>22827</v>
      </c>
      <c r="G4" s="3"/>
      <c r="H4" s="3"/>
      <c r="I4" s="3"/>
    </row>
    <row r="5" spans="1:6" ht="42" customHeight="1">
      <c r="A5" s="237" t="s">
        <v>351</v>
      </c>
      <c r="B5" s="237"/>
      <c r="C5" s="237"/>
      <c r="D5" s="237"/>
      <c r="E5" s="237"/>
      <c r="F5" s="237"/>
    </row>
    <row r="6" ht="12.75" customHeight="1"/>
    <row r="7" spans="1:9" ht="12.75">
      <c r="A7" s="33" t="s">
        <v>42</v>
      </c>
      <c r="B7" s="47"/>
      <c r="C7" s="47"/>
      <c r="D7" s="47"/>
      <c r="E7" s="47"/>
      <c r="F7" s="46"/>
      <c r="G7" s="3"/>
      <c r="H7" s="3"/>
      <c r="I7" s="3"/>
    </row>
    <row r="8" spans="1:6" s="3" customFormat="1" ht="12.75">
      <c r="A8" s="16" t="s">
        <v>69</v>
      </c>
      <c r="B8" s="15">
        <v>7825</v>
      </c>
      <c r="C8" s="15">
        <v>7516</v>
      </c>
      <c r="D8" s="15">
        <v>5916</v>
      </c>
      <c r="E8" s="15">
        <v>496</v>
      </c>
      <c r="F8" s="15">
        <f>SUM(B8:E8)</f>
        <v>21753</v>
      </c>
    </row>
    <row r="9" spans="1:6" s="3" customFormat="1" ht="12.75">
      <c r="A9" s="23"/>
      <c r="B9" s="48"/>
      <c r="C9" s="48"/>
      <c r="D9" s="48"/>
      <c r="E9" s="48"/>
      <c r="F9" s="48"/>
    </row>
    <row r="10" spans="1:6" s="3" customFormat="1" ht="12.75">
      <c r="A10" s="49" t="s">
        <v>43</v>
      </c>
      <c r="F10" s="50"/>
    </row>
    <row r="11" spans="1:6" s="3" customFormat="1" ht="12.75">
      <c r="A11" s="17" t="s">
        <v>138</v>
      </c>
      <c r="B11" s="13">
        <v>239060</v>
      </c>
      <c r="C11" s="13">
        <v>226830</v>
      </c>
      <c r="D11" s="13">
        <v>218392</v>
      </c>
      <c r="E11" s="13">
        <v>228655</v>
      </c>
      <c r="F11" s="13"/>
    </row>
    <row r="12" spans="1:6" s="3" customFormat="1" ht="12.75">
      <c r="A12" s="23"/>
      <c r="B12" s="50"/>
      <c r="C12" s="50"/>
      <c r="D12" s="50"/>
      <c r="E12" s="50"/>
      <c r="F12" s="50"/>
    </row>
    <row r="13" spans="1:6" s="3" customFormat="1" ht="12.75">
      <c r="A13" s="49" t="s">
        <v>70</v>
      </c>
      <c r="B13" s="46" t="s">
        <v>11</v>
      </c>
      <c r="C13" s="46" t="s">
        <v>11</v>
      </c>
      <c r="D13" s="46" t="s">
        <v>11</v>
      </c>
      <c r="E13" s="46" t="s">
        <v>11</v>
      </c>
      <c r="F13" s="46"/>
    </row>
    <row r="14" spans="1:6" ht="12.75">
      <c r="A14" s="16" t="s">
        <v>36</v>
      </c>
      <c r="B14" s="13">
        <v>204971</v>
      </c>
      <c r="C14" s="13">
        <v>196222</v>
      </c>
      <c r="D14" s="13">
        <v>194531</v>
      </c>
      <c r="E14" s="13">
        <v>173164</v>
      </c>
      <c r="F14" s="13"/>
    </row>
    <row r="16" spans="1:2" ht="12.75">
      <c r="A16" s="23" t="s">
        <v>71</v>
      </c>
      <c r="B16" s="7"/>
    </row>
    <row r="17" ht="12.75">
      <c r="A17" s="7" t="s">
        <v>92</v>
      </c>
    </row>
    <row r="18" spans="2:7" ht="12.75">
      <c r="B18" s="8"/>
      <c r="G18" s="8"/>
    </row>
    <row r="19" spans="2:10" ht="12.75">
      <c r="B19" s="9"/>
      <c r="C19" s="9"/>
      <c r="D19" s="9"/>
      <c r="E19" s="9"/>
      <c r="F19" s="9"/>
      <c r="G19" s="9"/>
      <c r="H19" s="9"/>
      <c r="I19" s="9"/>
      <c r="J19" s="9"/>
    </row>
    <row r="20" ht="12.75">
      <c r="B20" s="3"/>
    </row>
    <row r="21" ht="12.75">
      <c r="A21" s="2"/>
    </row>
    <row r="22" spans="2:10" ht="12.75"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2"/>
      <c r="B23" s="10"/>
      <c r="C23" s="10"/>
      <c r="D23" s="10"/>
      <c r="E23" s="10"/>
      <c r="F23" s="10"/>
      <c r="G23" s="10"/>
      <c r="H23" s="10"/>
      <c r="I23" s="10"/>
      <c r="J23" s="10"/>
    </row>
    <row r="24" spans="2:7" ht="12.75">
      <c r="B24" s="8"/>
      <c r="G24" s="8"/>
    </row>
    <row r="25" ht="12.75">
      <c r="A25" s="2"/>
    </row>
    <row r="26" spans="1:10" ht="12.75">
      <c r="A26" s="2"/>
      <c r="B26" s="9"/>
      <c r="C26" s="9"/>
      <c r="D26" s="9"/>
      <c r="E26" s="9"/>
      <c r="F26" s="9"/>
      <c r="G26" s="9"/>
      <c r="H26" s="9"/>
      <c r="I26" s="9"/>
      <c r="J26" s="9"/>
    </row>
    <row r="27" spans="2:10" ht="12.75">
      <c r="B27" s="9"/>
      <c r="C27" s="9"/>
      <c r="D27" s="9"/>
      <c r="E27" s="9"/>
      <c r="F27" s="9"/>
      <c r="G27" s="9"/>
      <c r="H27" s="9"/>
      <c r="I27" s="9"/>
      <c r="J27" s="9"/>
    </row>
    <row r="28" ht="12.75">
      <c r="B28" s="3"/>
    </row>
    <row r="29" ht="12.75">
      <c r="A29" s="2"/>
    </row>
    <row r="30" spans="1:10" ht="12.75">
      <c r="A30" s="2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2"/>
      <c r="B31" s="10"/>
      <c r="C31" s="10"/>
      <c r="D31" s="10"/>
      <c r="E31" s="10"/>
      <c r="F31" s="10"/>
      <c r="G31" s="10"/>
      <c r="H31" s="10"/>
      <c r="I31" s="10"/>
      <c r="J31" s="10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28.7109375" style="0" customWidth="1"/>
    <col min="2" max="5" width="14.7109375" style="0" bestFit="1" customWidth="1"/>
    <col min="6" max="6" width="14.421875" style="0" bestFit="1" customWidth="1"/>
    <col min="7" max="8" width="14.140625" style="0" bestFit="1" customWidth="1"/>
    <col min="9" max="9" width="15.57421875" style="0" bestFit="1" customWidth="1"/>
  </cols>
  <sheetData>
    <row r="1" spans="1:9" ht="15.75">
      <c r="A1" s="235" t="s">
        <v>66</v>
      </c>
      <c r="B1" s="236"/>
      <c r="C1" s="236"/>
      <c r="D1" s="236"/>
      <c r="E1" s="236"/>
      <c r="F1" s="236"/>
      <c r="G1" s="236"/>
      <c r="H1" s="236"/>
      <c r="I1" s="236"/>
    </row>
    <row r="2" ht="12.75">
      <c r="A2" s="26"/>
    </row>
    <row r="3" spans="1:9" ht="12.75">
      <c r="A3" s="33" t="s">
        <v>282</v>
      </c>
      <c r="B3" s="31">
        <v>2003</v>
      </c>
      <c r="C3" s="31">
        <v>2004</v>
      </c>
      <c r="D3" s="31">
        <v>2005</v>
      </c>
      <c r="E3" s="31">
        <v>2006</v>
      </c>
      <c r="F3" s="31">
        <v>2007</v>
      </c>
      <c r="G3" s="31">
        <v>2008</v>
      </c>
      <c r="H3" s="31">
        <v>2009</v>
      </c>
      <c r="I3" s="31" t="s">
        <v>1</v>
      </c>
    </row>
    <row r="4" spans="1:9" ht="12.75">
      <c r="A4" s="20" t="s">
        <v>119</v>
      </c>
      <c r="B4" s="134">
        <v>2000</v>
      </c>
      <c r="C4" s="134">
        <v>3000</v>
      </c>
      <c r="D4" s="134">
        <v>4000</v>
      </c>
      <c r="E4" s="134">
        <v>4000</v>
      </c>
      <c r="F4" s="134">
        <v>6736</v>
      </c>
      <c r="G4" s="134">
        <v>7950</v>
      </c>
      <c r="H4" s="134"/>
      <c r="I4" s="134"/>
    </row>
    <row r="5" spans="1:9" ht="12.75">
      <c r="A5" s="17" t="s">
        <v>281</v>
      </c>
      <c r="B5" s="134">
        <f aca="true" t="shared" si="0" ref="B5:G5">B4*1000</f>
        <v>2000000</v>
      </c>
      <c r="C5" s="134">
        <f t="shared" si="0"/>
        <v>3000000</v>
      </c>
      <c r="D5" s="134">
        <f t="shared" si="0"/>
        <v>4000000</v>
      </c>
      <c r="E5" s="134">
        <f t="shared" si="0"/>
        <v>4000000</v>
      </c>
      <c r="F5" s="134">
        <f t="shared" si="0"/>
        <v>6736000</v>
      </c>
      <c r="G5" s="134">
        <f t="shared" si="0"/>
        <v>7950000</v>
      </c>
      <c r="H5" s="134">
        <v>4956762</v>
      </c>
      <c r="I5" s="134">
        <f>SUM(B5:H5)</f>
        <v>32642762</v>
      </c>
    </row>
    <row r="6" spans="1:9" ht="29.25" customHeight="1">
      <c r="A6" s="237" t="s">
        <v>351</v>
      </c>
      <c r="B6" s="237"/>
      <c r="C6" s="237"/>
      <c r="D6" s="237"/>
      <c r="E6" s="237"/>
      <c r="F6" s="237"/>
      <c r="G6" s="237"/>
      <c r="H6" s="237"/>
      <c r="I6" s="237"/>
    </row>
    <row r="7" spans="1:9" ht="13.5" customHeight="1">
      <c r="A7" s="178"/>
      <c r="B7" s="178"/>
      <c r="C7" s="178"/>
      <c r="D7" s="178"/>
      <c r="E7" s="178"/>
      <c r="F7" s="178"/>
      <c r="G7" s="178"/>
      <c r="H7" s="178"/>
      <c r="I7" s="178"/>
    </row>
    <row r="8" spans="1:9" ht="12.75">
      <c r="A8" s="33" t="s">
        <v>349</v>
      </c>
      <c r="B8" s="136"/>
      <c r="C8" s="136"/>
      <c r="D8" s="136"/>
      <c r="E8" s="136"/>
      <c r="F8" s="136"/>
      <c r="G8" s="136"/>
      <c r="H8" s="136"/>
      <c r="I8" s="136"/>
    </row>
    <row r="9" spans="1:9" ht="12.75">
      <c r="A9" s="16" t="s">
        <v>32</v>
      </c>
      <c r="B9" s="134">
        <v>39</v>
      </c>
      <c r="C9" s="134">
        <v>2429</v>
      </c>
      <c r="D9" s="134">
        <v>2572</v>
      </c>
      <c r="E9" s="134">
        <v>1123</v>
      </c>
      <c r="F9" s="134">
        <v>2786</v>
      </c>
      <c r="G9" s="134">
        <v>3043</v>
      </c>
      <c r="H9" s="134">
        <v>3709765</v>
      </c>
      <c r="I9" s="134"/>
    </row>
    <row r="10" spans="1:9" ht="12.75">
      <c r="A10" s="16" t="s">
        <v>20</v>
      </c>
      <c r="B10" s="134">
        <v>1052</v>
      </c>
      <c r="C10" s="134">
        <v>382</v>
      </c>
      <c r="D10" s="134">
        <v>1067</v>
      </c>
      <c r="E10" s="134">
        <v>2118</v>
      </c>
      <c r="F10" s="134">
        <v>1175</v>
      </c>
      <c r="G10" s="134">
        <v>1667</v>
      </c>
      <c r="H10" s="134"/>
      <c r="I10" s="134"/>
    </row>
    <row r="11" spans="1:9" ht="12.75">
      <c r="A11" s="16" t="s">
        <v>33</v>
      </c>
      <c r="B11" s="134">
        <f aca="true" t="shared" si="1" ref="B11:G11">SUM(B9:B10)</f>
        <v>1091</v>
      </c>
      <c r="C11" s="134">
        <f t="shared" si="1"/>
        <v>2811</v>
      </c>
      <c r="D11" s="134">
        <f t="shared" si="1"/>
        <v>3639</v>
      </c>
      <c r="E11" s="134">
        <f t="shared" si="1"/>
        <v>3241</v>
      </c>
      <c r="F11" s="134">
        <f t="shared" si="1"/>
        <v>3961</v>
      </c>
      <c r="G11" s="134">
        <f t="shared" si="1"/>
        <v>4710</v>
      </c>
      <c r="H11" s="134"/>
      <c r="I11" s="134"/>
    </row>
    <row r="12" spans="1:9" ht="12.75">
      <c r="A12" s="17" t="s">
        <v>281</v>
      </c>
      <c r="B12" s="134">
        <f aca="true" t="shared" si="2" ref="B12:G12">B11*1000</f>
        <v>1091000</v>
      </c>
      <c r="C12" s="134">
        <f t="shared" si="2"/>
        <v>2811000</v>
      </c>
      <c r="D12" s="134">
        <f t="shared" si="2"/>
        <v>3639000</v>
      </c>
      <c r="E12" s="134">
        <f t="shared" si="2"/>
        <v>3241000</v>
      </c>
      <c r="F12" s="134">
        <f t="shared" si="2"/>
        <v>3961000</v>
      </c>
      <c r="G12" s="134">
        <f t="shared" si="2"/>
        <v>4710000</v>
      </c>
      <c r="H12" s="134">
        <f>SUM(H9:H11)</f>
        <v>3709765</v>
      </c>
      <c r="I12" s="134">
        <f>SUM(B12:H12)</f>
        <v>23162765</v>
      </c>
    </row>
    <row r="13" spans="1:9" ht="12.75">
      <c r="A13" s="26"/>
      <c r="B13" s="26"/>
      <c r="C13" s="26"/>
      <c r="D13" s="26"/>
      <c r="E13" s="26"/>
      <c r="F13" s="26"/>
      <c r="G13" s="26"/>
      <c r="H13" s="26"/>
      <c r="I13" s="26"/>
    </row>
    <row r="14" ht="12.75">
      <c r="A14" s="33" t="s">
        <v>67</v>
      </c>
    </row>
    <row r="15" spans="1:9" ht="12.75">
      <c r="A15" s="14"/>
      <c r="B15" s="19">
        <v>2216</v>
      </c>
      <c r="C15" s="19">
        <f>560+927</f>
        <v>1487</v>
      </c>
      <c r="D15" s="19">
        <v>4850</v>
      </c>
      <c r="E15" s="19">
        <v>2004</v>
      </c>
      <c r="F15" s="19">
        <v>1978</v>
      </c>
      <c r="G15" s="19">
        <v>8982</v>
      </c>
      <c r="H15" s="19">
        <v>11256</v>
      </c>
      <c r="I15" s="19">
        <f>SUM(B15:H15)</f>
        <v>32773</v>
      </c>
    </row>
    <row r="16" spans="1:9" ht="12.75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2.75">
      <c r="A17" s="33" t="s">
        <v>177</v>
      </c>
      <c r="D17" s="3" t="s">
        <v>8</v>
      </c>
      <c r="E17" s="3" t="s">
        <v>201</v>
      </c>
      <c r="F17" s="3" t="s">
        <v>8</v>
      </c>
      <c r="G17" s="28" t="s">
        <v>8</v>
      </c>
      <c r="H17" s="28" t="s">
        <v>8</v>
      </c>
      <c r="I17" s="3" t="s">
        <v>8</v>
      </c>
    </row>
    <row r="18" spans="1:9" ht="12.75">
      <c r="A18" s="24"/>
      <c r="B18" s="22" t="s">
        <v>68</v>
      </c>
      <c r="C18" s="22" t="s">
        <v>68</v>
      </c>
      <c r="D18" s="13">
        <v>4118</v>
      </c>
      <c r="E18" s="13">
        <v>1897</v>
      </c>
      <c r="F18" s="13">
        <v>1127</v>
      </c>
      <c r="G18" s="13">
        <v>373</v>
      </c>
      <c r="H18" s="13">
        <v>455</v>
      </c>
      <c r="I18" s="19">
        <f>SUM(B18:H18)</f>
        <v>7970</v>
      </c>
    </row>
    <row r="20" spans="1:9" ht="12.75">
      <c r="A20" s="1" t="s">
        <v>178</v>
      </c>
      <c r="D20" s="3" t="s">
        <v>8</v>
      </c>
      <c r="E20" s="3" t="s">
        <v>8</v>
      </c>
      <c r="F20" s="3" t="s">
        <v>8</v>
      </c>
      <c r="G20" s="28" t="s">
        <v>8</v>
      </c>
      <c r="H20" s="28" t="s">
        <v>8</v>
      </c>
      <c r="I20" s="3" t="s">
        <v>8</v>
      </c>
    </row>
    <row r="21" spans="1:9" ht="12.75">
      <c r="A21" s="24"/>
      <c r="B21" s="24"/>
      <c r="C21" s="24"/>
      <c r="D21" s="24"/>
      <c r="E21" s="13">
        <v>10479</v>
      </c>
      <c r="F21" s="13">
        <v>10334</v>
      </c>
      <c r="G21" s="13">
        <v>11570</v>
      </c>
      <c r="H21" s="13">
        <v>14106</v>
      </c>
      <c r="I21" s="19">
        <f>SUM(B21:H21)</f>
        <v>46489</v>
      </c>
    </row>
    <row r="22" spans="1:9" ht="12.75">
      <c r="A22" s="26"/>
      <c r="B22" s="26"/>
      <c r="C22" s="26"/>
      <c r="D22" s="26"/>
      <c r="E22" s="26"/>
      <c r="F22" s="26"/>
      <c r="G22" s="26"/>
      <c r="H22" s="26"/>
      <c r="I22" s="26"/>
    </row>
    <row r="23" spans="1:9" ht="12.75">
      <c r="A23" s="1" t="s">
        <v>179</v>
      </c>
      <c r="E23" s="3" t="s">
        <v>180</v>
      </c>
      <c r="F23" s="3" t="s">
        <v>180</v>
      </c>
      <c r="G23" s="28" t="s">
        <v>11</v>
      </c>
      <c r="H23" s="28" t="s">
        <v>11</v>
      </c>
      <c r="I23" s="3" t="s">
        <v>180</v>
      </c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6" ht="12.75">
      <c r="A26" t="s">
        <v>202</v>
      </c>
    </row>
  </sheetData>
  <sheetProtection/>
  <mergeCells count="2">
    <mergeCell ref="A1:I1"/>
    <mergeCell ref="A6:I6"/>
  </mergeCells>
  <printOptions/>
  <pageMargins left="0.75" right="0.75" top="1" bottom="1" header="0.5" footer="0.5"/>
  <pageSetup horizontalDpi="600" verticalDpi="600" orientation="landscape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3.7109375" style="0" customWidth="1"/>
    <col min="2" max="4" width="12.7109375" style="0" customWidth="1"/>
    <col min="5" max="5" width="11.7109375" style="0" customWidth="1"/>
    <col min="6" max="6" width="11.57421875" style="0" customWidth="1"/>
    <col min="7" max="7" width="13.8515625" style="0" customWidth="1"/>
    <col min="8" max="8" width="13.28125" style="0" customWidth="1"/>
    <col min="9" max="9" width="11.7109375" style="0" customWidth="1"/>
  </cols>
  <sheetData>
    <row r="1" spans="1:3" ht="12.75">
      <c r="A1" s="33" t="s">
        <v>284</v>
      </c>
      <c r="B1" s="26"/>
      <c r="C1" s="26"/>
    </row>
    <row r="2" spans="1:3" ht="12.75">
      <c r="A2" s="33" t="s">
        <v>184</v>
      </c>
      <c r="B2" s="33" t="s">
        <v>308</v>
      </c>
      <c r="C2" s="26"/>
    </row>
    <row r="3" spans="1:9" ht="29.25" customHeight="1">
      <c r="A3" s="237" t="s">
        <v>351</v>
      </c>
      <c r="B3" s="237"/>
      <c r="C3" s="237"/>
      <c r="D3" s="237"/>
      <c r="E3" s="237"/>
      <c r="F3" s="237"/>
      <c r="G3" s="237"/>
      <c r="H3" s="237"/>
      <c r="I3" s="237"/>
    </row>
    <row r="4" spans="1:9" ht="12.75">
      <c r="A4" s="33" t="s">
        <v>367</v>
      </c>
      <c r="B4" s="31">
        <v>2004</v>
      </c>
      <c r="C4" s="31">
        <v>2005</v>
      </c>
      <c r="D4" s="27">
        <v>2006</v>
      </c>
      <c r="E4" s="27">
        <v>2007</v>
      </c>
      <c r="F4" s="27">
        <v>2008</v>
      </c>
      <c r="G4" s="27">
        <v>2009</v>
      </c>
      <c r="H4" s="27">
        <v>2010</v>
      </c>
      <c r="I4" s="27">
        <v>2011</v>
      </c>
    </row>
    <row r="5" spans="1:9" ht="12.75">
      <c r="A5" s="63" t="s">
        <v>139</v>
      </c>
      <c r="B5" s="62">
        <v>2500</v>
      </c>
      <c r="C5" s="62">
        <v>0</v>
      </c>
      <c r="D5" s="93" t="s">
        <v>4</v>
      </c>
      <c r="E5" s="111"/>
      <c r="F5" s="18"/>
      <c r="G5" s="18"/>
      <c r="H5" s="18"/>
      <c r="I5" s="18"/>
    </row>
    <row r="6" spans="1:9" ht="12.75">
      <c r="A6" s="63" t="s">
        <v>181</v>
      </c>
      <c r="B6" s="62"/>
      <c r="C6" s="62"/>
      <c r="D6" s="94">
        <v>1600</v>
      </c>
      <c r="E6" s="111"/>
      <c r="F6" s="18"/>
      <c r="G6" s="18"/>
      <c r="H6" s="18"/>
      <c r="I6" s="18"/>
    </row>
    <row r="7" spans="1:9" ht="12.75">
      <c r="A7" s="63" t="s">
        <v>182</v>
      </c>
      <c r="B7" s="62"/>
      <c r="C7" s="62"/>
      <c r="D7" s="94">
        <v>607</v>
      </c>
      <c r="E7" s="111">
        <v>200</v>
      </c>
      <c r="F7" s="18"/>
      <c r="G7" s="18"/>
      <c r="H7" s="18"/>
      <c r="I7" s="18"/>
    </row>
    <row r="8" spans="1:9" ht="12.75">
      <c r="A8" s="24" t="s">
        <v>95</v>
      </c>
      <c r="B8" s="62">
        <v>170</v>
      </c>
      <c r="C8" s="62">
        <v>170</v>
      </c>
      <c r="D8" s="94"/>
      <c r="E8" s="111"/>
      <c r="F8" s="18"/>
      <c r="G8" s="18"/>
      <c r="H8" s="18"/>
      <c r="I8" s="18"/>
    </row>
    <row r="9" spans="1:9" ht="12.75">
      <c r="A9" s="24" t="s">
        <v>96</v>
      </c>
      <c r="B9" s="64">
        <v>5000</v>
      </c>
      <c r="C9" s="62">
        <v>1000</v>
      </c>
      <c r="D9" s="94"/>
      <c r="E9" s="111"/>
      <c r="F9" s="18"/>
      <c r="G9" s="18"/>
      <c r="H9" s="18"/>
      <c r="I9" s="18"/>
    </row>
    <row r="10" spans="1:9" ht="12.75">
      <c r="A10" s="24" t="s">
        <v>97</v>
      </c>
      <c r="B10" s="64">
        <v>1230</v>
      </c>
      <c r="C10" s="62">
        <v>1250</v>
      </c>
      <c r="D10" s="94">
        <v>1000</v>
      </c>
      <c r="E10" s="111"/>
      <c r="F10" s="18">
        <v>1000</v>
      </c>
      <c r="G10" s="18">
        <v>1327101.5</v>
      </c>
      <c r="H10" s="18">
        <v>877801</v>
      </c>
      <c r="I10" s="18"/>
    </row>
    <row r="11" spans="1:9" ht="12.75">
      <c r="A11" s="20" t="s">
        <v>207</v>
      </c>
      <c r="B11" s="64"/>
      <c r="C11" s="62"/>
      <c r="D11" s="94"/>
      <c r="E11" s="111">
        <v>986</v>
      </c>
      <c r="F11" s="18"/>
      <c r="G11" s="18"/>
      <c r="H11" s="18"/>
      <c r="I11" s="18"/>
    </row>
    <row r="12" spans="1:9" ht="12.75">
      <c r="A12" s="20" t="s">
        <v>208</v>
      </c>
      <c r="B12" s="64"/>
      <c r="C12" s="62"/>
      <c r="D12" s="94"/>
      <c r="E12" s="111">
        <v>380</v>
      </c>
      <c r="F12" s="18"/>
      <c r="G12" s="18"/>
      <c r="H12" s="18"/>
      <c r="I12" s="18"/>
    </row>
    <row r="13" spans="1:9" ht="12.75">
      <c r="A13" s="20" t="s">
        <v>209</v>
      </c>
      <c r="B13" s="64"/>
      <c r="C13" s="62"/>
      <c r="D13" s="94"/>
      <c r="E13" s="111">
        <v>1082</v>
      </c>
      <c r="F13" s="18">
        <v>49</v>
      </c>
      <c r="G13" s="18"/>
      <c r="H13" s="18"/>
      <c r="I13" s="18"/>
    </row>
    <row r="14" spans="1:9" ht="12.75">
      <c r="A14" s="20" t="s">
        <v>245</v>
      </c>
      <c r="B14" s="64"/>
      <c r="C14" s="62"/>
      <c r="D14" s="94"/>
      <c r="E14" s="111"/>
      <c r="F14" s="18">
        <v>345</v>
      </c>
      <c r="G14" s="18">
        <v>1247612</v>
      </c>
      <c r="H14" s="18">
        <v>992612</v>
      </c>
      <c r="I14" s="18"/>
    </row>
    <row r="15" spans="1:9" ht="12.75">
      <c r="A15" s="20" t="s">
        <v>247</v>
      </c>
      <c r="B15" s="64"/>
      <c r="C15" s="62"/>
      <c r="D15" s="94"/>
      <c r="E15" s="111"/>
      <c r="F15" s="18">
        <v>400</v>
      </c>
      <c r="G15" s="18">
        <v>795600</v>
      </c>
      <c r="H15" s="18">
        <v>1000000</v>
      </c>
      <c r="I15" s="18">
        <v>682829.5</v>
      </c>
    </row>
    <row r="16" spans="1:9" ht="12.75">
      <c r="A16" s="20" t="s">
        <v>248</v>
      </c>
      <c r="B16" s="64"/>
      <c r="C16" s="62"/>
      <c r="D16" s="94"/>
      <c r="E16" s="111"/>
      <c r="F16" s="18">
        <v>9000</v>
      </c>
      <c r="G16" s="18"/>
      <c r="H16" s="18"/>
      <c r="I16" s="18"/>
    </row>
    <row r="17" spans="1:9" ht="12.75">
      <c r="A17" s="20" t="s">
        <v>285</v>
      </c>
      <c r="B17" s="64"/>
      <c r="C17" s="62"/>
      <c r="D17" s="94"/>
      <c r="E17" s="111"/>
      <c r="F17" s="18"/>
      <c r="G17" s="18">
        <v>4580830</v>
      </c>
      <c r="H17" s="18">
        <v>3260238.5</v>
      </c>
      <c r="I17" s="18">
        <v>1309984</v>
      </c>
    </row>
    <row r="18" spans="1:9" ht="12.75">
      <c r="A18" s="20" t="s">
        <v>286</v>
      </c>
      <c r="B18" s="64"/>
      <c r="C18" s="62"/>
      <c r="D18" s="94"/>
      <c r="E18" s="111"/>
      <c r="F18" s="18"/>
      <c r="G18" s="18">
        <v>1555000</v>
      </c>
      <c r="H18" s="18">
        <v>1038200</v>
      </c>
      <c r="I18" s="18">
        <v>1075000</v>
      </c>
    </row>
    <row r="19" spans="1:9" ht="12.75">
      <c r="A19" s="20" t="s">
        <v>287</v>
      </c>
      <c r="B19" s="64"/>
      <c r="C19" s="62"/>
      <c r="D19" s="94"/>
      <c r="E19" s="111"/>
      <c r="F19" s="18"/>
      <c r="G19" s="18">
        <v>1046000.4</v>
      </c>
      <c r="H19" s="18">
        <v>123866.12</v>
      </c>
      <c r="I19" s="18"/>
    </row>
    <row r="20" spans="1:9" ht="12.75">
      <c r="A20" s="20" t="s">
        <v>375</v>
      </c>
      <c r="B20" s="64"/>
      <c r="C20" s="62"/>
      <c r="D20" s="94"/>
      <c r="E20" s="111"/>
      <c r="F20" s="18"/>
      <c r="G20" s="18"/>
      <c r="H20" s="18"/>
      <c r="I20" s="18">
        <v>20000000</v>
      </c>
    </row>
    <row r="21" spans="1:9" ht="12.75">
      <c r="A21" s="20" t="s">
        <v>376</v>
      </c>
      <c r="B21" s="64"/>
      <c r="C21" s="62"/>
      <c r="D21" s="94"/>
      <c r="E21" s="111"/>
      <c r="F21" s="18"/>
      <c r="G21" s="18"/>
      <c r="H21" s="18"/>
      <c r="I21" s="18">
        <v>10000000</v>
      </c>
    </row>
    <row r="22" spans="1:9" ht="12.75">
      <c r="A22" s="20" t="s">
        <v>377</v>
      </c>
      <c r="B22" s="64"/>
      <c r="C22" s="62"/>
      <c r="D22" s="94"/>
      <c r="E22" s="111"/>
      <c r="F22" s="18"/>
      <c r="G22" s="18"/>
      <c r="H22" s="18"/>
      <c r="I22" s="18">
        <v>678853.1</v>
      </c>
    </row>
    <row r="23" spans="1:9" ht="12.75">
      <c r="A23" s="20" t="s">
        <v>379</v>
      </c>
      <c r="B23" s="64"/>
      <c r="C23" s="62"/>
      <c r="D23" s="94"/>
      <c r="E23" s="111"/>
      <c r="F23" s="18"/>
      <c r="G23" s="18"/>
      <c r="H23" s="18"/>
      <c r="I23" s="18">
        <v>20000000</v>
      </c>
    </row>
    <row r="24" spans="1:9" ht="12.75">
      <c r="A24" s="20" t="s">
        <v>378</v>
      </c>
      <c r="B24" s="64"/>
      <c r="C24" s="62"/>
      <c r="D24" s="94"/>
      <c r="E24" s="111"/>
      <c r="F24" s="18"/>
      <c r="G24" s="18"/>
      <c r="H24" s="18"/>
      <c r="I24" s="18">
        <v>1070000</v>
      </c>
    </row>
    <row r="25" spans="1:9" ht="12.75">
      <c r="A25" s="14" t="s">
        <v>1</v>
      </c>
      <c r="B25" s="64">
        <f>SUM(B5:B24)</f>
        <v>8900</v>
      </c>
      <c r="C25" s="64">
        <f aca="true" t="shared" si="0" ref="C25:I25">SUM(C5:C24)</f>
        <v>2420</v>
      </c>
      <c r="D25" s="64">
        <f t="shared" si="0"/>
        <v>3207</v>
      </c>
      <c r="E25" s="64">
        <f t="shared" si="0"/>
        <v>2648</v>
      </c>
      <c r="F25" s="64">
        <f t="shared" si="0"/>
        <v>10794</v>
      </c>
      <c r="G25" s="64">
        <f t="shared" si="0"/>
        <v>10552143.9</v>
      </c>
      <c r="H25" s="64">
        <f t="shared" si="0"/>
        <v>7292717.62</v>
      </c>
      <c r="I25" s="64">
        <f t="shared" si="0"/>
        <v>54816666.6</v>
      </c>
    </row>
    <row r="26" spans="1:9" ht="12.75">
      <c r="A26" s="26"/>
      <c r="B26" s="117"/>
      <c r="C26" s="118"/>
      <c r="D26" s="119"/>
      <c r="E26" s="38"/>
      <c r="F26" s="26"/>
      <c r="G26" s="12"/>
      <c r="H26" s="12"/>
      <c r="I26" s="12"/>
    </row>
    <row r="27" spans="1:9" ht="12.75">
      <c r="A27" s="33" t="s">
        <v>368</v>
      </c>
      <c r="B27" s="64"/>
      <c r="C27" s="62"/>
      <c r="D27" s="76"/>
      <c r="E27" s="18"/>
      <c r="F27" s="24"/>
      <c r="G27" s="18"/>
      <c r="H27" s="18"/>
      <c r="I27" s="18"/>
    </row>
    <row r="28" spans="1:9" ht="12.75">
      <c r="A28" s="24" t="s">
        <v>186</v>
      </c>
      <c r="B28" s="64"/>
      <c r="C28" s="62"/>
      <c r="D28" s="94">
        <v>30</v>
      </c>
      <c r="E28" s="111">
        <v>4000</v>
      </c>
      <c r="F28" s="24"/>
      <c r="G28" s="18"/>
      <c r="H28" s="18"/>
      <c r="I28" s="18"/>
    </row>
    <row r="29" spans="1:13" ht="12.75">
      <c r="A29" s="24" t="s">
        <v>140</v>
      </c>
      <c r="B29" s="64">
        <v>3000</v>
      </c>
      <c r="C29" s="62">
        <v>0</v>
      </c>
      <c r="D29" s="94">
        <v>6</v>
      </c>
      <c r="E29" s="111"/>
      <c r="F29" s="24"/>
      <c r="G29" s="18"/>
      <c r="H29" s="18"/>
      <c r="I29" s="18"/>
      <c r="M29" s="107" t="s">
        <v>103</v>
      </c>
    </row>
    <row r="30" spans="1:9" ht="12.75">
      <c r="A30" s="24" t="s">
        <v>183</v>
      </c>
      <c r="B30" s="64"/>
      <c r="C30" s="62"/>
      <c r="D30" s="94">
        <v>15</v>
      </c>
      <c r="E30" s="111"/>
      <c r="F30" s="24"/>
      <c r="G30" s="18"/>
      <c r="H30" s="18"/>
      <c r="I30" s="18"/>
    </row>
    <row r="31" spans="1:9" ht="12.75">
      <c r="A31" s="20" t="s">
        <v>211</v>
      </c>
      <c r="B31" s="64"/>
      <c r="C31" s="62"/>
      <c r="D31" s="94"/>
      <c r="E31" s="111">
        <v>2000</v>
      </c>
      <c r="F31" s="18">
        <v>2000</v>
      </c>
      <c r="G31" s="18">
        <v>2100000</v>
      </c>
      <c r="H31" s="18"/>
      <c r="I31" s="18"/>
    </row>
    <row r="32" spans="1:9" ht="12.75">
      <c r="A32" s="20" t="s">
        <v>249</v>
      </c>
      <c r="B32" s="64"/>
      <c r="C32" s="62"/>
      <c r="D32" s="94"/>
      <c r="E32" s="111"/>
      <c r="F32" s="18">
        <v>4163</v>
      </c>
      <c r="G32" s="18"/>
      <c r="H32" s="18">
        <v>6201606</v>
      </c>
      <c r="I32" s="18"/>
    </row>
    <row r="33" spans="1:9" ht="12.75">
      <c r="A33" s="20" t="s">
        <v>250</v>
      </c>
      <c r="B33" s="64"/>
      <c r="C33" s="62"/>
      <c r="D33" s="94"/>
      <c r="E33" s="111"/>
      <c r="F33" s="18">
        <v>1900</v>
      </c>
      <c r="G33" s="18">
        <v>13765676</v>
      </c>
      <c r="H33" s="18">
        <v>13870253</v>
      </c>
      <c r="I33" s="18">
        <v>11070253</v>
      </c>
    </row>
    <row r="34" spans="1:9" ht="12.75">
      <c r="A34" s="20" t="s">
        <v>248</v>
      </c>
      <c r="B34" s="64"/>
      <c r="C34" s="62"/>
      <c r="D34" s="94"/>
      <c r="E34" s="111"/>
      <c r="F34" s="18">
        <v>3000</v>
      </c>
      <c r="G34" s="18"/>
      <c r="H34" s="18"/>
      <c r="I34" s="18"/>
    </row>
    <row r="35" spans="1:9" ht="12.75">
      <c r="A35" s="20" t="s">
        <v>251</v>
      </c>
      <c r="B35" s="64"/>
      <c r="C35" s="62"/>
      <c r="D35" s="94"/>
      <c r="E35" s="111"/>
      <c r="F35" s="18">
        <v>3000</v>
      </c>
      <c r="G35" s="18">
        <v>24000000</v>
      </c>
      <c r="H35" s="18">
        <v>27731486.82</v>
      </c>
      <c r="I35" s="18"/>
    </row>
    <row r="36" spans="1:9" ht="12.75">
      <c r="A36" s="20" t="s">
        <v>210</v>
      </c>
      <c r="B36" s="64"/>
      <c r="C36" s="62"/>
      <c r="D36" s="94"/>
      <c r="E36" s="111">
        <v>606</v>
      </c>
      <c r="F36" s="18"/>
      <c r="G36" s="18"/>
      <c r="H36" s="18"/>
      <c r="I36" s="18"/>
    </row>
    <row r="37" spans="1:9" ht="12.75">
      <c r="A37" s="20" t="s">
        <v>288</v>
      </c>
      <c r="B37" s="64"/>
      <c r="C37" s="62"/>
      <c r="D37" s="94"/>
      <c r="E37" s="111"/>
      <c r="F37" s="18"/>
      <c r="G37" s="18">
        <v>680319</v>
      </c>
      <c r="H37" s="18">
        <v>394755.5</v>
      </c>
      <c r="I37" s="18"/>
    </row>
    <row r="38" spans="1:9" ht="12.75">
      <c r="A38" s="14" t="s">
        <v>1</v>
      </c>
      <c r="B38" s="62">
        <f>SUM(B28:B37)</f>
        <v>3000</v>
      </c>
      <c r="C38" s="62">
        <f aca="true" t="shared" si="1" ref="C38:I38">SUM(C28:C37)</f>
        <v>0</v>
      </c>
      <c r="D38" s="62">
        <f t="shared" si="1"/>
        <v>51</v>
      </c>
      <c r="E38" s="62">
        <f t="shared" si="1"/>
        <v>6606</v>
      </c>
      <c r="F38" s="62">
        <f t="shared" si="1"/>
        <v>14063</v>
      </c>
      <c r="G38" s="62">
        <f t="shared" si="1"/>
        <v>40545995</v>
      </c>
      <c r="H38" s="62">
        <f t="shared" si="1"/>
        <v>48198101.32</v>
      </c>
      <c r="I38" s="62">
        <f t="shared" si="1"/>
        <v>11070253</v>
      </c>
    </row>
    <row r="39" spans="1:9" ht="12.75">
      <c r="A39" s="26"/>
      <c r="B39" s="60"/>
      <c r="C39" s="60"/>
      <c r="E39" s="12"/>
      <c r="G39" s="12"/>
      <c r="H39" s="12"/>
      <c r="I39" s="12"/>
    </row>
    <row r="40" spans="1:9" ht="12.75">
      <c r="A40" s="1" t="s">
        <v>369</v>
      </c>
      <c r="B40" s="36"/>
      <c r="C40" s="36"/>
      <c r="E40" s="12"/>
      <c r="G40" s="12"/>
      <c r="H40" s="12"/>
      <c r="I40" s="12"/>
    </row>
    <row r="41" spans="1:9" ht="12.75">
      <c r="A41" s="63" t="s">
        <v>139</v>
      </c>
      <c r="B41" s="62">
        <v>16</v>
      </c>
      <c r="C41" s="62">
        <v>0</v>
      </c>
      <c r="D41" s="18">
        <v>0</v>
      </c>
      <c r="E41" s="18"/>
      <c r="F41" s="24"/>
      <c r="G41" s="18"/>
      <c r="H41" s="18"/>
      <c r="I41" s="18"/>
    </row>
    <row r="42" spans="1:9" ht="12.75">
      <c r="A42" s="63" t="s">
        <v>181</v>
      </c>
      <c r="B42" s="62"/>
      <c r="C42" s="62"/>
      <c r="D42" s="18">
        <v>0</v>
      </c>
      <c r="E42" s="18"/>
      <c r="F42" s="24"/>
      <c r="G42" s="18"/>
      <c r="H42" s="18"/>
      <c r="I42" s="18"/>
    </row>
    <row r="43" spans="1:9" ht="12.75">
      <c r="A43" s="63" t="s">
        <v>182</v>
      </c>
      <c r="B43" s="62"/>
      <c r="C43" s="62"/>
      <c r="D43" s="18">
        <v>371</v>
      </c>
      <c r="E43" s="18">
        <v>517</v>
      </c>
      <c r="F43" s="24"/>
      <c r="G43" s="18"/>
      <c r="H43" s="18"/>
      <c r="I43" s="18"/>
    </row>
    <row r="44" spans="1:9" ht="12.75">
      <c r="A44" s="24" t="s">
        <v>95</v>
      </c>
      <c r="B44" s="62">
        <v>1</v>
      </c>
      <c r="C44" s="62">
        <v>85</v>
      </c>
      <c r="D44" s="18">
        <v>0</v>
      </c>
      <c r="E44" s="18"/>
      <c r="F44" s="24"/>
      <c r="G44" s="18"/>
      <c r="H44" s="18"/>
      <c r="I44" s="18"/>
    </row>
    <row r="45" spans="1:9" ht="12.75">
      <c r="A45" s="24" t="s">
        <v>96</v>
      </c>
      <c r="B45" s="64">
        <v>32</v>
      </c>
      <c r="C45" s="62">
        <v>0</v>
      </c>
      <c r="D45" s="18">
        <v>0</v>
      </c>
      <c r="E45" s="18"/>
      <c r="F45" s="24"/>
      <c r="G45" s="18"/>
      <c r="H45" s="18"/>
      <c r="I45" s="18"/>
    </row>
    <row r="46" spans="1:9" ht="12.75">
      <c r="A46" s="24" t="s">
        <v>97</v>
      </c>
      <c r="B46" s="64">
        <v>8</v>
      </c>
      <c r="C46" s="62">
        <v>0</v>
      </c>
      <c r="D46" s="18">
        <v>0</v>
      </c>
      <c r="E46" s="18"/>
      <c r="F46" s="24"/>
      <c r="G46" s="18"/>
      <c r="H46" s="18">
        <v>298947.9</v>
      </c>
      <c r="I46" s="18"/>
    </row>
    <row r="47" spans="1:9" ht="12.75">
      <c r="A47" s="20" t="s">
        <v>207</v>
      </c>
      <c r="B47" s="64"/>
      <c r="C47" s="62"/>
      <c r="D47" s="18"/>
      <c r="E47" s="18">
        <v>896</v>
      </c>
      <c r="F47" s="24"/>
      <c r="G47" s="18"/>
      <c r="H47" s="18"/>
      <c r="I47" s="18"/>
    </row>
    <row r="48" spans="1:9" ht="12.75">
      <c r="A48" s="20" t="s">
        <v>208</v>
      </c>
      <c r="B48" s="64"/>
      <c r="C48" s="62"/>
      <c r="D48" s="18"/>
      <c r="E48" s="18">
        <v>380</v>
      </c>
      <c r="F48" s="24"/>
      <c r="G48" s="18"/>
      <c r="H48" s="18"/>
      <c r="I48" s="18"/>
    </row>
    <row r="49" spans="1:9" ht="12.75">
      <c r="A49" s="20" t="s">
        <v>209</v>
      </c>
      <c r="B49" s="64"/>
      <c r="C49" s="62"/>
      <c r="D49" s="18"/>
      <c r="E49" s="18">
        <v>254</v>
      </c>
      <c r="F49" s="24"/>
      <c r="G49" s="18"/>
      <c r="H49" s="18"/>
      <c r="I49" s="18"/>
    </row>
    <row r="50" spans="1:9" ht="12.75">
      <c r="A50" s="20" t="s">
        <v>245</v>
      </c>
      <c r="B50" s="64"/>
      <c r="C50" s="62"/>
      <c r="D50" s="18"/>
      <c r="E50" s="18"/>
      <c r="F50" s="18">
        <v>0</v>
      </c>
      <c r="G50" s="18">
        <v>447612</v>
      </c>
      <c r="H50" s="18"/>
      <c r="I50" s="18"/>
    </row>
    <row r="51" spans="1:9" ht="12.75">
      <c r="A51" s="20" t="s">
        <v>247</v>
      </c>
      <c r="B51" s="64"/>
      <c r="C51" s="62"/>
      <c r="D51" s="18"/>
      <c r="E51" s="18"/>
      <c r="F51" s="18">
        <v>4</v>
      </c>
      <c r="G51" s="18">
        <v>188225</v>
      </c>
      <c r="H51" s="18"/>
      <c r="I51" s="18">
        <v>121599.5</v>
      </c>
    </row>
    <row r="52" spans="1:9" ht="12.75">
      <c r="A52" s="20" t="s">
        <v>248</v>
      </c>
      <c r="B52" s="64"/>
      <c r="C52" s="62"/>
      <c r="D52" s="18"/>
      <c r="E52" s="18"/>
      <c r="F52" s="18">
        <v>0</v>
      </c>
      <c r="G52" s="18"/>
      <c r="H52" s="18"/>
      <c r="I52" s="18"/>
    </row>
    <row r="53" spans="1:9" ht="12.75">
      <c r="A53" s="20" t="s">
        <v>285</v>
      </c>
      <c r="B53" s="64"/>
      <c r="C53" s="62"/>
      <c r="D53" s="18"/>
      <c r="E53" s="18"/>
      <c r="F53" s="18"/>
      <c r="G53" s="18">
        <v>3710123.26</v>
      </c>
      <c r="H53" s="18"/>
      <c r="I53" s="18">
        <v>1111985.1</v>
      </c>
    </row>
    <row r="54" spans="1:9" ht="12.75">
      <c r="A54" s="20" t="s">
        <v>286</v>
      </c>
      <c r="B54" s="64"/>
      <c r="C54" s="62"/>
      <c r="D54" s="18"/>
      <c r="E54" s="18"/>
      <c r="F54" s="18"/>
      <c r="G54" s="18">
        <v>1546809.2</v>
      </c>
      <c r="H54" s="18"/>
      <c r="I54" s="18">
        <v>1062330.79</v>
      </c>
    </row>
    <row r="55" spans="1:9" ht="12.75">
      <c r="A55" s="20" t="s">
        <v>287</v>
      </c>
      <c r="B55" s="64"/>
      <c r="C55" s="62"/>
      <c r="D55" s="18"/>
      <c r="E55" s="18"/>
      <c r="F55" s="18"/>
      <c r="G55" s="18">
        <v>710932.44</v>
      </c>
      <c r="H55" s="18"/>
      <c r="I55" s="18"/>
    </row>
    <row r="56" spans="1:9" ht="12.75">
      <c r="A56" s="20" t="s">
        <v>375</v>
      </c>
      <c r="B56" s="64"/>
      <c r="C56" s="62"/>
      <c r="D56" s="18"/>
      <c r="E56" s="18"/>
      <c r="F56" s="18"/>
      <c r="G56" s="18"/>
      <c r="H56" s="18"/>
      <c r="I56" s="18">
        <v>71596.1</v>
      </c>
    </row>
    <row r="57" spans="1:9" ht="12.75">
      <c r="A57" s="20" t="s">
        <v>376</v>
      </c>
      <c r="B57" s="64"/>
      <c r="C57" s="62"/>
      <c r="D57" s="18"/>
      <c r="E57" s="18"/>
      <c r="F57" s="18"/>
      <c r="G57" s="18"/>
      <c r="H57" s="18"/>
      <c r="I57" s="18">
        <v>0</v>
      </c>
    </row>
    <row r="58" spans="1:9" ht="12.75">
      <c r="A58" s="20" t="s">
        <v>377</v>
      </c>
      <c r="B58" s="64"/>
      <c r="C58" s="62"/>
      <c r="D58" s="18"/>
      <c r="E58" s="18"/>
      <c r="F58" s="18"/>
      <c r="G58" s="18"/>
      <c r="H58" s="18"/>
      <c r="I58" s="18">
        <v>195895.63</v>
      </c>
    </row>
    <row r="59" spans="1:9" ht="12.75">
      <c r="A59" s="20" t="s">
        <v>379</v>
      </c>
      <c r="B59" s="64"/>
      <c r="C59" s="62"/>
      <c r="D59" s="18"/>
      <c r="E59" s="18"/>
      <c r="F59" s="18"/>
      <c r="G59" s="18"/>
      <c r="H59" s="18"/>
      <c r="I59" s="18">
        <v>0</v>
      </c>
    </row>
    <row r="60" spans="1:9" ht="12.75">
      <c r="A60" s="20" t="s">
        <v>378</v>
      </c>
      <c r="B60" s="64"/>
      <c r="C60" s="62"/>
      <c r="D60" s="18"/>
      <c r="E60" s="18"/>
      <c r="F60" s="18"/>
      <c r="G60" s="18"/>
      <c r="H60" s="18"/>
      <c r="I60" s="18">
        <v>380149.11</v>
      </c>
    </row>
    <row r="61" spans="1:9" ht="12.75">
      <c r="A61" s="14" t="s">
        <v>1</v>
      </c>
      <c r="B61" s="62">
        <f>SUM(B41:B52)</f>
        <v>57</v>
      </c>
      <c r="C61" s="62">
        <f>SUM(C41:C52)</f>
        <v>85</v>
      </c>
      <c r="D61" s="62">
        <f>SUM(D41:D52)</f>
        <v>371</v>
      </c>
      <c r="E61" s="62">
        <f>SUM(E41:E52)</f>
        <v>2047</v>
      </c>
      <c r="F61" s="62">
        <f>SUM(F41:F52)</f>
        <v>4</v>
      </c>
      <c r="G61" s="18">
        <f>SUM(G41:G55)</f>
        <v>6603701.9</v>
      </c>
      <c r="H61" s="18"/>
      <c r="I61" s="18"/>
    </row>
    <row r="62" spans="5:9" ht="12.75">
      <c r="E62" s="12"/>
      <c r="G62" s="12"/>
      <c r="H62" s="12"/>
      <c r="I62" s="12"/>
    </row>
    <row r="63" spans="1:9" ht="12.75">
      <c r="A63" s="1" t="s">
        <v>370</v>
      </c>
      <c r="B63" s="64"/>
      <c r="C63" s="62"/>
      <c r="D63" s="76"/>
      <c r="E63" s="18"/>
      <c r="F63" s="18"/>
      <c r="G63" s="18"/>
      <c r="H63" s="18"/>
      <c r="I63" s="18"/>
    </row>
    <row r="64" spans="1:9" ht="12.75">
      <c r="A64" s="24" t="s">
        <v>186</v>
      </c>
      <c r="B64" s="64">
        <v>0</v>
      </c>
      <c r="C64" s="62">
        <v>0</v>
      </c>
      <c r="D64" s="76">
        <v>6</v>
      </c>
      <c r="E64" s="18">
        <v>33</v>
      </c>
      <c r="F64" s="18"/>
      <c r="G64" s="18">
        <v>2480000</v>
      </c>
      <c r="H64" s="18"/>
      <c r="I64" s="18"/>
    </row>
    <row r="65" spans="1:9" ht="12.75">
      <c r="A65" s="24" t="s">
        <v>140</v>
      </c>
      <c r="B65" s="64">
        <v>56</v>
      </c>
      <c r="C65" s="62">
        <v>0</v>
      </c>
      <c r="D65" s="76">
        <v>6</v>
      </c>
      <c r="E65" s="18"/>
      <c r="F65" s="18"/>
      <c r="G65" s="18"/>
      <c r="H65" s="18"/>
      <c r="I65" s="18"/>
    </row>
    <row r="66" spans="1:9" ht="12.75">
      <c r="A66" s="24" t="s">
        <v>183</v>
      </c>
      <c r="B66" s="64"/>
      <c r="C66" s="62"/>
      <c r="D66" s="76">
        <v>29</v>
      </c>
      <c r="E66" s="18"/>
      <c r="F66" s="18"/>
      <c r="G66" s="18"/>
      <c r="H66" s="18"/>
      <c r="I66" s="18"/>
    </row>
    <row r="67" spans="1:9" ht="12.75">
      <c r="A67" s="20" t="s">
        <v>211</v>
      </c>
      <c r="B67" s="64"/>
      <c r="C67" s="62"/>
      <c r="D67" s="76"/>
      <c r="E67" s="18">
        <v>0</v>
      </c>
      <c r="F67" s="18">
        <v>2000</v>
      </c>
      <c r="G67" s="18">
        <v>2100000</v>
      </c>
      <c r="H67" s="18"/>
      <c r="I67" s="18"/>
    </row>
    <row r="68" spans="1:9" ht="12.75">
      <c r="A68" s="20" t="s">
        <v>249</v>
      </c>
      <c r="B68" s="64"/>
      <c r="C68" s="62"/>
      <c r="D68" s="76"/>
      <c r="E68" s="18"/>
      <c r="F68" s="18"/>
      <c r="G68" s="18"/>
      <c r="H68" s="18"/>
      <c r="I68" s="18"/>
    </row>
    <row r="69" spans="1:9" ht="12.75">
      <c r="A69" s="20" t="s">
        <v>250</v>
      </c>
      <c r="B69" s="64"/>
      <c r="C69" s="62"/>
      <c r="D69" s="76"/>
      <c r="E69" s="18"/>
      <c r="F69" s="18"/>
      <c r="G69" s="18"/>
      <c r="H69" s="18"/>
      <c r="I69" s="18">
        <v>2633211</v>
      </c>
    </row>
    <row r="70" spans="1:9" ht="12.75">
      <c r="A70" s="20" t="s">
        <v>248</v>
      </c>
      <c r="B70" s="64"/>
      <c r="C70" s="62"/>
      <c r="D70" s="76"/>
      <c r="E70" s="18"/>
      <c r="F70" s="18"/>
      <c r="G70" s="18"/>
      <c r="H70" s="18"/>
      <c r="I70" s="18"/>
    </row>
    <row r="71" spans="1:9" ht="12.75">
      <c r="A71" s="20" t="s">
        <v>251</v>
      </c>
      <c r="B71" s="64"/>
      <c r="C71" s="62"/>
      <c r="D71" s="76"/>
      <c r="E71" s="18"/>
      <c r="F71" s="18">
        <v>36</v>
      </c>
      <c r="G71" s="18"/>
      <c r="H71" s="18"/>
      <c r="I71" s="18"/>
    </row>
    <row r="72" spans="1:9" ht="12.75">
      <c r="A72" s="20" t="s">
        <v>210</v>
      </c>
      <c r="B72" s="64"/>
      <c r="C72" s="62"/>
      <c r="D72" s="76"/>
      <c r="E72" s="18">
        <v>603</v>
      </c>
      <c r="F72" s="18"/>
      <c r="G72" s="18"/>
      <c r="H72" s="18"/>
      <c r="I72" s="18"/>
    </row>
    <row r="73" spans="1:9" ht="12.75">
      <c r="A73" s="20" t="s">
        <v>288</v>
      </c>
      <c r="B73" s="64"/>
      <c r="C73" s="62"/>
      <c r="D73" s="76"/>
      <c r="E73" s="18"/>
      <c r="F73" s="18"/>
      <c r="G73" s="18">
        <v>562751.17</v>
      </c>
      <c r="H73" s="18"/>
      <c r="I73" s="18"/>
    </row>
    <row r="74" spans="1:9" ht="12.75">
      <c r="A74" s="14" t="s">
        <v>1</v>
      </c>
      <c r="B74" s="62">
        <f>SUM(B39:B65)</f>
        <v>170</v>
      </c>
      <c r="C74" s="62">
        <f>SUM(C39:C65)</f>
        <v>170</v>
      </c>
      <c r="D74" s="76">
        <f>SUM(D64:D66)</f>
        <v>41</v>
      </c>
      <c r="E74" s="18">
        <f>SUM(E64:E72)</f>
        <v>636</v>
      </c>
      <c r="F74" s="18">
        <f>SUM(F64:F72)</f>
        <v>2036</v>
      </c>
      <c r="G74" s="18">
        <f>SUM(G63:G73)</f>
        <v>5142751.17</v>
      </c>
      <c r="H74" s="18"/>
      <c r="I74" s="18"/>
    </row>
  </sheetData>
  <sheetProtection/>
  <mergeCells count="1">
    <mergeCell ref="A3:I3"/>
  </mergeCells>
  <printOptions/>
  <pageMargins left="0.75" right="0.75" top="1" bottom="1" header="0.5" footer="0.5"/>
  <pageSetup horizontalDpi="600" verticalDpi="600" orientation="landscape" scale="86" r:id="rId1"/>
  <rowBreaks count="1" manualBreakCount="1">
    <brk id="39" max="255" man="1"/>
  </rowBreaks>
  <ignoredErrors>
    <ignoredError sqref="B25:I25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">
      <selection activeCell="N1" sqref="N1"/>
    </sheetView>
  </sheetViews>
  <sheetFormatPr defaultColWidth="10.7109375" defaultRowHeight="12.75"/>
  <cols>
    <col min="1" max="1" width="29.421875" style="3" bestFit="1" customWidth="1"/>
    <col min="2" max="2" width="12.00390625" style="6" customWidth="1"/>
    <col min="3" max="3" width="12.140625" style="6" customWidth="1"/>
    <col min="4" max="5" width="12.57421875" style="6" customWidth="1"/>
    <col min="6" max="6" width="13.7109375" style="6" customWidth="1"/>
    <col min="7" max="7" width="12.7109375" style="6" customWidth="1"/>
    <col min="8" max="8" width="12.8515625" style="6" customWidth="1"/>
    <col min="9" max="9" width="13.140625" style="6" customWidth="1"/>
    <col min="10" max="12" width="12.57421875" style="6" customWidth="1"/>
    <col min="13" max="13" width="12.00390625" style="6" customWidth="1"/>
    <col min="14" max="16384" width="10.7109375" style="6" customWidth="1"/>
  </cols>
  <sheetData>
    <row r="1" spans="1:13" ht="15.75">
      <c r="A1" s="235" t="s">
        <v>31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5.75">
      <c r="A2" s="144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6" ht="12.75">
      <c r="A3" s="23"/>
      <c r="N3" s="3"/>
      <c r="O3" s="3"/>
      <c r="P3" s="3"/>
    </row>
    <row r="4" spans="1:16" ht="25.5">
      <c r="A4" s="33" t="s">
        <v>348</v>
      </c>
      <c r="B4" s="31">
        <v>2001</v>
      </c>
      <c r="C4" s="31">
        <v>2002</v>
      </c>
      <c r="D4" s="31">
        <v>2003</v>
      </c>
      <c r="E4" s="31">
        <v>2004</v>
      </c>
      <c r="F4" s="31">
        <v>2005</v>
      </c>
      <c r="G4" s="31">
        <v>2006</v>
      </c>
      <c r="H4" s="31">
        <v>2007</v>
      </c>
      <c r="I4" s="31">
        <v>2008</v>
      </c>
      <c r="J4" s="31">
        <v>2009</v>
      </c>
      <c r="K4" s="31">
        <v>2010</v>
      </c>
      <c r="L4" s="31">
        <v>2011</v>
      </c>
      <c r="M4" s="162" t="s">
        <v>360</v>
      </c>
      <c r="N4" s="3"/>
      <c r="O4" s="3"/>
      <c r="P4" s="3"/>
    </row>
    <row r="5" spans="1:16" ht="12.75">
      <c r="A5" s="3"/>
      <c r="B5" s="15">
        <v>17250</v>
      </c>
      <c r="C5" s="15">
        <v>16455</v>
      </c>
      <c r="D5" s="15">
        <v>12700</v>
      </c>
      <c r="E5" s="15">
        <v>45200</v>
      </c>
      <c r="F5" s="76">
        <f>85700*1000</f>
        <v>85700000</v>
      </c>
      <c r="G5" s="76">
        <f>147453*1000</f>
        <v>147453000</v>
      </c>
      <c r="H5" s="76">
        <f>151712*1000</f>
        <v>151712000</v>
      </c>
      <c r="I5" s="76">
        <f>195049*1000</f>
        <v>195049000</v>
      </c>
      <c r="J5" s="76">
        <v>126605581.76</v>
      </c>
      <c r="K5" s="76">
        <v>54778432.5</v>
      </c>
      <c r="L5" s="76">
        <v>22623674.18</v>
      </c>
      <c r="M5" s="76">
        <f>SUM(B5:L5)</f>
        <v>784013293.4399999</v>
      </c>
      <c r="N5" s="3"/>
      <c r="O5" s="3"/>
      <c r="P5" s="3"/>
    </row>
    <row r="6" spans="1:16" ht="27.75" customHeight="1">
      <c r="A6" s="237" t="s">
        <v>351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3"/>
      <c r="O6" s="3"/>
      <c r="P6" s="3"/>
    </row>
    <row r="7" spans="1:16" ht="12.7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3"/>
      <c r="O7" s="3"/>
      <c r="P7" s="3"/>
    </row>
    <row r="8" spans="1:16" ht="12.75">
      <c r="A8" s="33" t="s">
        <v>347</v>
      </c>
      <c r="B8" s="48"/>
      <c r="C8" s="48"/>
      <c r="D8" s="48"/>
      <c r="E8" s="48"/>
      <c r="F8" s="119"/>
      <c r="G8" s="119"/>
      <c r="H8" s="119"/>
      <c r="I8" s="119"/>
      <c r="J8" s="119"/>
      <c r="K8" s="119"/>
      <c r="L8" s="119"/>
      <c r="M8" s="119"/>
      <c r="N8" s="3"/>
      <c r="O8" s="3"/>
      <c r="P8" s="3"/>
    </row>
    <row r="9" spans="1:13" s="3" customFormat="1" ht="12.75">
      <c r="A9" s="16" t="s">
        <v>32</v>
      </c>
      <c r="B9" s="15">
        <v>951</v>
      </c>
      <c r="C9" s="15">
        <v>6343</v>
      </c>
      <c r="D9" s="15">
        <v>7821</v>
      </c>
      <c r="E9" s="15">
        <v>13361</v>
      </c>
      <c r="F9" s="76">
        <f>29850*1000</f>
        <v>29850000</v>
      </c>
      <c r="G9" s="76">
        <f>82723*1000</f>
        <v>82723000</v>
      </c>
      <c r="H9" s="76">
        <f>73285.4*1000</f>
        <v>73285400</v>
      </c>
      <c r="I9" s="76">
        <f>51587*1000</f>
        <v>51587000</v>
      </c>
      <c r="J9" s="76">
        <v>35155470.15</v>
      </c>
      <c r="K9" s="76">
        <v>28526247.32</v>
      </c>
      <c r="L9" s="76">
        <v>13139812.21</v>
      </c>
      <c r="M9" s="76">
        <f>SUM(B9:L9)</f>
        <v>314295405.67999995</v>
      </c>
    </row>
    <row r="10" spans="1:13" s="3" customFormat="1" ht="12.75">
      <c r="A10" s="16" t="s">
        <v>20</v>
      </c>
      <c r="B10" s="15">
        <v>8216</v>
      </c>
      <c r="C10" s="15">
        <v>14687</v>
      </c>
      <c r="D10" s="15">
        <v>33248</v>
      </c>
      <c r="E10" s="15">
        <v>113612</v>
      </c>
      <c r="F10" s="76">
        <f>136514*1000</f>
        <v>136514000</v>
      </c>
      <c r="G10" s="76">
        <f>95233*1000</f>
        <v>95233000</v>
      </c>
      <c r="H10" s="76">
        <f>72991.4*1000</f>
        <v>72991400</v>
      </c>
      <c r="I10" s="76">
        <f>102711*1000</f>
        <v>102711000</v>
      </c>
      <c r="J10" s="76">
        <v>77343991</v>
      </c>
      <c r="K10" s="76">
        <v>25616683.86</v>
      </c>
      <c r="L10" s="76">
        <v>6045121.4</v>
      </c>
      <c r="M10" s="76">
        <f>SUM(B10:L10)</f>
        <v>516624959.26</v>
      </c>
    </row>
    <row r="11" spans="1:13" s="3" customFormat="1" ht="12.75">
      <c r="A11" s="16" t="s">
        <v>33</v>
      </c>
      <c r="B11" s="15">
        <f aca="true" t="shared" si="0" ref="B11:G11">SUM(B9:B10)</f>
        <v>9167</v>
      </c>
      <c r="C11" s="15">
        <f t="shared" si="0"/>
        <v>21030</v>
      </c>
      <c r="D11" s="15">
        <f t="shared" si="0"/>
        <v>41069</v>
      </c>
      <c r="E11" s="15">
        <f t="shared" si="0"/>
        <v>126973</v>
      </c>
      <c r="F11" s="76">
        <f t="shared" si="0"/>
        <v>166364000</v>
      </c>
      <c r="G11" s="76">
        <f t="shared" si="0"/>
        <v>177956000</v>
      </c>
      <c r="H11" s="76">
        <f>SUM(H9:H10)</f>
        <v>146276800</v>
      </c>
      <c r="I11" s="76">
        <f>SUM(I9:I10)</f>
        <v>154298000</v>
      </c>
      <c r="J11" s="76">
        <f>SUM(J9:J10)</f>
        <v>112499461.15</v>
      </c>
      <c r="K11" s="76">
        <f>SUM(K9:K10)</f>
        <v>54142931.18</v>
      </c>
      <c r="L11" s="76">
        <f>SUM(L9:L10)</f>
        <v>19184933.61</v>
      </c>
      <c r="M11" s="76">
        <f>SUM(B11:L11)</f>
        <v>830920364.9399999</v>
      </c>
    </row>
    <row r="12" spans="1:13" s="3" customFormat="1" ht="12.75">
      <c r="A12" s="23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s="3" customFormat="1" ht="12.75">
      <c r="A13" s="49" t="s">
        <v>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4" s="3" customFormat="1" ht="12.75">
      <c r="A14" s="16" t="s">
        <v>24</v>
      </c>
      <c r="B14" s="13">
        <v>6</v>
      </c>
      <c r="C14" s="13">
        <v>46</v>
      </c>
      <c r="D14" s="13">
        <v>58</v>
      </c>
      <c r="E14" s="13">
        <v>284</v>
      </c>
      <c r="F14" s="13">
        <v>496</v>
      </c>
      <c r="G14" s="13">
        <v>1005</v>
      </c>
      <c r="H14" s="13">
        <v>832</v>
      </c>
      <c r="I14" s="13">
        <v>827</v>
      </c>
      <c r="J14" s="13">
        <v>509</v>
      </c>
      <c r="K14" s="13">
        <v>341</v>
      </c>
      <c r="L14" s="65">
        <v>64</v>
      </c>
      <c r="M14" s="95">
        <f>SUM(B14:L14)</f>
        <v>4468</v>
      </c>
      <c r="N14" s="197"/>
    </row>
    <row r="15" spans="1:14" s="3" customFormat="1" ht="12.75">
      <c r="A15" s="16" t="s">
        <v>23</v>
      </c>
      <c r="B15" s="13">
        <v>45</v>
      </c>
      <c r="C15" s="13">
        <v>59</v>
      </c>
      <c r="D15" s="13">
        <v>226</v>
      </c>
      <c r="E15" s="13">
        <v>587</v>
      </c>
      <c r="F15" s="13">
        <v>1182</v>
      </c>
      <c r="G15" s="13">
        <v>565</v>
      </c>
      <c r="H15" s="13">
        <v>1070</v>
      </c>
      <c r="I15" s="13">
        <v>1047</v>
      </c>
      <c r="J15" s="13">
        <v>665</v>
      </c>
      <c r="K15" s="65">
        <v>101</v>
      </c>
      <c r="L15" s="65"/>
      <c r="M15" s="95">
        <f>SUM(B15:L15)</f>
        <v>5547</v>
      </c>
      <c r="N15" s="170"/>
    </row>
    <row r="16" spans="1:14" s="3" customFormat="1" ht="12.75">
      <c r="A16" s="16" t="s">
        <v>21</v>
      </c>
      <c r="B16" s="13">
        <f aca="true" t="shared" si="1" ref="B16:G16">SUM(B14:B15)</f>
        <v>51</v>
      </c>
      <c r="C16" s="13">
        <f t="shared" si="1"/>
        <v>105</v>
      </c>
      <c r="D16" s="13">
        <f t="shared" si="1"/>
        <v>284</v>
      </c>
      <c r="E16" s="13">
        <f t="shared" si="1"/>
        <v>871</v>
      </c>
      <c r="F16" s="13">
        <f t="shared" si="1"/>
        <v>1678</v>
      </c>
      <c r="G16" s="13">
        <f t="shared" si="1"/>
        <v>1570</v>
      </c>
      <c r="H16" s="13">
        <f>SUM(H14:H15)</f>
        <v>1902</v>
      </c>
      <c r="I16" s="13">
        <f>SUM(I14:I15)</f>
        <v>1874</v>
      </c>
      <c r="J16" s="13">
        <f>SUM(J14:J15)</f>
        <v>1174</v>
      </c>
      <c r="K16" s="13">
        <f>SUM(K14:K15)</f>
        <v>442</v>
      </c>
      <c r="L16" s="65">
        <f>SUM(L14:L15)</f>
        <v>64</v>
      </c>
      <c r="M16" s="95">
        <f>SUM(B16:L16)</f>
        <v>10015</v>
      </c>
      <c r="N16" s="170"/>
    </row>
    <row r="17" spans="1:14" s="3" customFormat="1" ht="12.75">
      <c r="A17" s="23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69"/>
      <c r="M17" s="69"/>
      <c r="N17" s="197"/>
    </row>
    <row r="18" spans="1:13" s="3" customFormat="1" ht="12.75">
      <c r="A18" s="56" t="s">
        <v>24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s="3" customFormat="1" ht="12.75">
      <c r="A19" s="49" t="s">
        <v>72</v>
      </c>
      <c r="B19" s="46" t="s">
        <v>8</v>
      </c>
      <c r="C19" s="46" t="s">
        <v>8</v>
      </c>
      <c r="D19" s="46" t="s">
        <v>8</v>
      </c>
      <c r="E19" s="46" t="s">
        <v>8</v>
      </c>
      <c r="F19" s="46" t="s">
        <v>8</v>
      </c>
      <c r="G19" s="46" t="s">
        <v>8</v>
      </c>
      <c r="H19" s="46" t="s">
        <v>8</v>
      </c>
      <c r="I19" s="51" t="s">
        <v>8</v>
      </c>
      <c r="J19" s="51" t="s">
        <v>8</v>
      </c>
      <c r="K19" s="51" t="s">
        <v>8</v>
      </c>
      <c r="L19" s="51" t="s">
        <v>8</v>
      </c>
      <c r="M19" s="46" t="s">
        <v>8</v>
      </c>
    </row>
    <row r="20" spans="1:13" ht="12.75">
      <c r="A20" s="16" t="s">
        <v>73</v>
      </c>
      <c r="B20" s="13">
        <v>11</v>
      </c>
      <c r="C20" s="13">
        <v>2896</v>
      </c>
      <c r="D20" s="13">
        <v>7239</v>
      </c>
      <c r="E20" s="13">
        <v>6515</v>
      </c>
      <c r="F20" s="13">
        <v>16620</v>
      </c>
      <c r="G20" s="13">
        <v>22470</v>
      </c>
      <c r="H20" s="13">
        <v>24369</v>
      </c>
      <c r="I20" s="13">
        <v>17726</v>
      </c>
      <c r="J20" s="13">
        <v>15432</v>
      </c>
      <c r="K20" s="13">
        <v>18181</v>
      </c>
      <c r="L20" s="13">
        <v>6961</v>
      </c>
      <c r="M20" s="92">
        <f>SUM(B20:L20)</f>
        <v>138420</v>
      </c>
    </row>
    <row r="21" spans="1:13" ht="12.75">
      <c r="A21" s="16" t="s">
        <v>74</v>
      </c>
      <c r="B21" s="13">
        <v>173</v>
      </c>
      <c r="C21" s="13">
        <v>56330</v>
      </c>
      <c r="D21" s="13">
        <v>109981</v>
      </c>
      <c r="E21" s="13">
        <v>82996</v>
      </c>
      <c r="F21" s="13">
        <v>351179</v>
      </c>
      <c r="G21" s="13">
        <v>449400</v>
      </c>
      <c r="H21" s="13">
        <v>487379</v>
      </c>
      <c r="I21" s="13">
        <v>354528</v>
      </c>
      <c r="J21" s="13">
        <v>308648</v>
      </c>
      <c r="K21" s="13">
        <v>363625</v>
      </c>
      <c r="L21" s="13">
        <v>139211</v>
      </c>
      <c r="M21" s="92">
        <f>SUM(B21:L21)</f>
        <v>2703450</v>
      </c>
    </row>
    <row r="22" spans="1:13" ht="12.75">
      <c r="A22" s="23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2.75">
      <c r="A23" s="49" t="s">
        <v>135</v>
      </c>
      <c r="B23" s="50" t="s">
        <v>11</v>
      </c>
      <c r="C23" s="50" t="s">
        <v>11</v>
      </c>
      <c r="D23" s="50" t="s">
        <v>11</v>
      </c>
      <c r="E23" s="50" t="s">
        <v>11</v>
      </c>
      <c r="F23" s="50" t="s">
        <v>11</v>
      </c>
      <c r="G23" s="50" t="s">
        <v>11</v>
      </c>
      <c r="H23" s="50" t="s">
        <v>11</v>
      </c>
      <c r="I23" s="105" t="s">
        <v>11</v>
      </c>
      <c r="J23" s="105" t="s">
        <v>11</v>
      </c>
      <c r="K23" s="105" t="s">
        <v>11</v>
      </c>
      <c r="L23" s="105" t="s">
        <v>11</v>
      </c>
      <c r="M23" s="50" t="s">
        <v>11</v>
      </c>
    </row>
    <row r="24" spans="1:13" ht="12.75">
      <c r="A24" s="16" t="s">
        <v>75</v>
      </c>
      <c r="B24" s="13">
        <v>8</v>
      </c>
      <c r="C24" s="13">
        <v>1142</v>
      </c>
      <c r="D24" s="13">
        <v>1743</v>
      </c>
      <c r="E24" s="13">
        <v>2644</v>
      </c>
      <c r="F24" s="13">
        <v>7386</v>
      </c>
      <c r="G24" s="13">
        <v>18725</v>
      </c>
      <c r="H24" s="13">
        <v>20307</v>
      </c>
      <c r="I24" s="13">
        <v>14772</v>
      </c>
      <c r="J24" s="13">
        <v>12860</v>
      </c>
      <c r="K24" s="13">
        <v>15151</v>
      </c>
      <c r="L24" s="13">
        <v>5800</v>
      </c>
      <c r="M24" s="92">
        <f>SUM(B24:L24)</f>
        <v>100538</v>
      </c>
    </row>
    <row r="25" spans="1:13" ht="12.75">
      <c r="A25" s="4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2.75">
      <c r="A26" s="49" t="s">
        <v>77</v>
      </c>
      <c r="B26" s="50" t="s">
        <v>13</v>
      </c>
      <c r="C26" s="50" t="s">
        <v>13</v>
      </c>
      <c r="D26" s="50" t="s">
        <v>13</v>
      </c>
      <c r="E26" s="50" t="s">
        <v>13</v>
      </c>
      <c r="F26" s="50" t="s">
        <v>13</v>
      </c>
      <c r="G26" s="50" t="s">
        <v>13</v>
      </c>
      <c r="H26" s="50" t="s">
        <v>13</v>
      </c>
      <c r="I26" s="105" t="s">
        <v>13</v>
      </c>
      <c r="J26" s="105" t="s">
        <v>13</v>
      </c>
      <c r="K26" s="105" t="s">
        <v>13</v>
      </c>
      <c r="L26" s="105" t="s">
        <v>13</v>
      </c>
      <c r="M26" s="50" t="s">
        <v>13</v>
      </c>
    </row>
    <row r="27" spans="1:13" ht="12.75">
      <c r="A27" s="16" t="s">
        <v>14</v>
      </c>
      <c r="B27" s="13">
        <v>0</v>
      </c>
      <c r="C27" s="13">
        <v>4161</v>
      </c>
      <c r="D27" s="13">
        <v>1664</v>
      </c>
      <c r="E27" s="13">
        <v>0</v>
      </c>
      <c r="F27" s="13">
        <v>0</v>
      </c>
      <c r="G27" s="13">
        <v>0</v>
      </c>
      <c r="H27" s="13"/>
      <c r="I27" s="13"/>
      <c r="J27" s="13"/>
      <c r="K27" s="13"/>
      <c r="L27" s="13"/>
      <c r="M27" s="92">
        <f>SUM(B27:L27)</f>
        <v>5825</v>
      </c>
    </row>
    <row r="28" spans="1:13" ht="12.75">
      <c r="A28" s="16" t="s">
        <v>76</v>
      </c>
      <c r="B28" s="13">
        <v>0</v>
      </c>
      <c r="C28" s="13">
        <v>83220</v>
      </c>
      <c r="D28" s="13">
        <v>33288</v>
      </c>
      <c r="E28" s="13">
        <v>0</v>
      </c>
      <c r="F28" s="13">
        <v>0</v>
      </c>
      <c r="G28" s="13">
        <v>0</v>
      </c>
      <c r="H28" s="13"/>
      <c r="I28" s="13"/>
      <c r="J28" s="13"/>
      <c r="K28" s="13"/>
      <c r="L28" s="13"/>
      <c r="M28" s="92">
        <f>SUM(B28:L28)</f>
        <v>116508</v>
      </c>
    </row>
    <row r="30" spans="1:2" ht="12.75">
      <c r="A30" s="73" t="s">
        <v>23</v>
      </c>
      <c r="B30" s="7"/>
    </row>
    <row r="31" spans="1:13" ht="12.75">
      <c r="A31" s="49" t="s">
        <v>72</v>
      </c>
      <c r="B31" s="46" t="s">
        <v>8</v>
      </c>
      <c r="C31" s="46" t="s">
        <v>8</v>
      </c>
      <c r="D31" s="46" t="s">
        <v>8</v>
      </c>
      <c r="E31" s="46" t="s">
        <v>8</v>
      </c>
      <c r="F31" s="46" t="s">
        <v>8</v>
      </c>
      <c r="G31" s="46" t="s">
        <v>8</v>
      </c>
      <c r="H31" s="46" t="s">
        <v>8</v>
      </c>
      <c r="I31" s="51" t="s">
        <v>8</v>
      </c>
      <c r="J31" s="51" t="s">
        <v>8</v>
      </c>
      <c r="K31" s="51" t="s">
        <v>8</v>
      </c>
      <c r="L31" s="51" t="s">
        <v>8</v>
      </c>
      <c r="M31" s="46" t="s">
        <v>8</v>
      </c>
    </row>
    <row r="32" spans="1:13" ht="12.75">
      <c r="A32" s="16" t="s">
        <v>73</v>
      </c>
      <c r="B32" s="13"/>
      <c r="C32" s="13"/>
      <c r="D32" s="13"/>
      <c r="E32" s="13"/>
      <c r="F32" s="13">
        <v>83601</v>
      </c>
      <c r="G32" s="13">
        <v>35316</v>
      </c>
      <c r="H32" s="13">
        <v>25757</v>
      </c>
      <c r="I32" s="13">
        <v>64262</v>
      </c>
      <c r="J32" s="13">
        <v>48452</v>
      </c>
      <c r="K32" s="13">
        <v>16435</v>
      </c>
      <c r="L32" s="13">
        <v>5239</v>
      </c>
      <c r="M32" s="92">
        <f>SUM(B32:L32)</f>
        <v>279062</v>
      </c>
    </row>
    <row r="33" spans="1:13" ht="12.75">
      <c r="A33" s="16" t="s">
        <v>74</v>
      </c>
      <c r="B33" s="13"/>
      <c r="C33" s="13"/>
      <c r="D33" s="13"/>
      <c r="E33" s="13"/>
      <c r="F33" s="13">
        <v>1488376</v>
      </c>
      <c r="G33" s="13">
        <v>706325</v>
      </c>
      <c r="H33" s="13">
        <v>515130</v>
      </c>
      <c r="I33" s="13">
        <v>1285248</v>
      </c>
      <c r="J33" s="13">
        <v>969030</v>
      </c>
      <c r="K33" s="13">
        <v>328695</v>
      </c>
      <c r="L33" s="13">
        <v>104779</v>
      </c>
      <c r="M33" s="92">
        <f>SUM(B33:L33)</f>
        <v>5397583</v>
      </c>
    </row>
    <row r="34" spans="1:13" ht="12.75">
      <c r="A34" s="23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75">
      <c r="A35" s="49" t="s">
        <v>135</v>
      </c>
      <c r="B35" s="50" t="s">
        <v>11</v>
      </c>
      <c r="C35" s="50" t="s">
        <v>11</v>
      </c>
      <c r="D35" s="50" t="s">
        <v>11</v>
      </c>
      <c r="E35" s="50" t="s">
        <v>11</v>
      </c>
      <c r="F35" s="50" t="s">
        <v>11</v>
      </c>
      <c r="G35" s="50" t="s">
        <v>11</v>
      </c>
      <c r="H35" s="50" t="s">
        <v>11</v>
      </c>
      <c r="I35" s="105" t="s">
        <v>11</v>
      </c>
      <c r="J35" s="105" t="s">
        <v>11</v>
      </c>
      <c r="K35" s="105" t="s">
        <v>11</v>
      </c>
      <c r="L35" s="105" t="s">
        <v>11</v>
      </c>
      <c r="M35" s="105" t="s">
        <v>11</v>
      </c>
    </row>
    <row r="36" spans="1:25" ht="12.75">
      <c r="A36" s="16" t="s">
        <v>75</v>
      </c>
      <c r="B36" s="13"/>
      <c r="C36" s="13"/>
      <c r="D36" s="13"/>
      <c r="E36" s="13"/>
      <c r="F36" s="13">
        <v>38148</v>
      </c>
      <c r="G36" s="13">
        <v>29430</v>
      </c>
      <c r="H36" s="13">
        <v>21464</v>
      </c>
      <c r="I36" s="13">
        <v>53552</v>
      </c>
      <c r="J36" s="13">
        <v>40376</v>
      </c>
      <c r="K36" s="13">
        <v>13696</v>
      </c>
      <c r="L36" s="13">
        <v>4366</v>
      </c>
      <c r="M36" s="92">
        <f>SUM(B36:L36)</f>
        <v>201032</v>
      </c>
      <c r="N36" s="10"/>
      <c r="O36" s="10"/>
      <c r="P36" s="10"/>
      <c r="Q36" s="10"/>
      <c r="R36" s="9"/>
      <c r="S36" s="9"/>
      <c r="T36" s="9"/>
      <c r="U36" s="9"/>
      <c r="V36" s="9"/>
      <c r="W36" s="9"/>
      <c r="X36" s="9"/>
      <c r="Y36" s="9"/>
    </row>
    <row r="37" spans="1:25" ht="12.75">
      <c r="A37" s="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9"/>
      <c r="S37" s="9"/>
      <c r="T37" s="9"/>
      <c r="U37" s="9"/>
      <c r="V37" s="9"/>
      <c r="W37" s="9"/>
      <c r="X37" s="9"/>
      <c r="Y37" s="9"/>
    </row>
    <row r="38" spans="1:25" ht="12.75">
      <c r="A38" s="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9"/>
      <c r="S38" s="9"/>
      <c r="T38" s="9"/>
      <c r="U38" s="9"/>
      <c r="V38" s="9"/>
      <c r="W38" s="9"/>
      <c r="X38" s="9"/>
      <c r="Y38" s="9"/>
    </row>
    <row r="39" spans="1:25" ht="12.75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2:17" ht="12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4" ht="12.75">
      <c r="A41" s="6"/>
      <c r="B41" s="8"/>
      <c r="N41" s="8"/>
    </row>
    <row r="42" ht="12.75">
      <c r="A42" s="2"/>
    </row>
    <row r="43" spans="1:17" ht="12.75">
      <c r="A43" s="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2" ht="12.75">
      <c r="A47" s="2"/>
      <c r="B47" s="8"/>
    </row>
    <row r="48" ht="12.75">
      <c r="A48" s="2"/>
    </row>
    <row r="49" spans="1:17" ht="12.75">
      <c r="A49" s="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sheetProtection/>
  <mergeCells count="2">
    <mergeCell ref="A1:M1"/>
    <mergeCell ref="A6:M6"/>
  </mergeCells>
  <printOptions/>
  <pageMargins left="0.75" right="0.75" top="1" bottom="1" header="0.5" footer="0.5"/>
  <pageSetup horizontalDpi="600" verticalDpi="600" orientation="landscape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F1" sqref="F1"/>
    </sheetView>
  </sheetViews>
  <sheetFormatPr defaultColWidth="10.7109375" defaultRowHeight="12.75"/>
  <cols>
    <col min="1" max="1" width="30.7109375" style="3" customWidth="1"/>
    <col min="2" max="2" width="15.421875" style="6" bestFit="1" customWidth="1"/>
    <col min="3" max="4" width="15.421875" style="6" customWidth="1"/>
    <col min="5" max="5" width="15.421875" style="6" bestFit="1" customWidth="1"/>
    <col min="6" max="16384" width="10.7109375" style="6" customWidth="1"/>
  </cols>
  <sheetData>
    <row r="1" spans="1:5" ht="15.75">
      <c r="A1" s="235" t="s">
        <v>269</v>
      </c>
      <c r="B1" s="236"/>
      <c r="C1" s="236"/>
      <c r="D1" s="236"/>
      <c r="E1" s="236"/>
    </row>
    <row r="2" spans="1:8" ht="12.75">
      <c r="A2" s="23"/>
      <c r="F2" s="3"/>
      <c r="G2" s="3"/>
      <c r="H2" s="3"/>
    </row>
    <row r="3" spans="1:8" ht="12.75">
      <c r="A3" s="33" t="s">
        <v>282</v>
      </c>
      <c r="B3" s="31">
        <v>2009</v>
      </c>
      <c r="C3" s="31">
        <v>2010</v>
      </c>
      <c r="D3" s="31">
        <v>2011</v>
      </c>
      <c r="E3" s="31" t="s">
        <v>1</v>
      </c>
      <c r="F3" s="3"/>
      <c r="G3" s="3"/>
      <c r="H3" s="3"/>
    </row>
    <row r="4" spans="1:8" ht="12.75">
      <c r="A4" s="20" t="s">
        <v>273</v>
      </c>
      <c r="B4" s="155">
        <v>54070980.4</v>
      </c>
      <c r="C4" s="155">
        <v>66771767.89</v>
      </c>
      <c r="D4" s="155">
        <v>41612455.1</v>
      </c>
      <c r="E4" s="155">
        <f>SUM(B4:D4)</f>
        <v>162455203.39</v>
      </c>
      <c r="F4" s="3"/>
      <c r="G4" s="3"/>
      <c r="H4" s="3"/>
    </row>
    <row r="5" spans="1:8" ht="12.75">
      <c r="A5" s="23"/>
      <c r="B5" s="156"/>
      <c r="C5" s="156"/>
      <c r="D5" s="156"/>
      <c r="E5" s="156"/>
      <c r="F5" s="3"/>
      <c r="G5" s="3"/>
      <c r="H5" s="3"/>
    </row>
    <row r="6" spans="1:8" ht="12.75">
      <c r="A6" s="33" t="s">
        <v>283</v>
      </c>
      <c r="B6" s="156"/>
      <c r="C6" s="156"/>
      <c r="D6" s="156"/>
      <c r="E6" s="156"/>
      <c r="F6" s="3"/>
      <c r="G6" s="3"/>
      <c r="H6" s="3"/>
    </row>
    <row r="7" spans="1:5" s="3" customFormat="1" ht="12.75">
      <c r="A7" s="16" t="s">
        <v>32</v>
      </c>
      <c r="B7" s="155">
        <v>8813207.72</v>
      </c>
      <c r="C7" s="155">
        <v>27829023.33</v>
      </c>
      <c r="D7" s="155">
        <v>21336854.39</v>
      </c>
      <c r="E7" s="155">
        <f>SUM(B7:D7)</f>
        <v>57979085.44</v>
      </c>
    </row>
    <row r="8" spans="1:5" s="3" customFormat="1" ht="12.75">
      <c r="A8" s="16" t="s">
        <v>20</v>
      </c>
      <c r="B8" s="155">
        <v>28631294</v>
      </c>
      <c r="C8" s="155">
        <v>27845676.43</v>
      </c>
      <c r="D8" s="155">
        <v>5152540.5</v>
      </c>
      <c r="E8" s="155">
        <f>SUM(B8:D8)</f>
        <v>61629510.93</v>
      </c>
    </row>
    <row r="9" spans="1:5" s="3" customFormat="1" ht="12.75">
      <c r="A9" s="16" t="s">
        <v>33</v>
      </c>
      <c r="B9" s="155">
        <f>SUM(B7:B8)</f>
        <v>37444501.72</v>
      </c>
      <c r="C9" s="155">
        <f>SUM(C7:C8)</f>
        <v>55674699.76</v>
      </c>
      <c r="D9" s="155">
        <f>SUM(D7:D8)</f>
        <v>26489394.89</v>
      </c>
      <c r="E9" s="155">
        <f>SUM(B9:D9)</f>
        <v>119608596.36999999</v>
      </c>
    </row>
    <row r="10" spans="1:5" s="3" customFormat="1" ht="12.75">
      <c r="A10" s="23"/>
      <c r="B10" s="46"/>
      <c r="C10" s="46"/>
      <c r="D10" s="46"/>
      <c r="E10" s="46"/>
    </row>
    <row r="11" spans="1:5" s="3" customFormat="1" ht="12.75">
      <c r="A11" s="49" t="s">
        <v>5</v>
      </c>
      <c r="B11" s="46"/>
      <c r="C11" s="46"/>
      <c r="D11" s="46"/>
      <c r="E11" s="46"/>
    </row>
    <row r="12" spans="1:7" s="3" customFormat="1" ht="12.75">
      <c r="A12" s="16" t="s">
        <v>24</v>
      </c>
      <c r="B12" s="13">
        <v>263</v>
      </c>
      <c r="C12" s="13">
        <v>1506</v>
      </c>
      <c r="D12" s="65">
        <v>1703</v>
      </c>
      <c r="E12" s="95">
        <f>SUM(B12:D12)</f>
        <v>3472</v>
      </c>
      <c r="F12" s="197"/>
      <c r="G12" s="197"/>
    </row>
    <row r="13" spans="1:7" s="3" customFormat="1" ht="12.75">
      <c r="A13" s="16" t="s">
        <v>23</v>
      </c>
      <c r="B13" s="13">
        <v>1710</v>
      </c>
      <c r="C13" s="65">
        <v>2394</v>
      </c>
      <c r="D13" s="65"/>
      <c r="E13" s="95">
        <f>SUM(B13:D13)</f>
        <v>4104</v>
      </c>
      <c r="F13" s="170"/>
      <c r="G13" s="197"/>
    </row>
    <row r="14" spans="1:7" s="3" customFormat="1" ht="12.75">
      <c r="A14" s="16" t="s">
        <v>21</v>
      </c>
      <c r="B14" s="13">
        <f>SUM(B12:B13)</f>
        <v>1973</v>
      </c>
      <c r="C14" s="13">
        <f>SUM(C12:C13)</f>
        <v>3900</v>
      </c>
      <c r="D14" s="65">
        <f>SUM(D12:D13)</f>
        <v>1703</v>
      </c>
      <c r="E14" s="95">
        <f>SUM(B14:D14)</f>
        <v>7576</v>
      </c>
      <c r="F14" s="170"/>
      <c r="G14" s="197"/>
    </row>
    <row r="15" spans="1:7" s="3" customFormat="1" ht="12.75">
      <c r="A15" s="23"/>
      <c r="B15" s="50"/>
      <c r="C15" s="50"/>
      <c r="D15" s="69"/>
      <c r="E15" s="69"/>
      <c r="F15" s="197"/>
      <c r="G15" s="197"/>
    </row>
    <row r="16" spans="1:7" s="3" customFormat="1" ht="12.75">
      <c r="A16" s="56" t="s">
        <v>24</v>
      </c>
      <c r="B16" s="46"/>
      <c r="C16" s="46"/>
      <c r="D16" s="77"/>
      <c r="E16" s="77"/>
      <c r="F16" s="197"/>
      <c r="G16" s="197"/>
    </row>
    <row r="17" spans="1:5" s="3" customFormat="1" ht="12.75">
      <c r="A17" s="49" t="s">
        <v>72</v>
      </c>
      <c r="B17" s="51" t="s">
        <v>8</v>
      </c>
      <c r="C17" s="51" t="s">
        <v>8</v>
      </c>
      <c r="D17" s="51" t="s">
        <v>8</v>
      </c>
      <c r="E17" s="46" t="s">
        <v>8</v>
      </c>
    </row>
    <row r="18" spans="1:5" ht="12.75">
      <c r="A18" s="16" t="s">
        <v>73</v>
      </c>
      <c r="B18" s="13">
        <v>2578</v>
      </c>
      <c r="C18" s="13">
        <v>19353</v>
      </c>
      <c r="D18" s="13">
        <v>21411</v>
      </c>
      <c r="E18" s="92">
        <f>SUM(B18:D18)</f>
        <v>43342</v>
      </c>
    </row>
    <row r="19" spans="1:5" ht="12.75">
      <c r="A19" s="16" t="s">
        <v>74</v>
      </c>
      <c r="B19" s="13">
        <v>51565</v>
      </c>
      <c r="C19" s="13">
        <v>387059</v>
      </c>
      <c r="D19" s="13">
        <v>428211</v>
      </c>
      <c r="E19" s="92">
        <f>SUM(B19:D19)</f>
        <v>866835</v>
      </c>
    </row>
    <row r="20" spans="1:5" ht="12.75">
      <c r="A20" s="23"/>
      <c r="B20" s="50"/>
      <c r="C20" s="50"/>
      <c r="D20" s="50"/>
      <c r="E20" s="50"/>
    </row>
    <row r="21" spans="1:5" ht="12.75">
      <c r="A21" s="49" t="s">
        <v>135</v>
      </c>
      <c r="B21" s="105" t="s">
        <v>11</v>
      </c>
      <c r="C21" s="105" t="s">
        <v>11</v>
      </c>
      <c r="D21" s="105" t="s">
        <v>11</v>
      </c>
      <c r="E21" s="50" t="s">
        <v>11</v>
      </c>
    </row>
    <row r="22" spans="1:5" ht="12.75">
      <c r="A22" s="16" t="s">
        <v>75</v>
      </c>
      <c r="B22" s="13">
        <v>2149</v>
      </c>
      <c r="C22" s="13">
        <v>16127</v>
      </c>
      <c r="D22" s="13">
        <v>17842</v>
      </c>
      <c r="E22" s="92">
        <f>SUM(B22:D22)</f>
        <v>36118</v>
      </c>
    </row>
    <row r="23" spans="1:5" ht="12.75">
      <c r="A23" s="46"/>
      <c r="B23" s="50"/>
      <c r="C23" s="50"/>
      <c r="D23" s="50"/>
      <c r="E23" s="50"/>
    </row>
    <row r="24" spans="1:6" ht="12.75">
      <c r="A24" s="207" t="s">
        <v>77</v>
      </c>
      <c r="B24" s="110" t="s">
        <v>13</v>
      </c>
      <c r="C24" s="110" t="s">
        <v>13</v>
      </c>
      <c r="D24" s="110"/>
      <c r="E24" s="69" t="s">
        <v>13</v>
      </c>
      <c r="F24" s="183"/>
    </row>
    <row r="25" spans="1:6" ht="12.75">
      <c r="A25" s="208" t="s">
        <v>14</v>
      </c>
      <c r="B25" s="65">
        <v>0</v>
      </c>
      <c r="C25" s="65"/>
      <c r="D25" s="65"/>
      <c r="E25" s="95">
        <f>SUM(B25:D25)</f>
        <v>0</v>
      </c>
      <c r="F25" s="79"/>
    </row>
    <row r="26" spans="1:6" ht="12.75">
      <c r="A26" s="208" t="s">
        <v>76</v>
      </c>
      <c r="B26" s="65">
        <v>0</v>
      </c>
      <c r="C26" s="65"/>
      <c r="D26" s="65"/>
      <c r="E26" s="95">
        <f>SUM(B26:D26)</f>
        <v>0</v>
      </c>
      <c r="F26" s="79"/>
    </row>
    <row r="28" ht="12.75">
      <c r="A28" s="73" t="s">
        <v>23</v>
      </c>
    </row>
    <row r="29" spans="1:5" ht="12.75">
      <c r="A29" s="49" t="s">
        <v>72</v>
      </c>
      <c r="B29" s="51" t="s">
        <v>8</v>
      </c>
      <c r="C29" s="51" t="s">
        <v>8</v>
      </c>
      <c r="D29" s="51" t="s">
        <v>8</v>
      </c>
      <c r="E29" s="46" t="s">
        <v>8</v>
      </c>
    </row>
    <row r="30" spans="1:5" ht="12.75">
      <c r="A30" s="16" t="s">
        <v>73</v>
      </c>
      <c r="B30" s="13">
        <v>25440</v>
      </c>
      <c r="C30" s="13">
        <v>33278</v>
      </c>
      <c r="D30" s="13">
        <v>7043</v>
      </c>
      <c r="E30" s="92">
        <f>SUM(B30:D30)</f>
        <v>65761</v>
      </c>
    </row>
    <row r="31" spans="1:5" ht="12.75">
      <c r="A31" s="16" t="s">
        <v>74</v>
      </c>
      <c r="B31" s="13">
        <v>508800</v>
      </c>
      <c r="C31" s="13">
        <v>665554</v>
      </c>
      <c r="D31" s="13">
        <v>140862</v>
      </c>
      <c r="E31" s="92">
        <f>SUM(B31:D31)</f>
        <v>1315216</v>
      </c>
    </row>
    <row r="32" spans="1:5" ht="12.75">
      <c r="A32" s="23"/>
      <c r="B32" s="50"/>
      <c r="C32" s="50"/>
      <c r="D32" s="50"/>
      <c r="E32" s="50"/>
    </row>
    <row r="33" spans="1:6" ht="12.75">
      <c r="A33" s="207" t="s">
        <v>135</v>
      </c>
      <c r="B33" s="110" t="s">
        <v>11</v>
      </c>
      <c r="C33" s="110" t="s">
        <v>11</v>
      </c>
      <c r="D33" s="110" t="s">
        <v>11</v>
      </c>
      <c r="E33" s="69" t="s">
        <v>11</v>
      </c>
      <c r="F33" s="183"/>
    </row>
    <row r="34" spans="1:17" ht="12.75">
      <c r="A34" s="208" t="s">
        <v>75</v>
      </c>
      <c r="B34" s="65">
        <v>21200</v>
      </c>
      <c r="C34" s="65">
        <v>27731</v>
      </c>
      <c r="D34" s="65">
        <v>5869</v>
      </c>
      <c r="E34" s="95">
        <f>SUM(B34:D34)</f>
        <v>54800</v>
      </c>
      <c r="F34" s="78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</row>
    <row r="35" spans="1:17" ht="12.75">
      <c r="A35" s="2"/>
      <c r="B35" s="10"/>
      <c r="C35" s="10"/>
      <c r="D35" s="10"/>
      <c r="E35" s="10"/>
      <c r="F35" s="10"/>
      <c r="G35" s="10"/>
      <c r="H35" s="10"/>
      <c r="I35" s="10"/>
      <c r="J35" s="9"/>
      <c r="K35" s="9"/>
      <c r="L35" s="9"/>
      <c r="M35" s="9"/>
      <c r="N35" s="9"/>
      <c r="O35" s="9"/>
      <c r="P35" s="9"/>
      <c r="Q35" s="9"/>
    </row>
    <row r="36" spans="1:17" ht="12.75">
      <c r="A36" s="2"/>
      <c r="B36" s="10"/>
      <c r="C36" s="10"/>
      <c r="D36" s="10"/>
      <c r="E36" s="10"/>
      <c r="F36" s="10"/>
      <c r="G36" s="10"/>
      <c r="H36" s="10"/>
      <c r="I36" s="10"/>
      <c r="J36" s="9"/>
      <c r="K36" s="9"/>
      <c r="L36" s="9"/>
      <c r="M36" s="9"/>
      <c r="N36" s="9"/>
      <c r="O36" s="9"/>
      <c r="P36" s="9"/>
      <c r="Q36" s="9"/>
    </row>
    <row r="37" spans="1:17" ht="12.7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9" ht="12.75">
      <c r="B38" s="9"/>
      <c r="C38" s="9"/>
      <c r="D38" s="9"/>
      <c r="E38" s="9"/>
      <c r="F38" s="9"/>
      <c r="G38" s="9"/>
      <c r="H38" s="9"/>
      <c r="I38" s="9"/>
    </row>
    <row r="39" spans="1:6" ht="12.75">
      <c r="A39" s="6"/>
      <c r="F39" s="8"/>
    </row>
    <row r="40" ht="12.75">
      <c r="A40" s="2"/>
    </row>
    <row r="41" spans="1:9" ht="12.75">
      <c r="A41" s="2"/>
      <c r="B41" s="10"/>
      <c r="C41" s="10"/>
      <c r="D41" s="10"/>
      <c r="E41" s="10"/>
      <c r="F41" s="10"/>
      <c r="G41" s="10"/>
      <c r="H41" s="10"/>
      <c r="I41" s="10"/>
    </row>
    <row r="42" spans="1:9" ht="12.75">
      <c r="A42" s="2"/>
      <c r="B42" s="10"/>
      <c r="C42" s="10"/>
      <c r="D42" s="10"/>
      <c r="E42" s="10"/>
      <c r="F42" s="10"/>
      <c r="G42" s="10"/>
      <c r="H42" s="10"/>
      <c r="I42" s="10"/>
    </row>
    <row r="43" spans="1:9" ht="12.75">
      <c r="A43" s="2"/>
      <c r="B43" s="10"/>
      <c r="C43" s="10"/>
      <c r="D43" s="10"/>
      <c r="E43" s="10"/>
      <c r="F43" s="10"/>
      <c r="G43" s="10"/>
      <c r="H43" s="10"/>
      <c r="I43" s="10"/>
    </row>
    <row r="44" spans="1:9" ht="12.75">
      <c r="A44" s="2"/>
      <c r="B44" s="9"/>
      <c r="C44" s="9"/>
      <c r="D44" s="9"/>
      <c r="E44" s="9"/>
      <c r="F44" s="9"/>
      <c r="G44" s="9"/>
      <c r="H44" s="9"/>
      <c r="I44" s="9"/>
    </row>
    <row r="45" ht="12.75">
      <c r="A45" s="2"/>
    </row>
    <row r="46" ht="12.75">
      <c r="A46" s="2"/>
    </row>
    <row r="47" spans="1:9" ht="12.75">
      <c r="A47" s="2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2"/>
      <c r="B48" s="11"/>
      <c r="C48" s="11"/>
      <c r="D48" s="11"/>
      <c r="E48" s="11"/>
      <c r="F48" s="11"/>
      <c r="G48" s="11"/>
      <c r="H48" s="11"/>
      <c r="I48" s="11"/>
    </row>
    <row r="49" spans="1:9" ht="12.75">
      <c r="A49" s="2"/>
      <c r="B49" s="10"/>
      <c r="C49" s="10"/>
      <c r="D49" s="10"/>
      <c r="E49" s="10"/>
      <c r="F49" s="10"/>
      <c r="G49" s="10"/>
      <c r="H49" s="10"/>
      <c r="I49" s="10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H1" sqref="H1"/>
    </sheetView>
  </sheetViews>
  <sheetFormatPr defaultColWidth="10.7109375" defaultRowHeight="12.75"/>
  <cols>
    <col min="1" max="1" width="30.7109375" style="3" customWidth="1"/>
    <col min="2" max="2" width="10.8515625" style="6" bestFit="1" customWidth="1"/>
    <col min="3" max="3" width="11.140625" style="6" bestFit="1" customWidth="1"/>
    <col min="4" max="4" width="10.8515625" style="6" bestFit="1" customWidth="1"/>
    <col min="5" max="6" width="10.8515625" style="6" customWidth="1"/>
    <col min="7" max="7" width="11.140625" style="6" bestFit="1" customWidth="1"/>
    <col min="8" max="16384" width="10.7109375" style="6" customWidth="1"/>
  </cols>
  <sheetData>
    <row r="1" spans="1:7" ht="15.75">
      <c r="A1" s="235" t="s">
        <v>259</v>
      </c>
      <c r="B1" s="236"/>
      <c r="C1" s="236"/>
      <c r="D1" s="236"/>
      <c r="E1" s="236"/>
      <c r="F1" s="236"/>
      <c r="G1" s="236"/>
    </row>
    <row r="2" spans="1:10" ht="12.75">
      <c r="A2" s="23"/>
      <c r="H2" s="3"/>
      <c r="I2" s="3"/>
      <c r="J2" s="3"/>
    </row>
    <row r="3" spans="1:10" ht="12.75">
      <c r="A3" s="33" t="s">
        <v>282</v>
      </c>
      <c r="B3" s="31">
        <v>2007</v>
      </c>
      <c r="C3" s="31">
        <v>2008</v>
      </c>
      <c r="D3" s="31">
        <v>2009</v>
      </c>
      <c r="E3" s="31">
        <v>2010</v>
      </c>
      <c r="F3" s="31">
        <v>2011</v>
      </c>
      <c r="G3" s="31" t="s">
        <v>1</v>
      </c>
      <c r="H3" s="3"/>
      <c r="I3" s="3"/>
      <c r="J3" s="3"/>
    </row>
    <row r="4" spans="1:10" ht="12.75">
      <c r="A4" s="20"/>
      <c r="B4" s="15">
        <f>842*1000</f>
        <v>842000</v>
      </c>
      <c r="C4" s="15">
        <f>1659*1000</f>
        <v>1659000</v>
      </c>
      <c r="D4" s="15"/>
      <c r="E4" s="15"/>
      <c r="F4" s="15"/>
      <c r="G4" s="15">
        <f>SUM(B4:F4)</f>
        <v>2501000</v>
      </c>
      <c r="H4" s="3"/>
      <c r="I4" s="3"/>
      <c r="J4" s="3"/>
    </row>
    <row r="5" spans="1:10" ht="12.75">
      <c r="A5" s="23"/>
      <c r="B5" s="46"/>
      <c r="C5" s="46"/>
      <c r="D5" s="46"/>
      <c r="E5" s="46"/>
      <c r="F5" s="46"/>
      <c r="G5" s="46"/>
      <c r="H5" s="3"/>
      <c r="I5" s="3"/>
      <c r="J5" s="3"/>
    </row>
    <row r="6" spans="1:10" ht="12.75">
      <c r="A6" s="33" t="s">
        <v>283</v>
      </c>
      <c r="B6" s="47"/>
      <c r="C6" s="47"/>
      <c r="D6" s="47"/>
      <c r="E6" s="47"/>
      <c r="F6" s="47"/>
      <c r="G6" s="46"/>
      <c r="H6" s="3"/>
      <c r="I6" s="3"/>
      <c r="J6" s="3"/>
    </row>
    <row r="7" spans="1:7" s="3" customFormat="1" ht="12.75">
      <c r="A7" s="16" t="s">
        <v>32</v>
      </c>
      <c r="B7" s="15">
        <f>289*1000</f>
        <v>289000</v>
      </c>
      <c r="C7" s="15">
        <f>876*1000</f>
        <v>876000</v>
      </c>
      <c r="D7" s="15"/>
      <c r="E7" s="15"/>
      <c r="F7" s="15"/>
      <c r="G7" s="15">
        <f>SUM(B7:F7)</f>
        <v>1165000</v>
      </c>
    </row>
    <row r="8" spans="1:7" s="3" customFormat="1" ht="12.75">
      <c r="A8" s="23"/>
      <c r="B8" s="46"/>
      <c r="C8" s="46"/>
      <c r="D8" s="46"/>
      <c r="E8" s="46"/>
      <c r="F8" s="46"/>
      <c r="G8" s="46"/>
    </row>
    <row r="9" spans="1:7" s="3" customFormat="1" ht="12.75">
      <c r="A9" s="49" t="s">
        <v>5</v>
      </c>
      <c r="B9" s="46"/>
      <c r="C9" s="46"/>
      <c r="D9" s="46"/>
      <c r="E9" s="46"/>
      <c r="F9" s="46"/>
      <c r="G9" s="46"/>
    </row>
    <row r="10" spans="1:7" s="3" customFormat="1" ht="12.75">
      <c r="A10" s="21" t="s">
        <v>386</v>
      </c>
      <c r="B10" s="13">
        <v>2</v>
      </c>
      <c r="C10" s="65">
        <v>1023</v>
      </c>
      <c r="D10" s="65">
        <v>101</v>
      </c>
      <c r="E10" s="65">
        <v>589</v>
      </c>
      <c r="F10" s="65">
        <v>4356</v>
      </c>
      <c r="G10" s="13">
        <f>SUM(B10:F10)</f>
        <v>6071</v>
      </c>
    </row>
    <row r="11" spans="1:7" s="3" customFormat="1" ht="12.75">
      <c r="A11" s="23"/>
      <c r="B11" s="50"/>
      <c r="C11" s="50"/>
      <c r="D11" s="50"/>
      <c r="E11" s="50"/>
      <c r="F11" s="50"/>
      <c r="G11" s="50"/>
    </row>
    <row r="12" spans="1:7" s="3" customFormat="1" ht="12.75">
      <c r="A12" s="56" t="s">
        <v>24</v>
      </c>
      <c r="B12" s="46"/>
      <c r="C12" s="46"/>
      <c r="D12" s="46"/>
      <c r="E12" s="46"/>
      <c r="F12" s="46"/>
      <c r="G12" s="50"/>
    </row>
    <row r="13" spans="1:7" s="3" customFormat="1" ht="12.75">
      <c r="A13" s="49" t="s">
        <v>72</v>
      </c>
      <c r="B13" s="46" t="s">
        <v>8</v>
      </c>
      <c r="C13" s="51" t="s">
        <v>8</v>
      </c>
      <c r="D13" s="51" t="s">
        <v>8</v>
      </c>
      <c r="E13" s="51" t="s">
        <v>8</v>
      </c>
      <c r="F13" s="51" t="s">
        <v>8</v>
      </c>
      <c r="G13" s="50" t="s">
        <v>8</v>
      </c>
    </row>
    <row r="14" spans="1:7" ht="12.75">
      <c r="A14" s="16" t="s">
        <v>73</v>
      </c>
      <c r="B14" s="13">
        <v>16</v>
      </c>
      <c r="C14" s="13">
        <v>10120</v>
      </c>
      <c r="D14" s="13">
        <v>41123</v>
      </c>
      <c r="E14" s="13">
        <v>174920</v>
      </c>
      <c r="F14" s="13">
        <v>353694</v>
      </c>
      <c r="G14" s="13">
        <f>SUM(B14:F14)</f>
        <v>579873</v>
      </c>
    </row>
    <row r="15" spans="1:7" ht="12.75">
      <c r="A15" s="16" t="s">
        <v>74</v>
      </c>
      <c r="B15" s="13">
        <v>312</v>
      </c>
      <c r="C15" s="13">
        <v>202392</v>
      </c>
      <c r="D15" s="13">
        <v>822467</v>
      </c>
      <c r="E15" s="13">
        <v>3498394</v>
      </c>
      <c r="F15" s="13">
        <v>7073890</v>
      </c>
      <c r="G15" s="13">
        <f>SUM(B15:F15)</f>
        <v>11597455</v>
      </c>
    </row>
    <row r="16" spans="1:7" ht="12.75">
      <c r="A16" s="23"/>
      <c r="B16" s="50"/>
      <c r="C16" s="50"/>
      <c r="D16" s="50"/>
      <c r="E16" s="50"/>
      <c r="F16" s="50"/>
      <c r="G16" s="50"/>
    </row>
    <row r="17" spans="1:7" ht="12.75">
      <c r="A17" s="49" t="s">
        <v>135</v>
      </c>
      <c r="B17" s="50" t="s">
        <v>11</v>
      </c>
      <c r="C17" s="105" t="s">
        <v>11</v>
      </c>
      <c r="D17" s="105" t="s">
        <v>11</v>
      </c>
      <c r="E17" s="105" t="s">
        <v>11</v>
      </c>
      <c r="F17" s="105" t="s">
        <v>11</v>
      </c>
      <c r="G17" s="50" t="s">
        <v>11</v>
      </c>
    </row>
    <row r="18" spans="1:7" ht="12.75">
      <c r="A18" s="16" t="s">
        <v>75</v>
      </c>
      <c r="B18" s="13">
        <v>13</v>
      </c>
      <c r="C18" s="13">
        <v>8433</v>
      </c>
      <c r="D18" s="13">
        <v>34269</v>
      </c>
      <c r="E18" s="13">
        <v>145766</v>
      </c>
      <c r="F18" s="13">
        <v>294745</v>
      </c>
      <c r="G18" s="13">
        <f>SUM(B18:F18)</f>
        <v>483226</v>
      </c>
    </row>
    <row r="19" spans="1:7" ht="12.75">
      <c r="A19" s="46"/>
      <c r="B19" s="50"/>
      <c r="C19" s="50"/>
      <c r="D19" s="50"/>
      <c r="E19" s="50"/>
      <c r="F19" s="50"/>
      <c r="G19" s="50"/>
    </row>
    <row r="20" ht="12.75">
      <c r="A20" s="73" t="s">
        <v>23</v>
      </c>
    </row>
    <row r="21" spans="1:7" ht="12.75">
      <c r="A21" s="49" t="s">
        <v>72</v>
      </c>
      <c r="B21" s="46" t="s">
        <v>8</v>
      </c>
      <c r="C21" s="51" t="s">
        <v>8</v>
      </c>
      <c r="D21" s="51" t="s">
        <v>8</v>
      </c>
      <c r="E21" s="51" t="s">
        <v>8</v>
      </c>
      <c r="F21" s="51" t="s">
        <v>8</v>
      </c>
      <c r="G21" s="46"/>
    </row>
    <row r="22" spans="1:7" ht="12.75">
      <c r="A22" s="16" t="s">
        <v>73</v>
      </c>
      <c r="B22" s="13"/>
      <c r="C22" s="13"/>
      <c r="D22" s="13">
        <v>65002</v>
      </c>
      <c r="E22" s="13">
        <v>212449</v>
      </c>
      <c r="F22" s="13">
        <v>694020</v>
      </c>
      <c r="G22" s="50"/>
    </row>
    <row r="23" spans="1:7" ht="12.75">
      <c r="A23" s="16" t="s">
        <v>74</v>
      </c>
      <c r="B23" s="13"/>
      <c r="C23" s="13"/>
      <c r="D23" s="13">
        <v>1300036</v>
      </c>
      <c r="E23" s="13">
        <v>4248971</v>
      </c>
      <c r="F23" s="13">
        <v>13880410</v>
      </c>
      <c r="G23" s="50"/>
    </row>
    <row r="24" spans="1:7" ht="12.75">
      <c r="A24" s="23"/>
      <c r="B24" s="50"/>
      <c r="C24" s="50"/>
      <c r="D24" s="50"/>
      <c r="E24" s="50"/>
      <c r="F24" s="50"/>
      <c r="G24" s="50"/>
    </row>
    <row r="25" spans="1:7" ht="12.75">
      <c r="A25" s="49" t="s">
        <v>135</v>
      </c>
      <c r="B25" s="50" t="s">
        <v>11</v>
      </c>
      <c r="C25" s="105" t="s">
        <v>11</v>
      </c>
      <c r="D25" s="105" t="s">
        <v>11</v>
      </c>
      <c r="E25" s="105" t="s">
        <v>11</v>
      </c>
      <c r="F25" s="105" t="s">
        <v>11</v>
      </c>
      <c r="G25" s="50"/>
    </row>
    <row r="26" spans="1:19" ht="12.75">
      <c r="A26" s="16" t="s">
        <v>75</v>
      </c>
      <c r="B26" s="13"/>
      <c r="C26" s="13"/>
      <c r="D26" s="13">
        <v>54168</v>
      </c>
      <c r="E26" s="13">
        <v>177040</v>
      </c>
      <c r="F26" s="13">
        <v>578350</v>
      </c>
      <c r="G26" s="50"/>
      <c r="H26" s="10"/>
      <c r="I26" s="10"/>
      <c r="J26" s="10"/>
      <c r="K26" s="10"/>
      <c r="L26" s="9"/>
      <c r="M26" s="9"/>
      <c r="N26" s="9"/>
      <c r="O26" s="9"/>
      <c r="P26" s="9"/>
      <c r="Q26" s="9"/>
      <c r="R26" s="9"/>
      <c r="S26" s="9"/>
    </row>
    <row r="27" spans="1:19" ht="12.7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1" ht="12.75">
      <c r="A28" s="7" t="s">
        <v>327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8" ht="12.75">
      <c r="A29" s="6"/>
      <c r="H29" s="8"/>
    </row>
    <row r="30" ht="12.75">
      <c r="A30" s="2"/>
    </row>
    <row r="31" spans="1:11" ht="12.75">
      <c r="A31" s="2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2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2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ht="12.75">
      <c r="A35" s="2"/>
    </row>
    <row r="36" ht="12.75">
      <c r="A36" s="2"/>
    </row>
    <row r="37" spans="1:11" ht="12.75">
      <c r="A37" s="2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2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M1" sqref="M1"/>
    </sheetView>
  </sheetViews>
  <sheetFormatPr defaultColWidth="10.7109375" defaultRowHeight="12.75"/>
  <cols>
    <col min="1" max="1" width="40.421875" style="3" customWidth="1"/>
    <col min="2" max="2" width="12.00390625" style="6" bestFit="1" customWidth="1"/>
    <col min="3" max="3" width="12.140625" style="6" bestFit="1" customWidth="1"/>
    <col min="4" max="6" width="12.7109375" style="6" bestFit="1" customWidth="1"/>
    <col min="7" max="7" width="12.00390625" style="6" bestFit="1" customWidth="1"/>
    <col min="8" max="8" width="12.7109375" style="6" bestFit="1" customWidth="1"/>
    <col min="9" max="9" width="10.140625" style="6" customWidth="1"/>
    <col min="10" max="10" width="11.7109375" style="6" customWidth="1"/>
    <col min="11" max="11" width="11.28125" style="6" customWidth="1"/>
    <col min="12" max="12" width="13.28125" style="6" bestFit="1" customWidth="1"/>
    <col min="13" max="16384" width="10.7109375" style="6" customWidth="1"/>
  </cols>
  <sheetData>
    <row r="1" spans="1:12" ht="15.75">
      <c r="A1" s="235" t="s">
        <v>172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5" ht="12.75">
      <c r="A2" s="49" t="s">
        <v>361</v>
      </c>
      <c r="M2" s="3"/>
      <c r="N2" s="3"/>
      <c r="O2" s="3"/>
    </row>
    <row r="3" spans="1:15" ht="25.5">
      <c r="A3" s="49" t="s">
        <v>348</v>
      </c>
      <c r="B3" s="31">
        <v>2001</v>
      </c>
      <c r="C3" s="31">
        <v>2002</v>
      </c>
      <c r="D3" s="31" t="s">
        <v>328</v>
      </c>
      <c r="E3" s="31">
        <v>2004</v>
      </c>
      <c r="F3" s="31">
        <v>2005</v>
      </c>
      <c r="G3" s="31">
        <v>2006</v>
      </c>
      <c r="H3" s="31">
        <v>2007</v>
      </c>
      <c r="I3" s="31">
        <v>2008</v>
      </c>
      <c r="J3" s="31">
        <v>2009</v>
      </c>
      <c r="K3" s="31">
        <v>2010</v>
      </c>
      <c r="L3" s="162" t="s">
        <v>312</v>
      </c>
      <c r="M3" s="3"/>
      <c r="N3" s="3"/>
      <c r="O3" s="3"/>
    </row>
    <row r="4" spans="1:15" ht="12.75">
      <c r="A4" s="37" t="s">
        <v>127</v>
      </c>
      <c r="B4" s="76">
        <f>11500*1000</f>
        <v>11500000</v>
      </c>
      <c r="C4" s="76">
        <f>14916*1000</f>
        <v>14916000</v>
      </c>
      <c r="D4" s="131"/>
      <c r="E4" s="76">
        <v>2000000</v>
      </c>
      <c r="F4" s="76">
        <v>2000000</v>
      </c>
      <c r="G4" s="76"/>
      <c r="H4" s="76"/>
      <c r="I4" s="76"/>
      <c r="J4" s="76"/>
      <c r="K4" s="76"/>
      <c r="L4" s="76"/>
      <c r="M4" s="3"/>
      <c r="N4" s="3"/>
      <c r="O4" s="3"/>
    </row>
    <row r="5" spans="1:15" ht="25.5">
      <c r="A5" s="44" t="s">
        <v>113</v>
      </c>
      <c r="B5" s="76">
        <v>0</v>
      </c>
      <c r="C5" s="76">
        <v>0</v>
      </c>
      <c r="D5" s="76"/>
      <c r="E5" s="76">
        <v>16000000</v>
      </c>
      <c r="F5" s="76">
        <v>14000000</v>
      </c>
      <c r="G5" s="76">
        <v>11782000</v>
      </c>
      <c r="H5" s="76">
        <v>10400000</v>
      </c>
      <c r="I5" s="76">
        <v>4072000</v>
      </c>
      <c r="J5" s="76">
        <v>4085967</v>
      </c>
      <c r="K5" s="76">
        <v>1284714</v>
      </c>
      <c r="L5" s="76"/>
      <c r="M5" s="3"/>
      <c r="N5" s="3"/>
      <c r="O5" s="3"/>
    </row>
    <row r="6" spans="1:15" ht="12.75">
      <c r="A6" s="17" t="s">
        <v>1</v>
      </c>
      <c r="B6" s="76">
        <f>SUM(B4:B5)</f>
        <v>11500000</v>
      </c>
      <c r="C6" s="76">
        <f>SUM(C4:C5)</f>
        <v>14916000</v>
      </c>
      <c r="D6" s="76">
        <v>14900000</v>
      </c>
      <c r="E6" s="76">
        <f aca="true" t="shared" si="0" ref="E6:K6">SUM(E4:E5)</f>
        <v>18000000</v>
      </c>
      <c r="F6" s="76">
        <f t="shared" si="0"/>
        <v>16000000</v>
      </c>
      <c r="G6" s="76">
        <f t="shared" si="0"/>
        <v>11782000</v>
      </c>
      <c r="H6" s="76">
        <f t="shared" si="0"/>
        <v>10400000</v>
      </c>
      <c r="I6" s="76">
        <f t="shared" si="0"/>
        <v>4072000</v>
      </c>
      <c r="J6" s="76">
        <f t="shared" si="0"/>
        <v>4085967</v>
      </c>
      <c r="K6" s="76">
        <f t="shared" si="0"/>
        <v>1284714</v>
      </c>
      <c r="L6" s="76">
        <f>SUM(B6:K6)</f>
        <v>106940681</v>
      </c>
      <c r="M6" s="3"/>
      <c r="N6" s="3"/>
      <c r="O6" s="3"/>
    </row>
    <row r="7" spans="1:15" ht="12.75">
      <c r="A7" s="23" t="s">
        <v>114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3"/>
      <c r="N7" s="3"/>
      <c r="O7" s="3"/>
    </row>
    <row r="8" spans="1:15" ht="12.75">
      <c r="A8" s="45"/>
      <c r="B8" s="130"/>
      <c r="C8" s="130"/>
      <c r="D8" s="130"/>
      <c r="E8" s="130"/>
      <c r="F8" s="130"/>
      <c r="G8" s="130"/>
      <c r="H8" s="130"/>
      <c r="I8" s="130"/>
      <c r="J8" s="160" t="s">
        <v>103</v>
      </c>
      <c r="K8" s="130"/>
      <c r="L8" s="130"/>
      <c r="M8" s="3"/>
      <c r="N8" s="3"/>
      <c r="O8" s="3"/>
    </row>
    <row r="9" spans="1:15" ht="12.75">
      <c r="A9" s="33" t="s">
        <v>350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30"/>
      <c r="M9" s="3"/>
      <c r="N9" s="3"/>
      <c r="O9" s="3"/>
    </row>
    <row r="10" spans="1:12" ht="12.75">
      <c r="A10" s="37" t="s">
        <v>127</v>
      </c>
      <c r="B10" s="76">
        <v>34</v>
      </c>
      <c r="C10" s="76">
        <v>303</v>
      </c>
      <c r="D10" s="76">
        <v>305</v>
      </c>
      <c r="E10" s="76">
        <v>181</v>
      </c>
      <c r="F10" s="76">
        <v>6</v>
      </c>
      <c r="G10" s="76" t="s">
        <v>4</v>
      </c>
      <c r="H10" s="76"/>
      <c r="I10" s="76"/>
      <c r="J10" s="76"/>
      <c r="K10" s="76"/>
      <c r="L10" s="76"/>
    </row>
    <row r="11" spans="1:12" ht="25.5">
      <c r="A11" s="44" t="s">
        <v>113</v>
      </c>
      <c r="B11" s="76">
        <v>0</v>
      </c>
      <c r="C11" s="76">
        <v>0</v>
      </c>
      <c r="D11" s="76">
        <v>0</v>
      </c>
      <c r="E11" s="76">
        <v>114</v>
      </c>
      <c r="F11" s="76">
        <v>557</v>
      </c>
      <c r="G11" s="76">
        <v>203</v>
      </c>
      <c r="H11" s="76">
        <v>3052</v>
      </c>
      <c r="I11" s="76">
        <v>1536</v>
      </c>
      <c r="J11" s="76">
        <v>2725286</v>
      </c>
      <c r="K11" s="76">
        <v>1284714</v>
      </c>
      <c r="L11" s="76"/>
    </row>
    <row r="12" spans="1:12" ht="12.75">
      <c r="A12" s="17" t="s">
        <v>1</v>
      </c>
      <c r="B12" s="76">
        <f aca="true" t="shared" si="1" ref="B12:I12">SUM(B10:B11)</f>
        <v>34</v>
      </c>
      <c r="C12" s="76">
        <f t="shared" si="1"/>
        <v>303</v>
      </c>
      <c r="D12" s="76">
        <f t="shared" si="1"/>
        <v>305</v>
      </c>
      <c r="E12" s="76">
        <f t="shared" si="1"/>
        <v>295</v>
      </c>
      <c r="F12" s="76">
        <f t="shared" si="1"/>
        <v>563</v>
      </c>
      <c r="G12" s="76">
        <f t="shared" si="1"/>
        <v>203</v>
      </c>
      <c r="H12" s="76">
        <f t="shared" si="1"/>
        <v>3052</v>
      </c>
      <c r="I12" s="76">
        <f t="shared" si="1"/>
        <v>1536</v>
      </c>
      <c r="J12" s="76"/>
      <c r="K12" s="76"/>
      <c r="L12" s="76"/>
    </row>
    <row r="13" spans="1:12" ht="12.75">
      <c r="A13" s="17" t="s">
        <v>281</v>
      </c>
      <c r="B13" s="76">
        <f>B12*1000</f>
        <v>34000</v>
      </c>
      <c r="C13" s="76">
        <f aca="true" t="shared" si="2" ref="C13:I13">C12*1000</f>
        <v>303000</v>
      </c>
      <c r="D13" s="76">
        <f t="shared" si="2"/>
        <v>305000</v>
      </c>
      <c r="E13" s="76">
        <f t="shared" si="2"/>
        <v>295000</v>
      </c>
      <c r="F13" s="76">
        <f t="shared" si="2"/>
        <v>563000</v>
      </c>
      <c r="G13" s="76">
        <f t="shared" si="2"/>
        <v>203000</v>
      </c>
      <c r="H13" s="76">
        <f t="shared" si="2"/>
        <v>3052000</v>
      </c>
      <c r="I13" s="76">
        <f t="shared" si="2"/>
        <v>1536000</v>
      </c>
      <c r="J13" s="76">
        <f>SUM(J11:J12)</f>
        <v>2725286</v>
      </c>
      <c r="K13" s="76">
        <f>SUM(K11:K12)</f>
        <v>1284714</v>
      </c>
      <c r="L13" s="76">
        <f>SUM(B13:K13)</f>
        <v>10301000</v>
      </c>
    </row>
    <row r="14" spans="1:24" ht="12.75">
      <c r="A14" s="2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0"/>
      <c r="N14" s="10"/>
      <c r="O14" s="10"/>
      <c r="P14" s="10"/>
      <c r="Q14" s="9"/>
      <c r="R14" s="9"/>
      <c r="S14" s="9"/>
      <c r="T14" s="9"/>
      <c r="U14" s="9"/>
      <c r="V14" s="9"/>
      <c r="W14" s="9"/>
      <c r="X14" s="9"/>
    </row>
    <row r="15" spans="1:24" ht="12.75">
      <c r="A15" s="33" t="s">
        <v>116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30"/>
      <c r="M15" s="10"/>
      <c r="N15" s="10"/>
      <c r="O15" s="10"/>
      <c r="P15" s="10"/>
      <c r="Q15" s="9"/>
      <c r="R15" s="9"/>
      <c r="S15" s="9"/>
      <c r="T15" s="9"/>
      <c r="U15" s="9"/>
      <c r="V15" s="9"/>
      <c r="W15" s="9"/>
      <c r="X15" s="9"/>
    </row>
    <row r="16" spans="1:24" ht="12.75">
      <c r="A16" s="37" t="s">
        <v>127</v>
      </c>
      <c r="B16" s="76">
        <v>0</v>
      </c>
      <c r="C16" s="76">
        <v>11300</v>
      </c>
      <c r="D16" s="76">
        <v>0</v>
      </c>
      <c r="E16" s="76">
        <v>0</v>
      </c>
      <c r="F16" s="76">
        <v>2000</v>
      </c>
      <c r="G16" s="76" t="s">
        <v>4</v>
      </c>
      <c r="H16" s="76"/>
      <c r="I16" s="76"/>
      <c r="J16" s="76"/>
      <c r="K16" s="76"/>
      <c r="L16" s="76">
        <f>SUM(B16:K16)</f>
        <v>13300</v>
      </c>
      <c r="M16" s="10"/>
      <c r="N16" s="10"/>
      <c r="O16" s="10"/>
      <c r="P16" s="10"/>
      <c r="Q16" s="9"/>
      <c r="R16" s="9"/>
      <c r="S16" s="9"/>
      <c r="T16" s="9"/>
      <c r="U16" s="9"/>
      <c r="V16" s="9"/>
      <c r="W16" s="9"/>
      <c r="X16" s="9"/>
    </row>
    <row r="17" spans="1:12" ht="25.5">
      <c r="A17" s="44" t="s">
        <v>113</v>
      </c>
      <c r="B17" s="76">
        <v>0</v>
      </c>
      <c r="C17" s="76">
        <v>0</v>
      </c>
      <c r="D17" s="76">
        <v>0</v>
      </c>
      <c r="E17" s="76">
        <v>513</v>
      </c>
      <c r="F17" s="76">
        <v>0</v>
      </c>
      <c r="G17" s="76">
        <v>7956</v>
      </c>
      <c r="H17" s="76">
        <v>3263</v>
      </c>
      <c r="I17" s="76">
        <v>4010</v>
      </c>
      <c r="J17" s="76">
        <v>894714</v>
      </c>
      <c r="K17" s="76">
        <v>0</v>
      </c>
      <c r="L17" s="76">
        <f>SUM(B17:K17)</f>
        <v>910456</v>
      </c>
    </row>
    <row r="18" spans="1:13" ht="12.75">
      <c r="A18" s="17" t="s">
        <v>1</v>
      </c>
      <c r="B18" s="76">
        <f aca="true" t="shared" si="3" ref="B18:I18">SUM(B16:B17)</f>
        <v>0</v>
      </c>
      <c r="C18" s="76">
        <f t="shared" si="3"/>
        <v>11300</v>
      </c>
      <c r="D18" s="76">
        <f t="shared" si="3"/>
        <v>0</v>
      </c>
      <c r="E18" s="76">
        <f t="shared" si="3"/>
        <v>513</v>
      </c>
      <c r="F18" s="76">
        <f t="shared" si="3"/>
        <v>2000</v>
      </c>
      <c r="G18" s="76">
        <f t="shared" si="3"/>
        <v>7956</v>
      </c>
      <c r="H18" s="76">
        <f t="shared" si="3"/>
        <v>3263</v>
      </c>
      <c r="I18" s="76">
        <f t="shared" si="3"/>
        <v>4010</v>
      </c>
      <c r="J18" s="76"/>
      <c r="K18" s="76"/>
      <c r="L18" s="76">
        <f>SUM(B18:K18)</f>
        <v>29042</v>
      </c>
      <c r="M18" s="8"/>
    </row>
    <row r="19" spans="1:13" ht="12.75">
      <c r="A19" s="17" t="s">
        <v>281</v>
      </c>
      <c r="B19" s="76">
        <f>B18*1000</f>
        <v>0</v>
      </c>
      <c r="C19" s="76">
        <f aca="true" t="shared" si="4" ref="C19:I19">C18*1000</f>
        <v>11300000</v>
      </c>
      <c r="D19" s="76">
        <f t="shared" si="4"/>
        <v>0</v>
      </c>
      <c r="E19" s="76">
        <f t="shared" si="4"/>
        <v>513000</v>
      </c>
      <c r="F19" s="76">
        <f t="shared" si="4"/>
        <v>2000000</v>
      </c>
      <c r="G19" s="76">
        <f t="shared" si="4"/>
        <v>7956000</v>
      </c>
      <c r="H19" s="76">
        <f t="shared" si="4"/>
        <v>3263000</v>
      </c>
      <c r="I19" s="76">
        <f t="shared" si="4"/>
        <v>4010000</v>
      </c>
      <c r="J19" s="76">
        <f>SUM(J17:J18)</f>
        <v>894714</v>
      </c>
      <c r="K19" s="76">
        <f>SUM(K16:K18)</f>
        <v>0</v>
      </c>
      <c r="L19" s="76">
        <f>SUM(B19:K19)</f>
        <v>29936714</v>
      </c>
      <c r="M19" s="8"/>
    </row>
    <row r="21" spans="1:16" ht="12.75">
      <c r="A21" s="52" t="s">
        <v>171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2.75">
      <c r="A22" s="37" t="s">
        <v>127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 t="s">
        <v>4</v>
      </c>
      <c r="H22" s="13"/>
      <c r="I22" s="13"/>
      <c r="J22" s="13"/>
      <c r="K22" s="65"/>
      <c r="L22" s="13">
        <f>SUM(B22:K22)</f>
        <v>0</v>
      </c>
      <c r="M22" s="170"/>
      <c r="N22" s="10"/>
      <c r="O22" s="10"/>
      <c r="P22" s="10"/>
    </row>
    <row r="23" spans="1:16" ht="25.5">
      <c r="A23" s="44" t="s">
        <v>113</v>
      </c>
      <c r="B23" s="13">
        <v>0</v>
      </c>
      <c r="C23" s="13">
        <v>0</v>
      </c>
      <c r="D23" s="13">
        <v>0</v>
      </c>
      <c r="E23" s="13">
        <v>0</v>
      </c>
      <c r="F23" s="13">
        <v>1</v>
      </c>
      <c r="G23" s="13">
        <v>0</v>
      </c>
      <c r="H23" s="13">
        <v>3</v>
      </c>
      <c r="I23" s="13">
        <v>1</v>
      </c>
      <c r="J23" s="13">
        <v>1</v>
      </c>
      <c r="K23" s="65">
        <v>1</v>
      </c>
      <c r="L23" s="13">
        <f>SUM(B23:K23)</f>
        <v>7</v>
      </c>
      <c r="M23" s="170"/>
      <c r="N23" s="9"/>
      <c r="O23" s="9"/>
      <c r="P23" s="9"/>
    </row>
    <row r="24" spans="1:16" ht="12.75">
      <c r="A24" s="17" t="s">
        <v>1</v>
      </c>
      <c r="B24" s="13">
        <f aca="true" t="shared" si="5" ref="B24:I24">SUM(B22:B23)</f>
        <v>0</v>
      </c>
      <c r="C24" s="13">
        <f t="shared" si="5"/>
        <v>0</v>
      </c>
      <c r="D24" s="13">
        <f t="shared" si="5"/>
        <v>0</v>
      </c>
      <c r="E24" s="13">
        <f t="shared" si="5"/>
        <v>0</v>
      </c>
      <c r="F24" s="13">
        <f t="shared" si="5"/>
        <v>1</v>
      </c>
      <c r="G24" s="13">
        <f t="shared" si="5"/>
        <v>0</v>
      </c>
      <c r="H24" s="13">
        <f t="shared" si="5"/>
        <v>3</v>
      </c>
      <c r="I24" s="13">
        <f t="shared" si="5"/>
        <v>1</v>
      </c>
      <c r="J24" s="13">
        <f>SUM(J22:J23)</f>
        <v>1</v>
      </c>
      <c r="K24" s="13">
        <f>SUM(K22:K23)</f>
        <v>1</v>
      </c>
      <c r="L24" s="13">
        <f>SUM(B24:K24)</f>
        <v>7</v>
      </c>
      <c r="M24" s="11"/>
      <c r="N24" s="11"/>
      <c r="O24" s="11"/>
      <c r="P24" s="11"/>
    </row>
    <row r="25" spans="1:16" ht="12.75">
      <c r="A25" s="4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5" t="s">
        <v>117</v>
      </c>
      <c r="B26" s="10" t="s">
        <v>8</v>
      </c>
      <c r="C26" s="10" t="s">
        <v>8</v>
      </c>
      <c r="D26" s="10" t="s">
        <v>8</v>
      </c>
      <c r="E26" s="10" t="s">
        <v>8</v>
      </c>
      <c r="F26" s="10" t="s">
        <v>8</v>
      </c>
      <c r="G26" s="10" t="s">
        <v>8</v>
      </c>
      <c r="H26" s="10" t="s">
        <v>8</v>
      </c>
      <c r="I26" s="112" t="s">
        <v>8</v>
      </c>
      <c r="J26" s="112" t="s">
        <v>8</v>
      </c>
      <c r="K26" s="112" t="s">
        <v>8</v>
      </c>
      <c r="L26" s="10" t="s">
        <v>8</v>
      </c>
      <c r="M26" s="10"/>
      <c r="N26" s="10"/>
      <c r="O26" s="10"/>
      <c r="P26" s="10"/>
    </row>
    <row r="27" spans="1:12" ht="12.75">
      <c r="A27" s="37" t="s">
        <v>127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 t="s">
        <v>4</v>
      </c>
      <c r="H27" s="13"/>
      <c r="I27" s="13"/>
      <c r="J27" s="13"/>
      <c r="K27" s="13"/>
      <c r="L27" s="13">
        <f>SUM(B27:K27)</f>
        <v>0</v>
      </c>
    </row>
    <row r="28" spans="1:12" ht="25.5">
      <c r="A28" s="44" t="s">
        <v>113</v>
      </c>
      <c r="B28" s="13">
        <v>0</v>
      </c>
      <c r="C28" s="13">
        <v>0</v>
      </c>
      <c r="D28" s="13">
        <v>0</v>
      </c>
      <c r="E28" s="13">
        <v>0</v>
      </c>
      <c r="F28" s="13">
        <v>12516</v>
      </c>
      <c r="G28" s="13"/>
      <c r="H28" s="13">
        <v>41753</v>
      </c>
      <c r="I28" s="13">
        <v>71902</v>
      </c>
      <c r="J28" s="13">
        <v>8712</v>
      </c>
      <c r="K28" s="13">
        <v>40137</v>
      </c>
      <c r="L28" s="13">
        <f>SUM(B28:K28)</f>
        <v>175020</v>
      </c>
    </row>
    <row r="29" spans="1:12" ht="12.75">
      <c r="A29" s="17" t="s">
        <v>1</v>
      </c>
      <c r="B29" s="13">
        <f aca="true" t="shared" si="6" ref="B29:K29">SUM(B27:B28)</f>
        <v>0</v>
      </c>
      <c r="C29" s="13">
        <f t="shared" si="6"/>
        <v>0</v>
      </c>
      <c r="D29" s="13">
        <f t="shared" si="6"/>
        <v>0</v>
      </c>
      <c r="E29" s="13">
        <f t="shared" si="6"/>
        <v>0</v>
      </c>
      <c r="F29" s="13">
        <f t="shared" si="6"/>
        <v>12516</v>
      </c>
      <c r="G29" s="13">
        <f t="shared" si="6"/>
        <v>0</v>
      </c>
      <c r="H29" s="13">
        <f t="shared" si="6"/>
        <v>41753</v>
      </c>
      <c r="I29" s="13">
        <f t="shared" si="6"/>
        <v>71902</v>
      </c>
      <c r="J29" s="13">
        <f t="shared" si="6"/>
        <v>8712</v>
      </c>
      <c r="K29" s="13">
        <f t="shared" si="6"/>
        <v>40137</v>
      </c>
      <c r="L29" s="13">
        <f>SUM(B29:K29)</f>
        <v>175020</v>
      </c>
    </row>
    <row r="30" ht="12.75">
      <c r="A30" s="172" t="s">
        <v>336</v>
      </c>
    </row>
    <row r="32" spans="1:12" ht="12.75">
      <c r="A32" s="5" t="s">
        <v>118</v>
      </c>
      <c r="B32" s="10" t="s">
        <v>8</v>
      </c>
      <c r="C32" s="10" t="s">
        <v>8</v>
      </c>
      <c r="D32" s="10" t="s">
        <v>8</v>
      </c>
      <c r="E32" s="10" t="s">
        <v>8</v>
      </c>
      <c r="F32" s="10" t="s">
        <v>8</v>
      </c>
      <c r="G32" s="10" t="s">
        <v>8</v>
      </c>
      <c r="H32" s="10" t="s">
        <v>8</v>
      </c>
      <c r="I32" s="112" t="s">
        <v>8</v>
      </c>
      <c r="J32" s="112" t="s">
        <v>8</v>
      </c>
      <c r="K32" s="112" t="s">
        <v>8</v>
      </c>
      <c r="L32" s="10" t="s">
        <v>8</v>
      </c>
    </row>
    <row r="33" spans="1:12" ht="12.75">
      <c r="A33" s="37" t="s">
        <v>127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 t="s">
        <v>4</v>
      </c>
      <c r="H33" s="13"/>
      <c r="I33" s="13"/>
      <c r="J33" s="13"/>
      <c r="K33" s="13"/>
      <c r="L33" s="13">
        <f>SUM(B33:K33)</f>
        <v>0</v>
      </c>
    </row>
    <row r="34" spans="1:12" ht="25.5">
      <c r="A34" s="44" t="s">
        <v>113</v>
      </c>
      <c r="B34" s="13">
        <v>0</v>
      </c>
      <c r="C34" s="13">
        <v>0</v>
      </c>
      <c r="D34" s="13">
        <v>0</v>
      </c>
      <c r="E34" s="13">
        <v>0</v>
      </c>
      <c r="F34" s="13">
        <v>187740</v>
      </c>
      <c r="G34" s="13"/>
      <c r="H34" s="13">
        <v>478464</v>
      </c>
      <c r="I34" s="13">
        <v>1438040</v>
      </c>
      <c r="J34" s="13">
        <v>174240</v>
      </c>
      <c r="K34" s="13">
        <v>602055</v>
      </c>
      <c r="L34" s="13">
        <f>SUM(B34:K34)</f>
        <v>2880539</v>
      </c>
    </row>
    <row r="35" spans="1:12" ht="12.75">
      <c r="A35" s="17" t="s">
        <v>1</v>
      </c>
      <c r="B35" s="13">
        <f aca="true" t="shared" si="7" ref="B35:K35">SUM(B33:B34)</f>
        <v>0</v>
      </c>
      <c r="C35" s="13">
        <f t="shared" si="7"/>
        <v>0</v>
      </c>
      <c r="D35" s="13">
        <f t="shared" si="7"/>
        <v>0</v>
      </c>
      <c r="E35" s="13">
        <f t="shared" si="7"/>
        <v>0</v>
      </c>
      <c r="F35" s="13">
        <f t="shared" si="7"/>
        <v>187740</v>
      </c>
      <c r="G35" s="13">
        <f t="shared" si="7"/>
        <v>0</v>
      </c>
      <c r="H35" s="13">
        <f t="shared" si="7"/>
        <v>478464</v>
      </c>
      <c r="I35" s="13">
        <f t="shared" si="7"/>
        <v>1438040</v>
      </c>
      <c r="J35" s="13">
        <f t="shared" si="7"/>
        <v>174240</v>
      </c>
      <c r="K35" s="13">
        <f t="shared" si="7"/>
        <v>602055</v>
      </c>
      <c r="L35" s="13">
        <f>SUM(B35:K35)</f>
        <v>2880539</v>
      </c>
    </row>
    <row r="36" ht="12.75">
      <c r="A36" s="172" t="s">
        <v>337</v>
      </c>
    </row>
    <row r="38" spans="1:12" ht="12.75">
      <c r="A38" s="5" t="s">
        <v>142</v>
      </c>
      <c r="B38" s="10" t="s">
        <v>11</v>
      </c>
      <c r="C38" s="10" t="s">
        <v>11</v>
      </c>
      <c r="D38" s="10" t="s">
        <v>11</v>
      </c>
      <c r="E38" s="10" t="s">
        <v>11</v>
      </c>
      <c r="F38" s="10" t="s">
        <v>11</v>
      </c>
      <c r="G38" s="10" t="s">
        <v>11</v>
      </c>
      <c r="H38" s="6" t="s">
        <v>11</v>
      </c>
      <c r="I38" s="113" t="s">
        <v>11</v>
      </c>
      <c r="J38" s="113" t="s">
        <v>11</v>
      </c>
      <c r="K38" s="113" t="s">
        <v>11</v>
      </c>
      <c r="L38" s="10" t="s">
        <v>11</v>
      </c>
    </row>
    <row r="39" spans="1:12" ht="12.75">
      <c r="A39" s="37" t="s">
        <v>127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 t="s">
        <v>4</v>
      </c>
      <c r="H39" s="13"/>
      <c r="I39" s="13"/>
      <c r="J39" s="13"/>
      <c r="K39" s="13"/>
      <c r="L39" s="13">
        <f>SUM(B39:K39)</f>
        <v>0</v>
      </c>
    </row>
    <row r="40" spans="1:12" ht="25.5">
      <c r="A40" s="44" t="s">
        <v>113</v>
      </c>
      <c r="B40" s="13">
        <v>0</v>
      </c>
      <c r="C40" s="13">
        <v>0</v>
      </c>
      <c r="D40" s="13">
        <v>0</v>
      </c>
      <c r="E40" s="13">
        <v>0</v>
      </c>
      <c r="F40" s="13">
        <v>1600</v>
      </c>
      <c r="G40" s="13"/>
      <c r="H40" s="13">
        <v>8600</v>
      </c>
      <c r="I40" s="13">
        <v>9600</v>
      </c>
      <c r="J40" s="13">
        <v>1500</v>
      </c>
      <c r="K40" s="13">
        <v>6200</v>
      </c>
      <c r="L40" s="13">
        <v>27500</v>
      </c>
    </row>
    <row r="41" spans="1:12" ht="12.75">
      <c r="A41" s="17" t="s">
        <v>1</v>
      </c>
      <c r="B41" s="13">
        <f aca="true" t="shared" si="8" ref="B41:K41">SUM(B39:B40)</f>
        <v>0</v>
      </c>
      <c r="C41" s="13">
        <f t="shared" si="8"/>
        <v>0</v>
      </c>
      <c r="D41" s="13">
        <f t="shared" si="8"/>
        <v>0</v>
      </c>
      <c r="E41" s="13">
        <f t="shared" si="8"/>
        <v>0</v>
      </c>
      <c r="F41" s="13">
        <f t="shared" si="8"/>
        <v>1600</v>
      </c>
      <c r="G41" s="13">
        <f t="shared" si="8"/>
        <v>0</v>
      </c>
      <c r="H41" s="13">
        <f t="shared" si="8"/>
        <v>8600</v>
      </c>
      <c r="I41" s="13">
        <f t="shared" si="8"/>
        <v>9600</v>
      </c>
      <c r="J41" s="13">
        <f t="shared" si="8"/>
        <v>1500</v>
      </c>
      <c r="K41" s="13">
        <f t="shared" si="8"/>
        <v>6200</v>
      </c>
      <c r="L41" s="13">
        <f>SUM(B41:K41)</f>
        <v>27500</v>
      </c>
    </row>
    <row r="42" ht="12.75">
      <c r="A42" s="172" t="s">
        <v>338</v>
      </c>
    </row>
    <row r="44" spans="6:12" ht="12.75">
      <c r="F44" s="10" t="s">
        <v>8</v>
      </c>
      <c r="G44" s="10" t="s">
        <v>8</v>
      </c>
      <c r="H44" s="10" t="s">
        <v>8</v>
      </c>
      <c r="I44" s="112" t="s">
        <v>8</v>
      </c>
      <c r="J44" s="112" t="s">
        <v>8</v>
      </c>
      <c r="K44" s="112" t="s">
        <v>8</v>
      </c>
      <c r="L44" s="59"/>
    </row>
    <row r="45" spans="1:12" ht="12.75">
      <c r="A45" s="97" t="s">
        <v>159</v>
      </c>
      <c r="B45" s="13"/>
      <c r="C45" s="13"/>
      <c r="D45" s="13"/>
      <c r="E45" s="13"/>
      <c r="F45" s="13">
        <v>59352</v>
      </c>
      <c r="G45" s="13">
        <v>39593</v>
      </c>
      <c r="H45" s="13">
        <v>54712</v>
      </c>
      <c r="I45" s="13">
        <v>8712</v>
      </c>
      <c r="J45" s="13"/>
      <c r="K45" s="13"/>
      <c r="L45" s="50"/>
    </row>
    <row r="46" ht="12.75">
      <c r="L46" s="50"/>
    </row>
    <row r="47" spans="6:12" ht="12.75">
      <c r="F47" s="6" t="s">
        <v>11</v>
      </c>
      <c r="G47" s="6" t="s">
        <v>11</v>
      </c>
      <c r="H47" s="6" t="s">
        <v>11</v>
      </c>
      <c r="I47" s="113" t="s">
        <v>11</v>
      </c>
      <c r="J47" s="113" t="s">
        <v>11</v>
      </c>
      <c r="K47" s="113" t="s">
        <v>11</v>
      </c>
      <c r="L47" s="50"/>
    </row>
    <row r="48" spans="1:12" ht="12.75">
      <c r="A48" s="97" t="s">
        <v>160</v>
      </c>
      <c r="B48" s="13"/>
      <c r="C48" s="13"/>
      <c r="D48" s="13"/>
      <c r="E48" s="13"/>
      <c r="F48" s="13">
        <v>13350</v>
      </c>
      <c r="G48" s="13">
        <v>6150</v>
      </c>
      <c r="H48" s="13">
        <v>7700</v>
      </c>
      <c r="I48" s="13">
        <v>1500</v>
      </c>
      <c r="J48" s="13"/>
      <c r="K48" s="13"/>
      <c r="L48" s="50"/>
    </row>
    <row r="49" ht="12.75">
      <c r="L49" s="50"/>
    </row>
    <row r="50" spans="6:12" ht="12.75">
      <c r="F50" s="10" t="s">
        <v>8</v>
      </c>
      <c r="G50" s="10" t="s">
        <v>8</v>
      </c>
      <c r="H50" s="10" t="s">
        <v>8</v>
      </c>
      <c r="I50" s="112" t="s">
        <v>8</v>
      </c>
      <c r="J50" s="112" t="s">
        <v>8</v>
      </c>
      <c r="K50" s="112" t="s">
        <v>8</v>
      </c>
      <c r="L50" s="59"/>
    </row>
    <row r="51" spans="1:12" ht="12.75">
      <c r="A51" s="97" t="s">
        <v>161</v>
      </c>
      <c r="B51" s="13"/>
      <c r="C51" s="13"/>
      <c r="D51" s="13"/>
      <c r="E51" s="13"/>
      <c r="F51" s="13">
        <v>296760</v>
      </c>
      <c r="G51" s="13">
        <v>197965</v>
      </c>
      <c r="H51" s="13">
        <v>864240</v>
      </c>
      <c r="I51" s="13">
        <v>174240</v>
      </c>
      <c r="J51" s="13"/>
      <c r="K51" s="13"/>
      <c r="L51" s="50"/>
    </row>
    <row r="52" ht="12.75">
      <c r="L52" s="50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scale="63" r:id="rId1"/>
  <ignoredErrors>
    <ignoredError sqref="B6:C6 F6:I6 E6 J6:K6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zoomScalePageLayoutView="0" workbookViewId="0" topLeftCell="A1">
      <selection activeCell="M1" sqref="M1"/>
    </sheetView>
  </sheetViews>
  <sheetFormatPr defaultColWidth="10.7109375" defaultRowHeight="12.75"/>
  <cols>
    <col min="1" max="1" width="36.8515625" style="3" customWidth="1"/>
    <col min="2" max="4" width="10.8515625" style="6" bestFit="1" customWidth="1"/>
    <col min="5" max="5" width="11.57421875" style="6" bestFit="1" customWidth="1"/>
    <col min="6" max="7" width="11.8515625" style="6" bestFit="1" customWidth="1"/>
    <col min="8" max="8" width="11.57421875" style="6" bestFit="1" customWidth="1"/>
    <col min="9" max="9" width="11.28125" style="6" bestFit="1" customWidth="1"/>
    <col min="10" max="10" width="12.7109375" style="6" bestFit="1" customWidth="1"/>
    <col min="11" max="11" width="12.7109375" style="6" customWidth="1"/>
    <col min="12" max="12" width="11.140625" style="6" bestFit="1" customWidth="1"/>
    <col min="13" max="16384" width="10.7109375" style="6" customWidth="1"/>
  </cols>
  <sheetData>
    <row r="1" spans="1:12" ht="15.75">
      <c r="A1" s="235" t="s">
        <v>170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5" ht="12.75">
      <c r="A2" s="49" t="s">
        <v>361</v>
      </c>
      <c r="M2" s="3"/>
      <c r="N2" s="3"/>
      <c r="O2" s="3"/>
    </row>
    <row r="3" spans="1:15" ht="12.75">
      <c r="A3" s="49" t="s">
        <v>282</v>
      </c>
      <c r="B3" s="31">
        <v>2001</v>
      </c>
      <c r="C3" s="31">
        <v>2002</v>
      </c>
      <c r="D3" s="31">
        <v>2003</v>
      </c>
      <c r="E3" s="31">
        <v>2004</v>
      </c>
      <c r="F3" s="31">
        <v>2005</v>
      </c>
      <c r="G3" s="31">
        <v>2006</v>
      </c>
      <c r="H3" s="31">
        <v>2007</v>
      </c>
      <c r="I3" s="31">
        <v>2008</v>
      </c>
      <c r="J3" s="31">
        <v>2009</v>
      </c>
      <c r="K3" s="31">
        <v>2010</v>
      </c>
      <c r="L3" s="31" t="s">
        <v>1</v>
      </c>
      <c r="M3" s="3"/>
      <c r="N3" s="3"/>
      <c r="O3" s="3"/>
    </row>
    <row r="4" spans="1:15" ht="25.5" customHeight="1">
      <c r="A4" s="44" t="s">
        <v>115</v>
      </c>
      <c r="B4" s="76">
        <v>0</v>
      </c>
      <c r="C4" s="76">
        <v>0</v>
      </c>
      <c r="D4" s="76"/>
      <c r="E4" s="76">
        <v>6350000</v>
      </c>
      <c r="F4" s="76">
        <v>8000000</v>
      </c>
      <c r="G4" s="76">
        <v>8000000</v>
      </c>
      <c r="H4" s="76">
        <v>5000000</v>
      </c>
      <c r="I4" s="76">
        <v>1938000</v>
      </c>
      <c r="J4" s="76">
        <v>1537473.38</v>
      </c>
      <c r="K4" s="76">
        <v>250000</v>
      </c>
      <c r="L4" s="76">
        <f>SUM(B4:K4)</f>
        <v>31075473.38</v>
      </c>
      <c r="M4" s="3"/>
      <c r="N4" s="3"/>
      <c r="O4" s="3"/>
    </row>
    <row r="5" spans="1:15" ht="12.75">
      <c r="A5" s="45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3"/>
      <c r="N5" s="3"/>
      <c r="O5" s="3"/>
    </row>
    <row r="6" spans="1:15" ht="12.75">
      <c r="A6" s="33" t="s">
        <v>19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30"/>
      <c r="M6" s="3"/>
      <c r="N6" s="3"/>
      <c r="O6" s="3"/>
    </row>
    <row r="7" spans="1:12" ht="25.5">
      <c r="A7" s="44" t="s">
        <v>115</v>
      </c>
      <c r="B7" s="76">
        <v>0</v>
      </c>
      <c r="C7" s="76">
        <v>0</v>
      </c>
      <c r="D7" s="76">
        <v>1143</v>
      </c>
      <c r="E7" s="76">
        <v>1001</v>
      </c>
      <c r="F7" s="76">
        <v>2358</v>
      </c>
      <c r="G7" s="76">
        <v>162</v>
      </c>
      <c r="H7" s="76">
        <v>207</v>
      </c>
      <c r="I7" s="94">
        <v>62</v>
      </c>
      <c r="J7" s="76">
        <v>368905.18</v>
      </c>
      <c r="K7" s="76">
        <v>250000</v>
      </c>
      <c r="L7" s="76"/>
    </row>
    <row r="8" spans="1:12" ht="12.75">
      <c r="A8" s="17" t="s">
        <v>281</v>
      </c>
      <c r="B8" s="76">
        <f>B7*1000</f>
        <v>0</v>
      </c>
      <c r="C8" s="76">
        <f aca="true" t="shared" si="0" ref="C8:I8">C7*1000</f>
        <v>0</v>
      </c>
      <c r="D8" s="76">
        <f t="shared" si="0"/>
        <v>1143000</v>
      </c>
      <c r="E8" s="76">
        <f t="shared" si="0"/>
        <v>1001000</v>
      </c>
      <c r="F8" s="76">
        <f t="shared" si="0"/>
        <v>2358000</v>
      </c>
      <c r="G8" s="76">
        <f t="shared" si="0"/>
        <v>162000</v>
      </c>
      <c r="H8" s="76">
        <f t="shared" si="0"/>
        <v>207000</v>
      </c>
      <c r="I8" s="76">
        <f t="shared" si="0"/>
        <v>62000</v>
      </c>
      <c r="J8" s="76">
        <f>SUM(J7)</f>
        <v>368905.18</v>
      </c>
      <c r="K8" s="76">
        <f>SUM(K7)</f>
        <v>250000</v>
      </c>
      <c r="L8" s="76">
        <f>SUM(B8:K8)</f>
        <v>5551905.18</v>
      </c>
    </row>
    <row r="9" spans="1:24" ht="12.75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9"/>
      <c r="R9" s="9"/>
      <c r="S9" s="9"/>
      <c r="T9" s="9"/>
      <c r="U9" s="9"/>
      <c r="V9" s="9"/>
      <c r="W9" s="9"/>
      <c r="X9" s="9"/>
    </row>
    <row r="10" spans="1:24" ht="12.75">
      <c r="A10" s="33" t="s">
        <v>20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6"/>
      <c r="M10" s="10"/>
      <c r="N10" s="10"/>
      <c r="O10" s="10"/>
      <c r="P10" s="10"/>
      <c r="Q10" s="9"/>
      <c r="R10" s="9"/>
      <c r="S10" s="9"/>
      <c r="T10" s="9"/>
      <c r="U10" s="9"/>
      <c r="V10" s="9"/>
      <c r="W10" s="9"/>
      <c r="X10" s="9"/>
    </row>
    <row r="11" spans="1:24" ht="25.5">
      <c r="A11" s="44" t="s">
        <v>115</v>
      </c>
      <c r="B11" s="15">
        <v>0</v>
      </c>
      <c r="C11" s="15">
        <v>0</v>
      </c>
      <c r="D11" s="15">
        <v>2700</v>
      </c>
      <c r="E11" s="15">
        <v>378</v>
      </c>
      <c r="F11" s="15">
        <v>81</v>
      </c>
      <c r="G11" s="15">
        <v>712</v>
      </c>
      <c r="H11" s="15">
        <v>3200</v>
      </c>
      <c r="I11" s="15">
        <v>1500</v>
      </c>
      <c r="J11" s="132">
        <v>1130889.82</v>
      </c>
      <c r="K11" s="132">
        <v>0</v>
      </c>
      <c r="L11" s="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3" spans="1:16" ht="12.75">
      <c r="A13" s="52" t="s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25.5">
      <c r="A14" s="44" t="s">
        <v>115</v>
      </c>
      <c r="B14" s="13">
        <v>0</v>
      </c>
      <c r="C14" s="13"/>
      <c r="D14" s="13">
        <v>10</v>
      </c>
      <c r="E14" s="13">
        <v>0</v>
      </c>
      <c r="F14" s="13">
        <v>5</v>
      </c>
      <c r="G14" s="13">
        <v>4</v>
      </c>
      <c r="H14" s="13">
        <v>1</v>
      </c>
      <c r="I14" s="13">
        <v>1</v>
      </c>
      <c r="J14" s="13">
        <v>1</v>
      </c>
      <c r="K14" s="65">
        <v>1</v>
      </c>
      <c r="L14" s="13">
        <f>SUM(B14:K14)</f>
        <v>23</v>
      </c>
      <c r="M14" s="170"/>
      <c r="N14" s="10"/>
      <c r="O14" s="10"/>
      <c r="P14" s="10"/>
    </row>
    <row r="15" spans="1:16" ht="12.75">
      <c r="A15" s="4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</sheetData>
  <sheetProtection/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scale="75" r:id="rId1"/>
  <rowBreaks count="1" manualBreakCount="1">
    <brk id="9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31.28125" style="0" customWidth="1"/>
    <col min="2" max="4" width="10.8515625" style="0" customWidth="1"/>
    <col min="5" max="5" width="13.140625" style="0" customWidth="1"/>
  </cols>
  <sheetData>
    <row r="1" spans="1:5" ht="15.75">
      <c r="A1" s="235" t="s">
        <v>294</v>
      </c>
      <c r="B1" s="236"/>
      <c r="C1" s="236"/>
      <c r="D1" s="236"/>
      <c r="E1" s="236"/>
    </row>
    <row r="2" spans="1:5" ht="12.75">
      <c r="A2" s="23"/>
      <c r="B2" s="6"/>
      <c r="C2" s="6"/>
      <c r="D2" s="6"/>
      <c r="E2" s="6"/>
    </row>
    <row r="3" spans="1:5" ht="12.75">
      <c r="A3" s="33" t="s">
        <v>348</v>
      </c>
      <c r="B3" s="31">
        <v>2009</v>
      </c>
      <c r="C3" s="31">
        <v>2010</v>
      </c>
      <c r="D3" s="31">
        <v>2011</v>
      </c>
      <c r="E3" s="31" t="s">
        <v>1</v>
      </c>
    </row>
    <row r="4" spans="1:5" ht="12.75">
      <c r="A4" s="20" t="s">
        <v>274</v>
      </c>
      <c r="B4" s="76">
        <v>6000000</v>
      </c>
      <c r="C4" s="76">
        <v>5940000</v>
      </c>
      <c r="D4" s="76">
        <v>3655277</v>
      </c>
      <c r="E4" s="76">
        <f>SUM(B4:D4)</f>
        <v>15595277</v>
      </c>
    </row>
    <row r="5" spans="1:5" ht="12.75">
      <c r="A5" s="23"/>
      <c r="B5" s="130"/>
      <c r="C5" s="130"/>
      <c r="D5" s="130"/>
      <c r="E5" s="130"/>
    </row>
    <row r="6" spans="1:5" ht="12.75">
      <c r="A6" s="33" t="s">
        <v>283</v>
      </c>
      <c r="B6" s="158"/>
      <c r="C6" s="158"/>
      <c r="D6" s="158"/>
      <c r="E6" s="130"/>
    </row>
    <row r="7" spans="1:5" ht="12.75">
      <c r="A7" s="16" t="s">
        <v>32</v>
      </c>
      <c r="B7" s="76">
        <v>60000</v>
      </c>
      <c r="C7" s="76">
        <v>839367</v>
      </c>
      <c r="D7" s="76">
        <v>1824234.6</v>
      </c>
      <c r="E7" s="76">
        <f>SUM(B7:D7)</f>
        <v>2723601.6</v>
      </c>
    </row>
    <row r="8" spans="1:5" ht="12.75">
      <c r="A8" s="16" t="s">
        <v>20</v>
      </c>
      <c r="B8" s="76"/>
      <c r="C8" s="76">
        <v>2155276</v>
      </c>
      <c r="D8" s="76">
        <v>1831041.4</v>
      </c>
      <c r="E8" s="76">
        <f>SUM(B8:D8)</f>
        <v>3986317.4</v>
      </c>
    </row>
    <row r="9" spans="1:5" ht="12.75">
      <c r="A9" s="16" t="s">
        <v>33</v>
      </c>
      <c r="B9" s="76">
        <f>SUM(B7:B8)</f>
        <v>60000</v>
      </c>
      <c r="C9" s="76">
        <f>SUM(C7:C8)</f>
        <v>2994643</v>
      </c>
      <c r="D9" s="76">
        <f>SUM(D7:D8)</f>
        <v>3655276</v>
      </c>
      <c r="E9" s="76">
        <f>SUM(B9:D9)</f>
        <v>6709919</v>
      </c>
    </row>
    <row r="10" spans="1:5" ht="12.75">
      <c r="A10" s="23"/>
      <c r="B10" s="46"/>
      <c r="C10" s="46"/>
      <c r="D10" s="46"/>
      <c r="E10" s="46"/>
    </row>
    <row r="11" spans="1:7" ht="12.75">
      <c r="A11" s="49" t="s">
        <v>5</v>
      </c>
      <c r="B11" s="77"/>
      <c r="C11" s="77"/>
      <c r="D11" s="77"/>
      <c r="E11" s="77"/>
      <c r="F11" s="187"/>
      <c r="G11" s="187"/>
    </row>
    <row r="12" spans="1:7" ht="12.75">
      <c r="A12" s="16" t="s">
        <v>24</v>
      </c>
      <c r="B12" s="65">
        <v>0</v>
      </c>
      <c r="C12" s="65">
        <v>0</v>
      </c>
      <c r="D12" s="65">
        <v>1</v>
      </c>
      <c r="E12" s="65">
        <f>SUM(B12:D12)</f>
        <v>1</v>
      </c>
      <c r="F12" s="170"/>
      <c r="G12" s="187"/>
    </row>
    <row r="13" spans="1:7" ht="12.75">
      <c r="A13" s="16" t="s">
        <v>23</v>
      </c>
      <c r="B13" s="65">
        <v>3</v>
      </c>
      <c r="C13" s="65">
        <v>6</v>
      </c>
      <c r="D13" s="65">
        <v>0</v>
      </c>
      <c r="E13" s="65">
        <f>SUM(B13:D13)</f>
        <v>9</v>
      </c>
      <c r="F13" s="202"/>
      <c r="G13" s="187"/>
    </row>
    <row r="14" spans="1:7" ht="12.75">
      <c r="A14" s="16" t="s">
        <v>21</v>
      </c>
      <c r="B14" s="65">
        <f>SUM(B12:B13)</f>
        <v>3</v>
      </c>
      <c r="C14" s="65">
        <f>SUM(C12:C13)</f>
        <v>6</v>
      </c>
      <c r="D14" s="65">
        <f>SUM(D12:D13)</f>
        <v>1</v>
      </c>
      <c r="E14" s="65">
        <f>SUM(B14:D14)</f>
        <v>10</v>
      </c>
      <c r="F14" s="187"/>
      <c r="G14" s="187"/>
    </row>
    <row r="15" spans="1:7" ht="12.75">
      <c r="A15" s="23"/>
      <c r="B15" s="69"/>
      <c r="C15" s="69"/>
      <c r="D15" s="69"/>
      <c r="E15" s="69"/>
      <c r="F15" s="187"/>
      <c r="G15" s="187"/>
    </row>
    <row r="16" spans="1:7" ht="12.75">
      <c r="A16" s="2"/>
      <c r="B16" s="78"/>
      <c r="C16" s="78"/>
      <c r="D16" s="78"/>
      <c r="E16" s="78"/>
      <c r="F16" s="187"/>
      <c r="G16" s="187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31.28125" style="0" customWidth="1"/>
    <col min="2" max="2" width="11.57421875" style="0" customWidth="1"/>
    <col min="3" max="4" width="10.8515625" style="0" customWidth="1"/>
    <col min="5" max="5" width="13.140625" style="0" customWidth="1"/>
  </cols>
  <sheetData>
    <row r="1" spans="1:5" ht="15.75">
      <c r="A1" s="235" t="s">
        <v>380</v>
      </c>
      <c r="B1" s="235"/>
      <c r="C1" s="236"/>
      <c r="D1" s="236"/>
      <c r="E1" s="236"/>
    </row>
    <row r="2" spans="1:5" ht="12.75">
      <c r="A2" s="23"/>
      <c r="B2" s="23"/>
      <c r="C2" s="6"/>
      <c r="D2" s="6"/>
      <c r="E2" s="6"/>
    </row>
    <row r="3" spans="1:8" ht="12.75">
      <c r="A3" s="33" t="s">
        <v>282</v>
      </c>
      <c r="B3" s="138">
        <v>2009</v>
      </c>
      <c r="C3" s="138">
        <v>2010</v>
      </c>
      <c r="D3" s="138">
        <v>2011</v>
      </c>
      <c r="E3" s="138" t="s">
        <v>1</v>
      </c>
      <c r="F3" s="202"/>
      <c r="G3" s="187"/>
      <c r="H3" s="187"/>
    </row>
    <row r="4" spans="1:8" ht="12.75">
      <c r="A4" s="20" t="s">
        <v>329</v>
      </c>
      <c r="B4" s="175">
        <v>24000000</v>
      </c>
      <c r="C4" s="175">
        <v>27731486.82</v>
      </c>
      <c r="D4" s="175">
        <v>35634153.38</v>
      </c>
      <c r="E4" s="175">
        <f>SUM(B4:D4)</f>
        <v>87365640.2</v>
      </c>
      <c r="F4" s="187"/>
      <c r="G4" s="187"/>
      <c r="H4" s="187"/>
    </row>
    <row r="5" spans="1:8" ht="12.75">
      <c r="A5" s="23"/>
      <c r="B5" s="217"/>
      <c r="C5" s="218"/>
      <c r="D5" s="218"/>
      <c r="E5" s="218"/>
      <c r="F5" s="187"/>
      <c r="G5" s="187"/>
      <c r="H5" s="187"/>
    </row>
    <row r="6" spans="1:8" ht="12.75">
      <c r="A6" s="33" t="s">
        <v>283</v>
      </c>
      <c r="B6" s="91"/>
      <c r="C6" s="195"/>
      <c r="D6" s="195"/>
      <c r="E6" s="218"/>
      <c r="F6" s="187"/>
      <c r="G6" s="187"/>
      <c r="H6" s="187"/>
    </row>
    <row r="7" spans="1:8" ht="12.75">
      <c r="A7" s="16" t="s">
        <v>32</v>
      </c>
      <c r="B7" s="175">
        <v>2480000</v>
      </c>
      <c r="C7" s="175">
        <v>3211000</v>
      </c>
      <c r="D7" s="175">
        <v>5915017</v>
      </c>
      <c r="E7" s="175">
        <f>SUM(B7:D7)</f>
        <v>11606017</v>
      </c>
      <c r="F7" s="187"/>
      <c r="G7" s="187"/>
      <c r="H7" s="187"/>
    </row>
    <row r="8" spans="1:8" ht="12.75">
      <c r="A8" s="16" t="s">
        <v>20</v>
      </c>
      <c r="B8" s="175">
        <v>8582000</v>
      </c>
      <c r="C8" s="175">
        <v>5551000</v>
      </c>
      <c r="D8" s="175">
        <v>6475983</v>
      </c>
      <c r="E8" s="175">
        <f>SUM(B8:D8)</f>
        <v>20608983</v>
      </c>
      <c r="F8" s="187"/>
      <c r="G8" s="187"/>
      <c r="H8" s="187"/>
    </row>
    <row r="9" spans="1:8" ht="12.75">
      <c r="A9" s="16" t="s">
        <v>33</v>
      </c>
      <c r="B9" s="175">
        <f>SUM(B7:B8)</f>
        <v>11062000</v>
      </c>
      <c r="C9" s="175">
        <f>SUM(C7:C8)</f>
        <v>8762000</v>
      </c>
      <c r="D9" s="175">
        <f>SUM(D7:D8)</f>
        <v>12391000</v>
      </c>
      <c r="E9" s="175">
        <f>SUM(B9:D9)</f>
        <v>32215000</v>
      </c>
      <c r="F9" s="187"/>
      <c r="G9" s="187"/>
      <c r="H9" s="187"/>
    </row>
    <row r="10" spans="1:8" ht="12.75">
      <c r="A10" s="23"/>
      <c r="B10" s="217"/>
      <c r="C10" s="77"/>
      <c r="D10" s="77"/>
      <c r="E10" s="77"/>
      <c r="F10" s="187"/>
      <c r="G10" s="187"/>
      <c r="H10" s="187"/>
    </row>
    <row r="11" spans="1:8" ht="12.75">
      <c r="A11" s="49" t="s">
        <v>5</v>
      </c>
      <c r="B11" s="207"/>
      <c r="C11" s="77"/>
      <c r="D11" s="77"/>
      <c r="E11" s="77"/>
      <c r="F11" s="187"/>
      <c r="G11" s="187"/>
      <c r="H11" s="187"/>
    </row>
    <row r="12" spans="1:8" ht="12.75">
      <c r="A12" s="16" t="s">
        <v>24</v>
      </c>
      <c r="B12" s="65">
        <v>0</v>
      </c>
      <c r="C12" s="65">
        <v>1</v>
      </c>
      <c r="D12" s="65">
        <v>3</v>
      </c>
      <c r="E12" s="65">
        <f>SUM(B12:D12)</f>
        <v>4</v>
      </c>
      <c r="F12" s="170"/>
      <c r="G12" s="187"/>
      <c r="H12" s="187"/>
    </row>
    <row r="13" spans="1:8" ht="12.75">
      <c r="A13" s="16" t="s">
        <v>23</v>
      </c>
      <c r="B13" s="65">
        <v>8</v>
      </c>
      <c r="C13" s="65">
        <v>0</v>
      </c>
      <c r="D13" s="65">
        <v>6</v>
      </c>
      <c r="E13" s="65">
        <f>SUM(B13:D13)</f>
        <v>14</v>
      </c>
      <c r="F13" s="202"/>
      <c r="G13" s="187"/>
      <c r="H13" s="187"/>
    </row>
    <row r="14" spans="1:8" ht="12.75">
      <c r="A14" s="16" t="s">
        <v>21</v>
      </c>
      <c r="B14" s="65">
        <f>SUM(B12:B13)</f>
        <v>8</v>
      </c>
      <c r="C14" s="65">
        <f>SUM(C12:C13)</f>
        <v>1</v>
      </c>
      <c r="D14" s="65">
        <f>SUM(D12:D13)</f>
        <v>9</v>
      </c>
      <c r="E14" s="65">
        <f>SUM(B14:D14)</f>
        <v>18</v>
      </c>
      <c r="F14" s="202"/>
      <c r="G14" s="187"/>
      <c r="H14" s="187"/>
    </row>
    <row r="15" spans="1:5" ht="12.75">
      <c r="A15" s="23"/>
      <c r="B15" s="23"/>
      <c r="C15" s="50"/>
      <c r="D15" s="50"/>
      <c r="E15" s="50"/>
    </row>
    <row r="16" spans="1:5" ht="15.75">
      <c r="A16" s="180" t="s">
        <v>381</v>
      </c>
      <c r="B16" s="180"/>
      <c r="C16" s="10"/>
      <c r="D16" s="10"/>
      <c r="E16" s="10"/>
    </row>
    <row r="17" spans="1:5" ht="12.75">
      <c r="A17" s="33" t="s">
        <v>282</v>
      </c>
      <c r="B17" s="33"/>
      <c r="C17" s="31">
        <v>2010</v>
      </c>
      <c r="D17" s="31">
        <v>2011</v>
      </c>
      <c r="E17" s="31" t="s">
        <v>1</v>
      </c>
    </row>
    <row r="18" spans="1:5" ht="12.75">
      <c r="A18" s="20" t="s">
        <v>329</v>
      </c>
      <c r="B18" s="20"/>
      <c r="C18" s="76"/>
      <c r="D18" s="76">
        <v>4000000</v>
      </c>
      <c r="E18" s="76">
        <f>SUM(B18:D18)</f>
        <v>4000000</v>
      </c>
    </row>
    <row r="19" spans="1:5" ht="12.75">
      <c r="A19" s="23"/>
      <c r="B19" s="23"/>
      <c r="C19" s="130"/>
      <c r="D19" s="130"/>
      <c r="E19" s="130"/>
    </row>
    <row r="20" spans="1:5" ht="12.75">
      <c r="A20" s="33" t="s">
        <v>283</v>
      </c>
      <c r="B20" s="33"/>
      <c r="C20" s="158"/>
      <c r="D20" s="158"/>
      <c r="E20" s="130"/>
    </row>
    <row r="21" spans="1:5" ht="12.75">
      <c r="A21" s="16" t="s">
        <v>32</v>
      </c>
      <c r="B21" s="16"/>
      <c r="C21" s="76"/>
      <c r="D21" s="76">
        <v>60000</v>
      </c>
      <c r="E21" s="76">
        <f>SUM(B21:D21)</f>
        <v>60000</v>
      </c>
    </row>
    <row r="22" spans="1:5" ht="12.75">
      <c r="A22" s="16" t="s">
        <v>20</v>
      </c>
      <c r="B22" s="16"/>
      <c r="C22" s="76"/>
      <c r="D22" s="76">
        <v>0</v>
      </c>
      <c r="E22" s="76">
        <f>SUM(B22:D22)</f>
        <v>0</v>
      </c>
    </row>
    <row r="23" spans="1:5" ht="12.75">
      <c r="A23" s="16" t="s">
        <v>33</v>
      </c>
      <c r="B23" s="16"/>
      <c r="C23" s="76"/>
      <c r="D23" s="76">
        <f>SUM(D21:D22)</f>
        <v>60000</v>
      </c>
      <c r="E23" s="76">
        <f>SUM(B23:D23)</f>
        <v>60000</v>
      </c>
    </row>
    <row r="24" spans="1:5" ht="12.75">
      <c r="A24" s="23"/>
      <c r="B24" s="23"/>
      <c r="C24" s="46"/>
      <c r="D24" s="46"/>
      <c r="E24" s="46"/>
    </row>
    <row r="25" spans="1:5" ht="12.75">
      <c r="A25" s="49" t="s">
        <v>5</v>
      </c>
      <c r="B25" s="49"/>
      <c r="C25" s="46"/>
      <c r="D25" s="46"/>
      <c r="E25" s="46"/>
    </row>
    <row r="26" spans="1:5" ht="12.75">
      <c r="A26" s="16" t="s">
        <v>24</v>
      </c>
      <c r="B26" s="16"/>
      <c r="C26" s="65"/>
      <c r="D26" s="65">
        <v>0</v>
      </c>
      <c r="E26" s="13">
        <f>SUM(B26:D26)</f>
        <v>0</v>
      </c>
    </row>
    <row r="27" spans="1:5" ht="12.75">
      <c r="A27" s="16" t="s">
        <v>23</v>
      </c>
      <c r="B27" s="16"/>
      <c r="C27" s="13"/>
      <c r="D27" s="13">
        <v>0</v>
      </c>
      <c r="E27" s="13">
        <f>SUM(B27:D27)</f>
        <v>0</v>
      </c>
    </row>
    <row r="28" spans="1:5" ht="12.75">
      <c r="A28" s="16" t="s">
        <v>21</v>
      </c>
      <c r="B28" s="16"/>
      <c r="C28" s="13"/>
      <c r="D28" s="13">
        <f>SUM(D26:D27)</f>
        <v>0</v>
      </c>
      <c r="E28" s="13">
        <f>SUM(B28:D28)</f>
        <v>0</v>
      </c>
    </row>
    <row r="30" spans="1:2" ht="15.75">
      <c r="A30" s="179" t="s">
        <v>382</v>
      </c>
      <c r="B30" s="179"/>
    </row>
    <row r="31" spans="1:5" ht="12.75">
      <c r="A31" s="33" t="s">
        <v>282</v>
      </c>
      <c r="B31" s="33"/>
      <c r="C31" s="31">
        <v>2010</v>
      </c>
      <c r="D31" s="31">
        <v>2011</v>
      </c>
      <c r="E31" s="31" t="s">
        <v>1</v>
      </c>
    </row>
    <row r="32" spans="1:5" ht="12.75">
      <c r="A32" s="20" t="s">
        <v>329</v>
      </c>
      <c r="B32" s="20"/>
      <c r="C32" s="76"/>
      <c r="D32" s="76">
        <v>18000000</v>
      </c>
      <c r="E32" s="76">
        <f>SUM(B32:D32)</f>
        <v>18000000</v>
      </c>
    </row>
    <row r="33" spans="1:5" ht="12.75">
      <c r="A33" s="23"/>
      <c r="B33" s="23"/>
      <c r="C33" s="130"/>
      <c r="D33" s="130"/>
      <c r="E33" s="130"/>
    </row>
    <row r="34" spans="1:5" ht="12.75">
      <c r="A34" s="33" t="s">
        <v>283</v>
      </c>
      <c r="B34" s="33"/>
      <c r="C34" s="158"/>
      <c r="D34" s="158"/>
      <c r="E34" s="130"/>
    </row>
    <row r="35" spans="1:5" ht="12.75">
      <c r="A35" s="16" t="s">
        <v>32</v>
      </c>
      <c r="B35" s="16"/>
      <c r="C35" s="76"/>
      <c r="D35" s="76">
        <v>360000</v>
      </c>
      <c r="E35" s="76">
        <f>SUM(B35:D35)</f>
        <v>360000</v>
      </c>
    </row>
    <row r="36" spans="1:5" ht="12.75">
      <c r="A36" s="16" t="s">
        <v>20</v>
      </c>
      <c r="B36" s="16"/>
      <c r="C36" s="76"/>
      <c r="D36" s="76">
        <v>0</v>
      </c>
      <c r="E36" s="76">
        <f>SUM(B36:D36)</f>
        <v>0</v>
      </c>
    </row>
    <row r="37" spans="1:5" ht="12.75">
      <c r="A37" s="16" t="s">
        <v>33</v>
      </c>
      <c r="B37" s="16"/>
      <c r="C37" s="76"/>
      <c r="D37" s="76">
        <f>SUM(D35:D36)</f>
        <v>360000</v>
      </c>
      <c r="E37" s="76">
        <f>SUM(B37:D37)</f>
        <v>360000</v>
      </c>
    </row>
    <row r="38" spans="1:5" ht="12.75">
      <c r="A38" s="23"/>
      <c r="B38" s="23"/>
      <c r="C38" s="46"/>
      <c r="D38" s="46"/>
      <c r="E38" s="46"/>
    </row>
    <row r="39" spans="1:5" ht="12.75">
      <c r="A39" s="49" t="s">
        <v>5</v>
      </c>
      <c r="B39" s="49"/>
      <c r="C39" s="46"/>
      <c r="D39" s="46"/>
      <c r="E39" s="46"/>
    </row>
    <row r="40" spans="1:5" ht="12.75">
      <c r="A40" s="16" t="s">
        <v>24</v>
      </c>
      <c r="B40" s="16"/>
      <c r="C40" s="65"/>
      <c r="D40" s="65">
        <v>0</v>
      </c>
      <c r="E40" s="13">
        <f>SUM(B40:D40)</f>
        <v>0</v>
      </c>
    </row>
    <row r="41" spans="1:5" ht="12.75">
      <c r="A41" s="16" t="s">
        <v>23</v>
      </c>
      <c r="B41" s="16"/>
      <c r="C41" s="13"/>
      <c r="D41" s="13">
        <v>0</v>
      </c>
      <c r="E41" s="13">
        <f>SUM(B41:D41)</f>
        <v>0</v>
      </c>
    </row>
    <row r="42" spans="1:5" ht="12.75">
      <c r="A42" s="16" t="s">
        <v>21</v>
      </c>
      <c r="B42" s="16"/>
      <c r="C42" s="13"/>
      <c r="D42" s="13">
        <f>SUM(D40:D41)</f>
        <v>0</v>
      </c>
      <c r="E42" s="13">
        <f>SUM(B42:D42)</f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2.421875" style="0" customWidth="1"/>
    <col min="2" max="2" width="11.8515625" style="0" bestFit="1" customWidth="1"/>
    <col min="3" max="3" width="13.00390625" style="0" bestFit="1" customWidth="1"/>
    <col min="4" max="4" width="12.57421875" style="0" bestFit="1" customWidth="1"/>
    <col min="5" max="6" width="13.28125" style="0" bestFit="1" customWidth="1"/>
    <col min="7" max="7" width="12.28125" style="0" bestFit="1" customWidth="1"/>
    <col min="8" max="8" width="12.57421875" style="0" bestFit="1" customWidth="1"/>
    <col min="9" max="10" width="13.00390625" style="0" bestFit="1" customWidth="1"/>
    <col min="11" max="11" width="13.28125" style="0" bestFit="1" customWidth="1"/>
    <col min="12" max="12" width="12.28125" style="0" customWidth="1"/>
  </cols>
  <sheetData>
    <row r="1" spans="2:12" ht="12.75">
      <c r="B1" s="35">
        <v>2001</v>
      </c>
      <c r="C1" s="35">
        <v>2002</v>
      </c>
      <c r="D1" s="35">
        <v>2003</v>
      </c>
      <c r="E1" s="35">
        <v>2004</v>
      </c>
      <c r="F1" s="35">
        <v>2005</v>
      </c>
      <c r="G1" s="35">
        <v>2006</v>
      </c>
      <c r="H1" s="35">
        <v>2007</v>
      </c>
      <c r="I1" s="121">
        <v>2008</v>
      </c>
      <c r="J1" s="121">
        <v>2009</v>
      </c>
      <c r="K1" s="154">
        <v>2010</v>
      </c>
      <c r="L1" s="35">
        <v>2011</v>
      </c>
    </row>
    <row r="2" spans="1:8" ht="12.75">
      <c r="A2" s="107" t="s">
        <v>104</v>
      </c>
      <c r="B2" s="3"/>
      <c r="C2" s="3"/>
      <c r="D2" s="3"/>
      <c r="E2" s="3"/>
      <c r="F2" s="3"/>
      <c r="G2" s="3"/>
      <c r="H2" s="3"/>
    </row>
    <row r="3" spans="1:12" ht="12.75">
      <c r="A3" s="107" t="s">
        <v>8</v>
      </c>
      <c r="B3" s="25">
        <v>50672</v>
      </c>
      <c r="C3" s="25">
        <v>168796</v>
      </c>
      <c r="D3" s="25">
        <v>285577</v>
      </c>
      <c r="E3" s="25">
        <v>328513</v>
      </c>
      <c r="F3" s="25">
        <v>242659</v>
      </c>
      <c r="G3" s="25">
        <v>128252</v>
      </c>
      <c r="H3" s="25">
        <f>'Annual Savings'!H32</f>
        <v>228721</v>
      </c>
      <c r="I3" s="25">
        <f>'Annual Savings'!I32</f>
        <v>335001</v>
      </c>
      <c r="J3" s="25">
        <f>'2001-2011 Summary'!J15</f>
        <v>462162</v>
      </c>
      <c r="K3" s="25">
        <f>'2001-2011 Summary'!K15</f>
        <v>347906.80000000005</v>
      </c>
      <c r="L3" s="25">
        <f>'2001-2011 Summary'!L15</f>
        <v>453682.1</v>
      </c>
    </row>
    <row r="4" spans="1:12" ht="12.75">
      <c r="A4" s="107" t="s">
        <v>237</v>
      </c>
      <c r="B4" s="25">
        <v>243146</v>
      </c>
      <c r="C4" s="25">
        <v>339172</v>
      </c>
      <c r="D4" s="25">
        <v>410818</v>
      </c>
      <c r="E4" s="25">
        <v>432759</v>
      </c>
      <c r="F4" s="25">
        <v>617261</v>
      </c>
      <c r="G4" s="25">
        <v>640179</v>
      </c>
      <c r="H4" s="25">
        <f>'2001-2011 Summary'!H27</f>
        <v>979662</v>
      </c>
      <c r="I4" s="25">
        <f>'2001-2011 Summary'!I27</f>
        <v>489724</v>
      </c>
      <c r="J4" s="25">
        <f>'2001-2011 Summary'!J27</f>
        <v>636343</v>
      </c>
      <c r="K4" s="25">
        <f>'2001-2011 Summary'!K27</f>
        <v>934826</v>
      </c>
      <c r="L4" s="25">
        <f>'2001-2011 Summary'!L27</f>
        <v>782556.95</v>
      </c>
    </row>
    <row r="5" spans="1:12" ht="12.75">
      <c r="A5" s="108" t="s">
        <v>331</v>
      </c>
      <c r="B5" s="12">
        <v>57555000</v>
      </c>
      <c r="C5" s="12">
        <v>99904000</v>
      </c>
      <c r="D5" s="12">
        <v>97786000</v>
      </c>
      <c r="E5" s="12">
        <v>107502000</v>
      </c>
      <c r="F5" s="12">
        <v>124592542</v>
      </c>
      <c r="G5" s="12">
        <v>171197000</v>
      </c>
      <c r="H5" s="12">
        <v>176811000</v>
      </c>
      <c r="I5" s="12">
        <v>147550000</v>
      </c>
      <c r="J5" s="12">
        <v>178164199.73</v>
      </c>
      <c r="K5" s="12">
        <v>219585204.35999998</v>
      </c>
      <c r="L5" s="12">
        <f>'2001-2011 Summary'!L11</f>
        <v>191875940.36</v>
      </c>
    </row>
    <row r="6" spans="1:8" ht="12.75">
      <c r="A6" s="107"/>
      <c r="B6" s="25"/>
      <c r="C6" s="25"/>
      <c r="D6" s="25"/>
      <c r="E6" s="25"/>
      <c r="F6" s="25"/>
      <c r="G6" s="25"/>
      <c r="H6" s="25"/>
    </row>
    <row r="7" spans="1:8" ht="12.75">
      <c r="A7" s="108" t="s">
        <v>239</v>
      </c>
      <c r="B7" s="25"/>
      <c r="C7" s="25"/>
      <c r="D7" s="25"/>
      <c r="E7" s="25"/>
      <c r="F7" s="25"/>
      <c r="G7" s="25"/>
      <c r="H7" s="25"/>
    </row>
    <row r="8" spans="1:12" ht="12.75">
      <c r="A8" s="108" t="s">
        <v>238</v>
      </c>
      <c r="B8" s="25">
        <v>11</v>
      </c>
      <c r="C8" s="25">
        <v>2896</v>
      </c>
      <c r="D8" s="25">
        <v>7239</v>
      </c>
      <c r="E8" s="25">
        <v>6515</v>
      </c>
      <c r="F8" s="25">
        <v>29136</v>
      </c>
      <c r="G8" s="25">
        <v>68869</v>
      </c>
      <c r="H8" s="25">
        <v>200071</v>
      </c>
      <c r="I8" s="25">
        <f>'Annual Savings'!I100</f>
        <v>188968.72</v>
      </c>
      <c r="J8" s="25">
        <f>'2001-2011 Summary'!J16</f>
        <v>169101</v>
      </c>
      <c r="K8" s="25">
        <f>'2001-2011 Summary'!K16</f>
        <v>327579</v>
      </c>
      <c r="L8" s="25">
        <f>'2001-2011 Summary'!L16</f>
        <v>382066</v>
      </c>
    </row>
    <row r="9" spans="1:12" ht="12.75">
      <c r="A9" s="108" t="s">
        <v>215</v>
      </c>
      <c r="B9" s="25">
        <v>0</v>
      </c>
      <c r="C9" s="25">
        <v>0</v>
      </c>
      <c r="D9" s="25">
        <v>0</v>
      </c>
      <c r="E9" s="25">
        <v>0</v>
      </c>
      <c r="F9" s="25">
        <v>767</v>
      </c>
      <c r="G9" s="25">
        <v>12575</v>
      </c>
      <c r="H9" s="25">
        <v>102125</v>
      </c>
      <c r="I9" s="25">
        <f>'Annual Savings'!I34</f>
        <v>9114</v>
      </c>
      <c r="J9" s="25">
        <f>'2001-2011 Summary'!J17</f>
        <v>35317</v>
      </c>
      <c r="K9" s="25">
        <f>'2001-2011 Summary'!K17</f>
        <v>47743</v>
      </c>
      <c r="L9" s="25">
        <f>'2001-2011 Summary'!L17</f>
        <v>0</v>
      </c>
    </row>
    <row r="10" spans="1:12" ht="12.75">
      <c r="A10" s="108" t="s">
        <v>332</v>
      </c>
      <c r="B10" s="25">
        <f>B3+B8</f>
        <v>50683</v>
      </c>
      <c r="C10" s="25">
        <f aca="true" t="shared" si="0" ref="C10:J10">C3+C8</f>
        <v>171692</v>
      </c>
      <c r="D10" s="25">
        <f t="shared" si="0"/>
        <v>292816</v>
      </c>
      <c r="E10" s="25">
        <f t="shared" si="0"/>
        <v>335028</v>
      </c>
      <c r="F10" s="25">
        <f t="shared" si="0"/>
        <v>271795</v>
      </c>
      <c r="G10" s="25">
        <f t="shared" si="0"/>
        <v>197121</v>
      </c>
      <c r="H10" s="25">
        <f t="shared" si="0"/>
        <v>428792</v>
      </c>
      <c r="I10" s="25">
        <f t="shared" si="0"/>
        <v>523969.72</v>
      </c>
      <c r="J10" s="25">
        <f t="shared" si="0"/>
        <v>631263</v>
      </c>
      <c r="K10" s="25">
        <f>K3+K8</f>
        <v>675485.8</v>
      </c>
      <c r="L10" s="25">
        <f>L3+L8</f>
        <v>835748.1</v>
      </c>
    </row>
    <row r="11" spans="2:8" ht="12.75">
      <c r="B11" s="25"/>
      <c r="C11" s="103" t="s">
        <v>333</v>
      </c>
      <c r="D11" s="25"/>
      <c r="E11" s="25"/>
      <c r="F11" s="25"/>
      <c r="G11" s="25"/>
      <c r="H11" s="25"/>
    </row>
    <row r="12" spans="1:8" ht="12.75">
      <c r="A12" s="107" t="s">
        <v>240</v>
      </c>
      <c r="B12" s="25"/>
      <c r="C12" s="25"/>
      <c r="D12" s="25"/>
      <c r="E12" s="25"/>
      <c r="F12" s="25"/>
      <c r="G12" s="25"/>
      <c r="H12" s="25"/>
    </row>
    <row r="13" spans="1:12" ht="12.75">
      <c r="A13" s="107" t="s">
        <v>241</v>
      </c>
      <c r="B13" s="25">
        <v>27485</v>
      </c>
      <c r="C13" s="25">
        <v>150036</v>
      </c>
      <c r="D13" s="25">
        <v>224141</v>
      </c>
      <c r="E13" s="25">
        <v>231473</v>
      </c>
      <c r="F13" s="25">
        <v>220632</v>
      </c>
      <c r="G13" s="25">
        <v>153435</v>
      </c>
      <c r="H13" s="25">
        <v>464440</v>
      </c>
      <c r="I13" s="25">
        <v>418463</v>
      </c>
      <c r="J13" s="25">
        <f>'emmission reductions'!J6</f>
        <v>583468</v>
      </c>
      <c r="K13" s="25">
        <f>'emmission reductions'!K6</f>
        <v>464605</v>
      </c>
      <c r="L13" s="25">
        <f>'emmission reductions'!L6</f>
        <v>730728.7884216309</v>
      </c>
    </row>
    <row r="14" spans="2:8" ht="12.75">
      <c r="B14" s="25"/>
      <c r="C14" s="25"/>
      <c r="D14" s="25"/>
      <c r="E14" s="25"/>
      <c r="F14" s="25"/>
      <c r="G14" s="25"/>
      <c r="H14" s="25"/>
    </row>
    <row r="15" spans="2:8" ht="12.75">
      <c r="B15" s="25"/>
      <c r="C15" s="25"/>
      <c r="D15" s="25"/>
      <c r="E15" s="25"/>
      <c r="F15" s="25"/>
      <c r="G15" s="25"/>
      <c r="H15" s="25"/>
    </row>
    <row r="23" ht="12.75">
      <c r="K23" t="s">
        <v>103</v>
      </c>
    </row>
    <row r="41" ht="12.75">
      <c r="I41" s="107" t="s">
        <v>333</v>
      </c>
    </row>
  </sheetData>
  <sheetProtection/>
  <printOptions/>
  <pageMargins left="0.7" right="0.7" top="0.75" bottom="0.75" header="0.3" footer="0.3"/>
  <pageSetup fitToHeight="10" horizontalDpi="600" verticalDpi="600" orientation="landscape" scale="74" r:id="rId2"/>
  <rowBreaks count="1" manualBreakCount="1">
    <brk id="51" max="11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F1" sqref="F1"/>
    </sheetView>
  </sheetViews>
  <sheetFormatPr defaultColWidth="10.7109375" defaultRowHeight="12.75"/>
  <cols>
    <col min="1" max="1" width="30.7109375" style="3" customWidth="1"/>
    <col min="2" max="2" width="15.421875" style="6" bestFit="1" customWidth="1"/>
    <col min="3" max="4" width="15.421875" style="6" customWidth="1"/>
    <col min="5" max="5" width="15.421875" style="6" bestFit="1" customWidth="1"/>
    <col min="6" max="16384" width="10.7109375" style="6" customWidth="1"/>
  </cols>
  <sheetData>
    <row r="1" spans="1:5" ht="15.75">
      <c r="A1" s="235" t="s">
        <v>341</v>
      </c>
      <c r="B1" s="236"/>
      <c r="C1" s="236"/>
      <c r="D1" s="236"/>
      <c r="E1" s="236"/>
    </row>
    <row r="2" spans="1:8" ht="12.75">
      <c r="A2" s="23"/>
      <c r="F2" s="3"/>
      <c r="G2" s="3"/>
      <c r="H2" s="3"/>
    </row>
    <row r="3" spans="1:8" ht="12.75">
      <c r="A3" s="33" t="s">
        <v>282</v>
      </c>
      <c r="B3" s="31">
        <v>2009</v>
      </c>
      <c r="C3" s="31">
        <v>2010</v>
      </c>
      <c r="D3" s="31">
        <v>2011</v>
      </c>
      <c r="E3" s="31" t="s">
        <v>1</v>
      </c>
      <c r="F3" s="3"/>
      <c r="G3" s="3"/>
      <c r="H3" s="3"/>
    </row>
    <row r="4" spans="1:8" ht="12.75">
      <c r="A4" s="20" t="s">
        <v>342</v>
      </c>
      <c r="B4" s="155">
        <v>10201605</v>
      </c>
      <c r="C4" s="155">
        <v>6201605</v>
      </c>
      <c r="D4" s="155">
        <v>11282831.73</v>
      </c>
      <c r="E4" s="155">
        <f>SUM(B4:D4)</f>
        <v>27686041.73</v>
      </c>
      <c r="F4" s="3"/>
      <c r="G4" s="3"/>
      <c r="H4" s="3"/>
    </row>
    <row r="5" spans="1:8" ht="12.75">
      <c r="A5" s="23"/>
      <c r="B5" s="156"/>
      <c r="C5" s="156"/>
      <c r="D5" s="156"/>
      <c r="E5" s="156"/>
      <c r="F5" s="3"/>
      <c r="G5" s="3"/>
      <c r="H5" s="3"/>
    </row>
    <row r="6" spans="1:8" ht="12.75">
      <c r="A6" s="33" t="s">
        <v>283</v>
      </c>
      <c r="B6" s="156"/>
      <c r="C6" s="156"/>
      <c r="D6" s="156"/>
      <c r="E6" s="156"/>
      <c r="F6" s="3"/>
      <c r="G6" s="3"/>
      <c r="H6" s="3"/>
    </row>
    <row r="7" spans="1:5" s="3" customFormat="1" ht="12.75">
      <c r="A7" s="16" t="s">
        <v>32</v>
      </c>
      <c r="B7" s="155">
        <v>0</v>
      </c>
      <c r="C7" s="155">
        <v>0</v>
      </c>
      <c r="D7" s="155">
        <v>0</v>
      </c>
      <c r="E7" s="155">
        <f>SUM(B7:D7)</f>
        <v>0</v>
      </c>
    </row>
    <row r="8" spans="1:5" s="3" customFormat="1" ht="12.75">
      <c r="A8" s="16" t="s">
        <v>20</v>
      </c>
      <c r="B8" s="155">
        <v>0</v>
      </c>
      <c r="C8" s="155">
        <v>3856320</v>
      </c>
      <c r="D8" s="155">
        <v>3856320</v>
      </c>
      <c r="E8" s="155">
        <f>SUM(B8:D8)</f>
        <v>7712640</v>
      </c>
    </row>
    <row r="9" spans="1:5" s="3" customFormat="1" ht="12.75">
      <c r="A9" s="16" t="s">
        <v>33</v>
      </c>
      <c r="B9" s="155">
        <f>SUM(B7:B8)</f>
        <v>0</v>
      </c>
      <c r="C9" s="155">
        <f>SUM(C7:C8)</f>
        <v>3856320</v>
      </c>
      <c r="D9" s="155">
        <f>SUM(D7:D8)</f>
        <v>3856320</v>
      </c>
      <c r="E9" s="155">
        <f>SUM(B9:D9)</f>
        <v>7712640</v>
      </c>
    </row>
    <row r="10" spans="1:5" s="3" customFormat="1" ht="12.75">
      <c r="A10" s="23"/>
      <c r="B10" s="46"/>
      <c r="C10" s="46"/>
      <c r="D10" s="46"/>
      <c r="E10" s="46"/>
    </row>
    <row r="11" spans="1:5" s="3" customFormat="1" ht="12.75">
      <c r="A11" s="49" t="s">
        <v>5</v>
      </c>
      <c r="B11" s="46"/>
      <c r="C11" s="46"/>
      <c r="D11" s="46"/>
      <c r="E11" s="46"/>
    </row>
    <row r="12" spans="1:5" s="3" customFormat="1" ht="12.75">
      <c r="A12" s="16" t="s">
        <v>24</v>
      </c>
      <c r="B12" s="13">
        <v>0</v>
      </c>
      <c r="C12" s="13">
        <v>0</v>
      </c>
      <c r="D12" s="13"/>
      <c r="E12" s="92">
        <f>SUM(B12:D12)</f>
        <v>0</v>
      </c>
    </row>
    <row r="13" spans="1:6" s="3" customFormat="1" ht="12.75">
      <c r="A13" s="16" t="s">
        <v>23</v>
      </c>
      <c r="B13" s="13">
        <v>0</v>
      </c>
      <c r="C13" s="65">
        <v>0</v>
      </c>
      <c r="D13" s="65"/>
      <c r="E13" s="92">
        <f>SUM(B13:D13)</f>
        <v>0</v>
      </c>
      <c r="F13" s="170"/>
    </row>
    <row r="14" spans="1:5" s="3" customFormat="1" ht="12.75">
      <c r="A14" s="16" t="s">
        <v>21</v>
      </c>
      <c r="B14" s="13">
        <f>SUM(B12:B13)</f>
        <v>0</v>
      </c>
      <c r="C14" s="13">
        <f>SUM(C12:C13)</f>
        <v>0</v>
      </c>
      <c r="D14" s="13"/>
      <c r="E14" s="92">
        <f>SUM(B14:D14)</f>
        <v>0</v>
      </c>
    </row>
    <row r="15" spans="1:5" s="3" customFormat="1" ht="12.75">
      <c r="A15" s="23"/>
      <c r="B15" s="50"/>
      <c r="C15" s="50"/>
      <c r="D15" s="50"/>
      <c r="E15" s="50"/>
    </row>
    <row r="16" spans="1:5" s="3" customFormat="1" ht="12.75">
      <c r="A16" s="56" t="s">
        <v>339</v>
      </c>
      <c r="B16" s="46"/>
      <c r="C16" s="46"/>
      <c r="D16" s="46"/>
      <c r="E16" s="46"/>
    </row>
    <row r="17" spans="1:5" s="3" customFormat="1" ht="12.75">
      <c r="A17" s="49" t="s">
        <v>72</v>
      </c>
      <c r="B17" s="51" t="s">
        <v>8</v>
      </c>
      <c r="C17" s="51" t="s">
        <v>8</v>
      </c>
      <c r="D17" s="51" t="s">
        <v>8</v>
      </c>
      <c r="E17" s="46" t="s">
        <v>8</v>
      </c>
    </row>
    <row r="18" spans="1:5" ht="12.75">
      <c r="A18" s="16" t="s">
        <v>73</v>
      </c>
      <c r="B18" s="13">
        <v>0</v>
      </c>
      <c r="C18" s="13">
        <v>0</v>
      </c>
      <c r="D18" s="13">
        <v>0</v>
      </c>
      <c r="E18" s="92">
        <f>SUM(B18:D18)</f>
        <v>0</v>
      </c>
    </row>
    <row r="19" spans="1:5" ht="12.75">
      <c r="A19" s="16" t="s">
        <v>74</v>
      </c>
      <c r="B19" s="13">
        <v>0</v>
      </c>
      <c r="C19" s="13">
        <v>0</v>
      </c>
      <c r="D19" s="13">
        <v>0</v>
      </c>
      <c r="E19" s="92">
        <f>SUM(B19:D19)</f>
        <v>0</v>
      </c>
    </row>
    <row r="20" spans="1:5" ht="12.75">
      <c r="A20" s="23"/>
      <c r="B20" s="50"/>
      <c r="C20" s="50"/>
      <c r="D20" s="50"/>
      <c r="E20" s="50"/>
    </row>
    <row r="21" spans="1:5" ht="12.75">
      <c r="A21" s="49" t="s">
        <v>135</v>
      </c>
      <c r="B21" s="105" t="s">
        <v>11</v>
      </c>
      <c r="C21" s="105" t="s">
        <v>11</v>
      </c>
      <c r="D21" s="50" t="s">
        <v>11</v>
      </c>
      <c r="E21" s="50" t="s">
        <v>11</v>
      </c>
    </row>
    <row r="22" spans="1:5" ht="12.75">
      <c r="A22" s="16" t="s">
        <v>75</v>
      </c>
      <c r="B22" s="13">
        <v>0</v>
      </c>
      <c r="C22" s="13">
        <v>0</v>
      </c>
      <c r="D22" s="13">
        <v>0</v>
      </c>
      <c r="E22" s="92">
        <f>SUM(B22:D22)</f>
        <v>0</v>
      </c>
    </row>
    <row r="23" spans="1:5" ht="12.75">
      <c r="A23" s="46"/>
      <c r="B23" s="50"/>
      <c r="C23" s="50"/>
      <c r="D23" s="50"/>
      <c r="E23" s="50"/>
    </row>
    <row r="25" ht="12.75">
      <c r="A25" s="73" t="s">
        <v>340</v>
      </c>
    </row>
    <row r="26" spans="1:5" ht="12.75">
      <c r="A26" s="49" t="s">
        <v>72</v>
      </c>
      <c r="B26" s="51" t="s">
        <v>8</v>
      </c>
      <c r="C26" s="51" t="s">
        <v>8</v>
      </c>
      <c r="D26" s="51" t="s">
        <v>8</v>
      </c>
      <c r="E26" s="46" t="s">
        <v>8</v>
      </c>
    </row>
    <row r="27" spans="1:11" ht="12.75">
      <c r="A27" s="16" t="s">
        <v>73</v>
      </c>
      <c r="B27" s="13">
        <v>0</v>
      </c>
      <c r="C27" s="13">
        <v>34156</v>
      </c>
      <c r="D27" s="13">
        <v>23926</v>
      </c>
      <c r="E27" s="92">
        <f>SUM(B27:D27)</f>
        <v>58082</v>
      </c>
      <c r="F27" s="79"/>
      <c r="G27" s="79"/>
      <c r="H27" s="79"/>
      <c r="I27" s="79"/>
      <c r="J27" s="79"/>
      <c r="K27" s="79"/>
    </row>
    <row r="28" spans="1:11" ht="12.75">
      <c r="A28" s="16" t="s">
        <v>74</v>
      </c>
      <c r="B28" s="13">
        <v>0</v>
      </c>
      <c r="C28" s="13">
        <v>740720</v>
      </c>
      <c r="D28" s="13">
        <v>528530</v>
      </c>
      <c r="E28" s="92">
        <f>SUM(B28:D28)</f>
        <v>1269250</v>
      </c>
      <c r="F28" s="79"/>
      <c r="G28" s="79"/>
      <c r="H28" s="79"/>
      <c r="I28" s="79"/>
      <c r="J28" s="79"/>
      <c r="K28" s="79"/>
    </row>
    <row r="29" spans="1:11" ht="12.75">
      <c r="A29" s="23"/>
      <c r="B29" s="50"/>
      <c r="C29" s="50"/>
      <c r="D29" s="50"/>
      <c r="E29" s="50"/>
      <c r="F29" s="219"/>
      <c r="G29" s="79"/>
      <c r="H29" s="79"/>
      <c r="I29" s="79"/>
      <c r="J29" s="79"/>
      <c r="K29" s="79"/>
    </row>
    <row r="30" spans="1:11" ht="12.75">
      <c r="A30" s="49" t="s">
        <v>135</v>
      </c>
      <c r="B30" s="105" t="s">
        <v>11</v>
      </c>
      <c r="C30" s="105" t="s">
        <v>11</v>
      </c>
      <c r="D30" s="50" t="s">
        <v>11</v>
      </c>
      <c r="E30" s="50" t="s">
        <v>11</v>
      </c>
      <c r="F30" s="183"/>
      <c r="G30" s="79"/>
      <c r="H30" s="79"/>
      <c r="I30" s="79"/>
      <c r="J30" s="79"/>
      <c r="K30" s="79"/>
    </row>
    <row r="31" spans="1:17" ht="12.75">
      <c r="A31" s="16" t="s">
        <v>75</v>
      </c>
      <c r="B31" s="13">
        <v>0</v>
      </c>
      <c r="C31" s="13">
        <v>8000</v>
      </c>
      <c r="D31" s="13">
        <v>6500</v>
      </c>
      <c r="E31" s="92">
        <f>SUM(B31:D31)</f>
        <v>14500</v>
      </c>
      <c r="F31" s="78"/>
      <c r="G31" s="78"/>
      <c r="H31" s="78"/>
      <c r="I31" s="78"/>
      <c r="J31" s="198"/>
      <c r="K31" s="198"/>
      <c r="L31" s="9"/>
      <c r="M31" s="9"/>
      <c r="N31" s="9"/>
      <c r="O31" s="9"/>
      <c r="P31" s="9"/>
      <c r="Q31" s="9"/>
    </row>
    <row r="32" spans="1:17" ht="12.75">
      <c r="A32" s="2"/>
      <c r="B32" s="10"/>
      <c r="D32" s="10"/>
      <c r="E32" s="10"/>
      <c r="F32" s="10"/>
      <c r="G32" s="10"/>
      <c r="H32" s="10"/>
      <c r="I32" s="10"/>
      <c r="J32" s="9"/>
      <c r="K32" s="9"/>
      <c r="L32" s="9"/>
      <c r="M32" s="9"/>
      <c r="N32" s="9"/>
      <c r="O32" s="9"/>
      <c r="P32" s="9"/>
      <c r="Q32" s="9"/>
    </row>
    <row r="33" spans="1:17" ht="12.75">
      <c r="A33" s="2"/>
      <c r="B33" s="10"/>
      <c r="C33" s="10"/>
      <c r="D33" s="10"/>
      <c r="E33" s="10"/>
      <c r="F33" s="10"/>
      <c r="G33" s="10"/>
      <c r="H33" s="10"/>
      <c r="I33" s="10"/>
      <c r="J33" s="9"/>
      <c r="K33" s="9"/>
      <c r="L33" s="9"/>
      <c r="M33" s="9"/>
      <c r="N33" s="9"/>
      <c r="O33" s="9"/>
      <c r="P33" s="9"/>
      <c r="Q33" s="9"/>
    </row>
    <row r="34" spans="1:17" ht="12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9" ht="12.75">
      <c r="B35" s="9"/>
      <c r="C35" s="9"/>
      <c r="D35" s="9"/>
      <c r="E35" s="9"/>
      <c r="F35" s="9"/>
      <c r="G35" s="9"/>
      <c r="H35" s="9"/>
      <c r="I35" s="9"/>
    </row>
    <row r="36" spans="1:6" ht="12.75">
      <c r="A36" s="6"/>
      <c r="F36" s="8"/>
    </row>
    <row r="37" ht="12.75">
      <c r="A37" s="2"/>
    </row>
    <row r="38" spans="1:9" ht="12.75">
      <c r="A38" s="2"/>
      <c r="B38" s="10"/>
      <c r="C38" s="10"/>
      <c r="D38" s="10"/>
      <c r="E38" s="10"/>
      <c r="F38" s="10"/>
      <c r="G38" s="10"/>
      <c r="H38" s="10"/>
      <c r="I38" s="10"/>
    </row>
    <row r="39" spans="1:9" ht="12.75">
      <c r="A39" s="2"/>
      <c r="B39" s="10"/>
      <c r="C39" s="10"/>
      <c r="D39" s="10"/>
      <c r="E39" s="10"/>
      <c r="F39" s="10"/>
      <c r="G39" s="10"/>
      <c r="H39" s="10"/>
      <c r="I39" s="10"/>
    </row>
    <row r="40" spans="1:9" ht="12.75">
      <c r="A40" s="2"/>
      <c r="B40" s="10"/>
      <c r="C40" s="10"/>
      <c r="D40" s="10"/>
      <c r="E40" s="10"/>
      <c r="F40" s="10"/>
      <c r="G40" s="10"/>
      <c r="H40" s="10"/>
      <c r="I40" s="10"/>
    </row>
    <row r="41" spans="1:9" ht="12.75">
      <c r="A41" s="2"/>
      <c r="B41" s="9"/>
      <c r="C41" s="9"/>
      <c r="D41" s="9"/>
      <c r="E41" s="9"/>
      <c r="F41" s="9"/>
      <c r="G41" s="9"/>
      <c r="H41" s="9"/>
      <c r="I41" s="9"/>
    </row>
    <row r="42" ht="12.75">
      <c r="A42" s="2"/>
    </row>
    <row r="43" ht="12.75">
      <c r="A43" s="2"/>
    </row>
    <row r="44" spans="1:9" ht="12.75">
      <c r="A44" s="2"/>
      <c r="B44" s="11"/>
      <c r="C44" s="11"/>
      <c r="D44" s="11"/>
      <c r="E44" s="11"/>
      <c r="F44" s="11"/>
      <c r="G44" s="11"/>
      <c r="H44" s="11"/>
      <c r="I44" s="11"/>
    </row>
    <row r="45" spans="1:9" ht="12.75">
      <c r="A45" s="2"/>
      <c r="B45" s="11"/>
      <c r="C45" s="11"/>
      <c r="D45" s="11"/>
      <c r="E45" s="11"/>
      <c r="F45" s="11"/>
      <c r="G45" s="11"/>
      <c r="H45" s="11"/>
      <c r="I45" s="11"/>
    </row>
    <row r="46" spans="1:9" ht="12.75">
      <c r="A46" s="2"/>
      <c r="B46" s="10"/>
      <c r="C46" s="10"/>
      <c r="D46" s="10"/>
      <c r="E46" s="10"/>
      <c r="F46" s="10"/>
      <c r="G46" s="10"/>
      <c r="H46" s="10"/>
      <c r="I46" s="10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J1" sqref="J1"/>
    </sheetView>
  </sheetViews>
  <sheetFormatPr defaultColWidth="10.7109375" defaultRowHeight="12.75"/>
  <cols>
    <col min="1" max="1" width="40.421875" style="3" customWidth="1"/>
    <col min="2" max="2" width="11.8515625" style="6" bestFit="1" customWidth="1"/>
    <col min="3" max="3" width="11.28125" style="6" bestFit="1" customWidth="1"/>
    <col min="4" max="6" width="10.8515625" style="6" bestFit="1" customWidth="1"/>
    <col min="7" max="8" width="10.8515625" style="6" customWidth="1"/>
    <col min="9" max="9" width="11.57421875" style="6" bestFit="1" customWidth="1"/>
    <col min="10" max="16384" width="10.7109375" style="6" customWidth="1"/>
  </cols>
  <sheetData>
    <row r="1" spans="1:9" ht="12.75">
      <c r="A1" s="33" t="s">
        <v>214</v>
      </c>
      <c r="B1" s="26"/>
      <c r="C1" s="26"/>
      <c r="D1" s="26"/>
      <c r="E1" s="26"/>
      <c r="F1" s="26"/>
      <c r="G1" s="26"/>
      <c r="H1" s="26"/>
      <c r="I1" s="26"/>
    </row>
    <row r="2" spans="1:12" ht="12.75">
      <c r="A2" s="23"/>
      <c r="B2" s="31">
        <v>2005</v>
      </c>
      <c r="C2" s="31">
        <v>2006</v>
      </c>
      <c r="D2" s="31">
        <v>2007</v>
      </c>
      <c r="E2" s="31">
        <v>2008</v>
      </c>
      <c r="F2" s="31">
        <v>2009</v>
      </c>
      <c r="G2" s="31">
        <v>2010</v>
      </c>
      <c r="H2" s="31">
        <v>2011</v>
      </c>
      <c r="I2" s="31" t="s">
        <v>1</v>
      </c>
      <c r="J2" s="3"/>
      <c r="K2" s="3"/>
      <c r="L2" s="3"/>
    </row>
    <row r="3" spans="2:12" ht="12.75">
      <c r="B3" s="50"/>
      <c r="C3" s="50"/>
      <c r="D3" s="50"/>
      <c r="E3" s="50"/>
      <c r="F3" s="50"/>
      <c r="G3" s="50"/>
      <c r="H3" s="50"/>
      <c r="I3" s="48"/>
      <c r="J3" s="3"/>
      <c r="K3" s="3"/>
      <c r="L3" s="3"/>
    </row>
    <row r="4" spans="1:12" ht="12.75">
      <c r="A4" s="17" t="s">
        <v>282</v>
      </c>
      <c r="B4" s="76">
        <v>3000000</v>
      </c>
      <c r="C4" s="76">
        <v>1933000</v>
      </c>
      <c r="D4" s="76">
        <v>935000</v>
      </c>
      <c r="E4" s="76">
        <v>982000</v>
      </c>
      <c r="F4" s="76">
        <v>629501</v>
      </c>
      <c r="G4" s="76">
        <v>123115.25</v>
      </c>
      <c r="H4" s="76">
        <v>68400</v>
      </c>
      <c r="I4" s="76">
        <f>SUM(B4:H4)</f>
        <v>7671016.25</v>
      </c>
      <c r="J4" s="3"/>
      <c r="K4" s="3"/>
      <c r="L4" s="3"/>
    </row>
    <row r="5" spans="2:12" ht="12.75">
      <c r="B5" s="158"/>
      <c r="C5" s="158"/>
      <c r="D5" s="158"/>
      <c r="E5" s="158"/>
      <c r="F5" s="158"/>
      <c r="G5" s="158"/>
      <c r="H5" s="158"/>
      <c r="I5" s="130"/>
      <c r="J5" s="3"/>
      <c r="K5" s="3"/>
      <c r="L5" s="3"/>
    </row>
    <row r="6" spans="1:9" ht="12.75">
      <c r="A6" s="14" t="s">
        <v>350</v>
      </c>
      <c r="B6" s="76">
        <v>2729000</v>
      </c>
      <c r="C6" s="76">
        <v>1150000</v>
      </c>
      <c r="D6" s="76">
        <v>740000</v>
      </c>
      <c r="E6" s="76">
        <v>834000</v>
      </c>
      <c r="F6" s="76">
        <v>411884.32</v>
      </c>
      <c r="G6" s="76">
        <v>66748.64</v>
      </c>
      <c r="H6" s="76">
        <v>29209.4</v>
      </c>
      <c r="I6" s="76">
        <f>SUM(B6:H6)</f>
        <v>5960842.36</v>
      </c>
    </row>
    <row r="7" spans="1:13" ht="12.7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9" ht="12.75">
      <c r="A8" s="96" t="s">
        <v>5</v>
      </c>
      <c r="B8" s="65"/>
      <c r="C8" s="65">
        <v>8867</v>
      </c>
      <c r="D8" s="65">
        <v>13473</v>
      </c>
      <c r="E8" s="65">
        <v>14456</v>
      </c>
      <c r="F8" s="65">
        <v>14135</v>
      </c>
      <c r="G8" s="65">
        <v>8933</v>
      </c>
      <c r="H8" s="65">
        <v>10388</v>
      </c>
      <c r="I8" s="169"/>
    </row>
    <row r="9" spans="1:9" ht="12.75">
      <c r="A9" s="98"/>
      <c r="B9" s="69"/>
      <c r="C9" s="69"/>
      <c r="D9" s="69"/>
      <c r="E9" s="69"/>
      <c r="F9" s="69"/>
      <c r="G9" s="69"/>
      <c r="H9" s="69"/>
      <c r="I9" s="50"/>
    </row>
    <row r="10" spans="1:13" ht="12.75">
      <c r="A10" s="6"/>
      <c r="B10" s="78" t="s">
        <v>8</v>
      </c>
      <c r="C10" s="78" t="s">
        <v>8</v>
      </c>
      <c r="D10" s="78" t="s">
        <v>8</v>
      </c>
      <c r="E10" s="114" t="s">
        <v>8</v>
      </c>
      <c r="F10" s="114" t="s">
        <v>8</v>
      </c>
      <c r="G10" s="114" t="s">
        <v>8</v>
      </c>
      <c r="H10" s="114" t="s">
        <v>8</v>
      </c>
      <c r="I10" s="59"/>
      <c r="J10" s="10"/>
      <c r="K10" s="10"/>
      <c r="L10" s="10"/>
      <c r="M10" s="10"/>
    </row>
    <row r="11" spans="1:9" ht="12.75">
      <c r="A11" s="17" t="s">
        <v>117</v>
      </c>
      <c r="B11" s="65">
        <v>0</v>
      </c>
      <c r="C11" s="65">
        <v>22189</v>
      </c>
      <c r="D11" s="65">
        <v>74091</v>
      </c>
      <c r="E11" s="65">
        <v>89220.72</v>
      </c>
      <c r="F11" s="65">
        <v>101256</v>
      </c>
      <c r="G11" s="65">
        <v>74988</v>
      </c>
      <c r="H11" s="65"/>
      <c r="I11" s="169"/>
    </row>
    <row r="12" spans="1:9" ht="12.75">
      <c r="A12" s="49"/>
      <c r="B12" s="69"/>
      <c r="C12" s="69"/>
      <c r="D12" s="69"/>
      <c r="E12" s="69"/>
      <c r="F12" s="69"/>
      <c r="G12" s="69"/>
      <c r="H12" s="69"/>
      <c r="I12" s="50"/>
    </row>
    <row r="15" spans="4:6" ht="12.75">
      <c r="D15" s="87"/>
      <c r="E15" s="87"/>
      <c r="F15" s="87"/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28.8515625" style="0" customWidth="1"/>
    <col min="2" max="3" width="11.57421875" style="0" bestFit="1" customWidth="1"/>
    <col min="4" max="5" width="12.00390625" style="0" bestFit="1" customWidth="1"/>
    <col min="6" max="6" width="14.421875" style="0" bestFit="1" customWidth="1"/>
    <col min="7" max="8" width="12.8515625" style="0" customWidth="1"/>
    <col min="9" max="9" width="12.28125" style="0" bestFit="1" customWidth="1"/>
  </cols>
  <sheetData>
    <row r="1" ht="12.75">
      <c r="A1" s="1" t="s">
        <v>122</v>
      </c>
    </row>
    <row r="3" spans="1:9" ht="12.75">
      <c r="A3" s="1" t="s">
        <v>282</v>
      </c>
      <c r="B3" s="53">
        <v>2005</v>
      </c>
      <c r="C3" s="27">
        <v>2006</v>
      </c>
      <c r="D3" s="27">
        <v>2007</v>
      </c>
      <c r="E3" s="27">
        <v>2008</v>
      </c>
      <c r="F3" s="27">
        <v>2009</v>
      </c>
      <c r="G3" s="27">
        <v>2010</v>
      </c>
      <c r="H3" s="27">
        <v>2011</v>
      </c>
      <c r="I3" s="27" t="s">
        <v>1</v>
      </c>
    </row>
    <row r="4" spans="1:10" ht="12.75">
      <c r="A4" s="24" t="s">
        <v>123</v>
      </c>
      <c r="B4" s="18">
        <v>2400</v>
      </c>
      <c r="C4" s="18">
        <v>2835</v>
      </c>
      <c r="D4" s="18">
        <v>5090</v>
      </c>
      <c r="E4" s="18">
        <v>4945</v>
      </c>
      <c r="F4" s="134">
        <v>5442254.75</v>
      </c>
      <c r="G4" s="134">
        <v>4406232.03</v>
      </c>
      <c r="H4" s="134">
        <f>3545482.04+158817</f>
        <v>3704299.04</v>
      </c>
      <c r="I4" s="18"/>
      <c r="J4" s="107" t="s">
        <v>383</v>
      </c>
    </row>
    <row r="5" spans="1:9" ht="12.75">
      <c r="A5" s="24" t="s">
        <v>124</v>
      </c>
      <c r="B5" s="18">
        <v>2500</v>
      </c>
      <c r="C5" s="18">
        <v>1905</v>
      </c>
      <c r="D5" s="18">
        <v>2370</v>
      </c>
      <c r="E5" s="18">
        <v>2485</v>
      </c>
      <c r="F5" s="134">
        <v>3145566.5</v>
      </c>
      <c r="G5" s="134">
        <v>3253432.25</v>
      </c>
      <c r="H5" s="134">
        <v>3673979.46</v>
      </c>
      <c r="I5" s="18"/>
    </row>
    <row r="6" spans="1:9" ht="12.75">
      <c r="A6" s="24" t="s">
        <v>125</v>
      </c>
      <c r="B6" s="18">
        <v>5275</v>
      </c>
      <c r="C6" s="18">
        <v>5167</v>
      </c>
      <c r="D6" s="18">
        <v>6895</v>
      </c>
      <c r="E6" s="18">
        <v>4370</v>
      </c>
      <c r="F6" s="134">
        <v>802960.57</v>
      </c>
      <c r="G6" s="134">
        <v>154185.47</v>
      </c>
      <c r="H6" s="134">
        <v>122772.31</v>
      </c>
      <c r="I6" s="18"/>
    </row>
    <row r="7" spans="1:9" ht="12.75">
      <c r="A7" s="14" t="s">
        <v>1</v>
      </c>
      <c r="B7" s="18">
        <f>SUM(B4:B6)</f>
        <v>10175</v>
      </c>
      <c r="C7" s="18">
        <f>SUM(C4:C6)</f>
        <v>9907</v>
      </c>
      <c r="D7" s="18">
        <f>SUM(D4:D6)</f>
        <v>14355</v>
      </c>
      <c r="E7" s="18">
        <f>SUM(E4:E6)</f>
        <v>11800</v>
      </c>
      <c r="F7" s="134"/>
      <c r="G7" s="134"/>
      <c r="H7" s="134"/>
      <c r="I7" s="18"/>
    </row>
    <row r="8" spans="1:9" ht="12.75">
      <c r="A8" s="17" t="s">
        <v>281</v>
      </c>
      <c r="B8" s="18">
        <f>B7*1000</f>
        <v>10175000</v>
      </c>
      <c r="C8" s="18">
        <f>C7*1000</f>
        <v>9907000</v>
      </c>
      <c r="D8" s="18">
        <f>D7*1000</f>
        <v>14355000</v>
      </c>
      <c r="E8" s="18">
        <f>E7*1000</f>
        <v>11800000</v>
      </c>
      <c r="F8" s="134">
        <f>SUM(F4:F6)</f>
        <v>9390781.82</v>
      </c>
      <c r="G8" s="134">
        <f>SUM(G4:G6)</f>
        <v>7813849.75</v>
      </c>
      <c r="H8" s="134">
        <f>SUM(H4:H6)</f>
        <v>7501050.81</v>
      </c>
      <c r="I8" s="18">
        <f>SUM(B8:H8)</f>
        <v>70942682.38</v>
      </c>
    </row>
    <row r="9" spans="1:9" ht="32.25" customHeight="1">
      <c r="A9" s="237" t="s">
        <v>351</v>
      </c>
      <c r="B9" s="237"/>
      <c r="C9" s="237"/>
      <c r="D9" s="237"/>
      <c r="E9" s="237"/>
      <c r="F9" s="237"/>
      <c r="G9" s="237"/>
      <c r="H9" s="237"/>
      <c r="I9" s="237"/>
    </row>
    <row r="11" spans="1:9" ht="12.75">
      <c r="A11" s="1" t="s">
        <v>283</v>
      </c>
      <c r="B11" s="53">
        <v>2005</v>
      </c>
      <c r="C11" s="27">
        <v>2006</v>
      </c>
      <c r="D11" s="27">
        <v>2007</v>
      </c>
      <c r="E11" s="27">
        <v>2008</v>
      </c>
      <c r="F11" s="27">
        <v>2009</v>
      </c>
      <c r="G11" s="27">
        <v>2010</v>
      </c>
      <c r="H11" s="27">
        <v>2011</v>
      </c>
      <c r="I11" s="27" t="s">
        <v>1</v>
      </c>
    </row>
    <row r="12" spans="1:9" ht="12.75">
      <c r="A12" s="24" t="s">
        <v>123</v>
      </c>
      <c r="B12" s="18">
        <v>760</v>
      </c>
      <c r="C12" s="18">
        <v>1580</v>
      </c>
      <c r="D12" s="18">
        <v>2115</v>
      </c>
      <c r="E12" s="18">
        <v>3170</v>
      </c>
      <c r="F12" s="134">
        <v>3354896.89</v>
      </c>
      <c r="G12" s="134">
        <v>3226932.99</v>
      </c>
      <c r="H12" s="134">
        <f>3265285.8+131196</f>
        <v>3396481.8</v>
      </c>
      <c r="I12" s="18"/>
    </row>
    <row r="13" spans="1:9" ht="12.75">
      <c r="A13" s="24" t="s">
        <v>124</v>
      </c>
      <c r="B13" s="18">
        <v>866</v>
      </c>
      <c r="C13" s="18">
        <v>1292</v>
      </c>
      <c r="D13" s="18">
        <v>1035</v>
      </c>
      <c r="E13" s="18">
        <v>748</v>
      </c>
      <c r="F13" s="134">
        <v>872435.1</v>
      </c>
      <c r="G13" s="134">
        <v>259452.79</v>
      </c>
      <c r="H13" s="134">
        <v>935193.06</v>
      </c>
      <c r="I13" s="18"/>
    </row>
    <row r="14" spans="1:9" ht="12.75">
      <c r="A14" s="24" t="s">
        <v>125</v>
      </c>
      <c r="B14" s="18">
        <v>2028</v>
      </c>
      <c r="C14" s="18">
        <v>4404</v>
      </c>
      <c r="D14" s="18">
        <v>5373</v>
      </c>
      <c r="E14" s="18">
        <v>4250</v>
      </c>
      <c r="F14" s="134">
        <v>300705.3</v>
      </c>
      <c r="G14" s="134">
        <v>51413.16</v>
      </c>
      <c r="H14" s="134">
        <v>0</v>
      </c>
      <c r="I14" s="18"/>
    </row>
    <row r="15" spans="1:9" ht="12.75">
      <c r="A15" s="14" t="s">
        <v>1</v>
      </c>
      <c r="B15" s="18">
        <f>SUM(B12:B14)</f>
        <v>3654</v>
      </c>
      <c r="C15" s="18">
        <f>SUM(C12:C14)</f>
        <v>7276</v>
      </c>
      <c r="D15" s="18">
        <f>SUM(D12:D14)</f>
        <v>8523</v>
      </c>
      <c r="E15" s="18">
        <f>SUM(E12:E14)</f>
        <v>8168</v>
      </c>
      <c r="F15" s="134"/>
      <c r="G15" s="134"/>
      <c r="H15" s="134"/>
      <c r="I15" s="18"/>
    </row>
    <row r="16" spans="1:9" ht="12.75">
      <c r="A16" s="17" t="s">
        <v>281</v>
      </c>
      <c r="B16" s="18">
        <f>B15*1000</f>
        <v>3654000</v>
      </c>
      <c r="C16" s="18">
        <f>C15*1000</f>
        <v>7276000</v>
      </c>
      <c r="D16" s="18">
        <f>D15*1000</f>
        <v>8523000</v>
      </c>
      <c r="E16" s="18">
        <f>E15*1000</f>
        <v>8168000</v>
      </c>
      <c r="F16" s="134">
        <f>SUM(F12:F15)</f>
        <v>4528037.29</v>
      </c>
      <c r="G16" s="134">
        <f>SUM(G12:G15)</f>
        <v>3537798.9400000004</v>
      </c>
      <c r="H16" s="134">
        <f>SUM(H12:H15)</f>
        <v>4331674.859999999</v>
      </c>
      <c r="I16" s="18">
        <f>SUM(B16:H16)</f>
        <v>40018511.089999996</v>
      </c>
    </row>
    <row r="17" spans="6:8" ht="12.75">
      <c r="F17" s="135"/>
      <c r="G17" s="135"/>
      <c r="H17" s="135"/>
    </row>
  </sheetData>
  <sheetProtection/>
  <mergeCells count="1">
    <mergeCell ref="A9:I9"/>
  </mergeCells>
  <printOptions/>
  <pageMargins left="0.75" right="0.75" top="1" bottom="1" header="0.5" footer="0.5"/>
  <pageSetup horizontalDpi="600" verticalDpi="600" orientation="landscape" scale="96" r:id="rId1"/>
  <ignoredErrors>
    <ignoredError sqref="B7:E7 B15:E15 F8:H8 F16:H16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0.28125" style="0" customWidth="1"/>
    <col min="2" max="2" width="13.7109375" style="0" customWidth="1"/>
    <col min="3" max="3" width="12.57421875" style="0" customWidth="1"/>
    <col min="4" max="4" width="12.140625" style="0" customWidth="1"/>
    <col min="5" max="5" width="11.7109375" style="0" customWidth="1"/>
    <col min="6" max="6" width="11.00390625" style="0" customWidth="1"/>
  </cols>
  <sheetData>
    <row r="1" ht="12.75">
      <c r="A1" s="1" t="s">
        <v>362</v>
      </c>
    </row>
    <row r="2" spans="2:6" ht="12.75">
      <c r="B2" s="3" t="s">
        <v>165</v>
      </c>
      <c r="C2" s="3" t="s">
        <v>166</v>
      </c>
      <c r="D2" s="3" t="s">
        <v>167</v>
      </c>
      <c r="E2" s="46" t="s">
        <v>168</v>
      </c>
      <c r="F2" s="127" t="s">
        <v>280</v>
      </c>
    </row>
    <row r="3" spans="1:12" ht="12.75">
      <c r="A3" s="1" t="s">
        <v>199</v>
      </c>
      <c r="B3" s="25"/>
      <c r="C3" s="25"/>
      <c r="D3" s="25"/>
      <c r="E3" s="25"/>
      <c r="F3" s="107" t="s">
        <v>241</v>
      </c>
      <c r="G3" s="202"/>
      <c r="H3" s="187"/>
      <c r="I3" s="187"/>
      <c r="J3" s="187"/>
      <c r="K3" s="187"/>
      <c r="L3" s="187"/>
    </row>
    <row r="4" spans="1:12" ht="12.75">
      <c r="A4" s="24" t="s">
        <v>253</v>
      </c>
      <c r="B4" s="19">
        <v>374080</v>
      </c>
      <c r="C4" s="19">
        <v>309</v>
      </c>
      <c r="D4" s="19">
        <v>969</v>
      </c>
      <c r="E4" s="19">
        <f>F4*2200</f>
        <v>16.06</v>
      </c>
      <c r="F4" s="163">
        <v>0.0073</v>
      </c>
      <c r="G4" s="187"/>
      <c r="H4" s="187"/>
      <c r="I4" s="187"/>
      <c r="J4" s="187"/>
      <c r="K4" s="187"/>
      <c r="L4" s="187"/>
    </row>
    <row r="5" spans="1:5" ht="12.75">
      <c r="A5" s="24" t="s">
        <v>254</v>
      </c>
      <c r="B5" s="19">
        <v>41617.78842163091</v>
      </c>
      <c r="C5" s="19">
        <v>32.72509858794909</v>
      </c>
      <c r="D5" s="19"/>
      <c r="E5" s="19">
        <f>F5*2200</f>
        <v>0</v>
      </c>
    </row>
    <row r="6" spans="1:6" ht="12.75">
      <c r="A6" s="24" t="s">
        <v>185</v>
      </c>
      <c r="B6" s="19">
        <v>315031</v>
      </c>
      <c r="C6" s="19">
        <v>260</v>
      </c>
      <c r="D6" s="19">
        <v>816</v>
      </c>
      <c r="E6" s="19">
        <f>F6*2200</f>
        <v>13.639999999999999</v>
      </c>
      <c r="F6" s="147">
        <v>0.0062</v>
      </c>
    </row>
    <row r="7" spans="1:7" ht="12.75">
      <c r="A7" s="24" t="s">
        <v>59</v>
      </c>
      <c r="B7" s="19"/>
      <c r="C7" s="19"/>
      <c r="D7" s="19"/>
      <c r="E7" s="19">
        <f>F7*2200</f>
        <v>0</v>
      </c>
      <c r="F7" s="147"/>
      <c r="G7" s="107" t="s">
        <v>330</v>
      </c>
    </row>
    <row r="8" spans="1:6" ht="12.75">
      <c r="A8" s="14" t="s">
        <v>169</v>
      </c>
      <c r="B8" s="42">
        <f>SUM(B4:B7)</f>
        <v>730728.7884216309</v>
      </c>
      <c r="C8" s="42">
        <f>SUM(C4:C7)</f>
        <v>601.7250985879491</v>
      </c>
      <c r="D8" s="42">
        <f>SUM(D4:D7)</f>
        <v>1785</v>
      </c>
      <c r="E8" s="42">
        <f>SUM(E4:E7)</f>
        <v>29.699999999999996</v>
      </c>
      <c r="F8" s="147">
        <f>SUM(F4:F7)</f>
        <v>0.0135</v>
      </c>
    </row>
    <row r="9" spans="2:6" ht="12.75">
      <c r="B9" s="25"/>
      <c r="C9" s="25"/>
      <c r="D9" s="25"/>
      <c r="E9" s="25"/>
      <c r="F9" s="26"/>
    </row>
    <row r="10" spans="1:6" ht="12.75">
      <c r="A10" s="1" t="s">
        <v>200</v>
      </c>
      <c r="B10" s="25"/>
      <c r="C10" s="25"/>
      <c r="D10" s="25"/>
      <c r="E10" s="25"/>
      <c r="F10" s="26"/>
    </row>
    <row r="11" spans="1:6" ht="12.75">
      <c r="A11" s="24" t="s">
        <v>253</v>
      </c>
      <c r="B11" s="19">
        <v>4024594</v>
      </c>
      <c r="C11" s="19">
        <v>3328</v>
      </c>
      <c r="D11" s="19">
        <v>10428</v>
      </c>
      <c r="E11" s="19">
        <f>F11*2200</f>
        <v>173.8</v>
      </c>
      <c r="F11" s="163">
        <v>0.079</v>
      </c>
    </row>
    <row r="12" spans="1:5" ht="12.75">
      <c r="A12" s="24" t="s">
        <v>254</v>
      </c>
      <c r="B12" s="19">
        <v>770773.3050265772</v>
      </c>
      <c r="C12" s="19">
        <v>606.0781543798727</v>
      </c>
      <c r="D12" s="19"/>
      <c r="E12" s="19">
        <f>F12*2200</f>
        <v>0</v>
      </c>
    </row>
    <row r="13" spans="1:6" ht="12.75">
      <c r="A13" s="24" t="s">
        <v>185</v>
      </c>
      <c r="B13" s="19">
        <v>6300609</v>
      </c>
      <c r="C13" s="19">
        <v>5210</v>
      </c>
      <c r="D13" s="19">
        <v>16325</v>
      </c>
      <c r="E13" s="19">
        <f>F13*2200</f>
        <v>272.14</v>
      </c>
      <c r="F13" s="147">
        <v>0.1237</v>
      </c>
    </row>
    <row r="14" spans="1:7" ht="12.75">
      <c r="A14" s="24" t="s">
        <v>59</v>
      </c>
      <c r="B14" s="19"/>
      <c r="C14" s="19"/>
      <c r="D14" s="19"/>
      <c r="E14" s="19">
        <f>F14*2200</f>
        <v>0</v>
      </c>
      <c r="F14" s="124"/>
      <c r="G14" s="107" t="s">
        <v>330</v>
      </c>
    </row>
    <row r="15" spans="1:6" ht="12.75">
      <c r="A15" s="14" t="s">
        <v>169</v>
      </c>
      <c r="B15" s="42">
        <f>SUM(B11:B14)</f>
        <v>11095976.305026576</v>
      </c>
      <c r="C15" s="42">
        <f>SUM(C11:C14)</f>
        <v>9144.078154379873</v>
      </c>
      <c r="D15" s="42">
        <f>SUM(D11:D14)</f>
        <v>26753</v>
      </c>
      <c r="E15" s="42">
        <f>SUM(E11:E14)</f>
        <v>445.94</v>
      </c>
      <c r="F15" s="124">
        <f>SUM(F11:F14)</f>
        <v>0.2027</v>
      </c>
    </row>
    <row r="16" spans="2:5" ht="12.75">
      <c r="B16" s="25"/>
      <c r="C16" s="25"/>
      <c r="D16" s="25"/>
      <c r="E16" s="25"/>
    </row>
    <row r="17" ht="12.75">
      <c r="A17" s="1" t="s">
        <v>236</v>
      </c>
    </row>
    <row r="18" spans="1:5" ht="12.75">
      <c r="A18" s="24"/>
      <c r="B18" s="22" t="s">
        <v>165</v>
      </c>
      <c r="C18" s="22" t="s">
        <v>166</v>
      </c>
      <c r="D18" s="22" t="s">
        <v>167</v>
      </c>
      <c r="E18" s="22" t="s">
        <v>168</v>
      </c>
    </row>
    <row r="19" spans="1:5" ht="27.75" customHeight="1">
      <c r="A19" s="106" t="s">
        <v>364</v>
      </c>
      <c r="B19" s="142">
        <f>B8</f>
        <v>730728.7884216309</v>
      </c>
      <c r="C19" s="142">
        <f>C8</f>
        <v>601.7250985879491</v>
      </c>
      <c r="D19" s="142">
        <f>D8</f>
        <v>1785</v>
      </c>
      <c r="E19" s="142">
        <f>E8</f>
        <v>29.699999999999996</v>
      </c>
    </row>
    <row r="20" spans="1:5" ht="25.5">
      <c r="A20" s="106" t="s">
        <v>365</v>
      </c>
      <c r="B20" s="142">
        <f>B15</f>
        <v>11095976.305026576</v>
      </c>
      <c r="C20" s="142">
        <f>C15</f>
        <v>9144.078154379873</v>
      </c>
      <c r="D20" s="142">
        <f>D15</f>
        <v>26753</v>
      </c>
      <c r="E20" s="142">
        <f>E15</f>
        <v>445.94</v>
      </c>
    </row>
    <row r="21" spans="1:5" ht="25.5">
      <c r="A21" s="106" t="s">
        <v>366</v>
      </c>
      <c r="B21" s="142">
        <f>'emmission reductions'!M31</f>
        <v>48465989.18562658</v>
      </c>
      <c r="C21" s="142">
        <f>'emmission reductions'!M37</f>
        <v>204887.1317570709</v>
      </c>
      <c r="D21" s="142">
        <f>'emmission reductions'!M43</f>
        <v>165892.9937</v>
      </c>
      <c r="E21" s="142">
        <f>'emmission reductions'!M49</f>
        <v>2018.44</v>
      </c>
    </row>
    <row r="23" ht="12.75">
      <c r="A23" s="91" t="s">
        <v>363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845"/>
  <sheetViews>
    <sheetView workbookViewId="0" topLeftCell="A1">
      <selection activeCell="M1" sqref="M1"/>
    </sheetView>
  </sheetViews>
  <sheetFormatPr defaultColWidth="9.140625" defaultRowHeight="12.75"/>
  <cols>
    <col min="1" max="1" width="24.00390625" style="0" customWidth="1"/>
    <col min="2" max="2" width="11.8515625" style="0" customWidth="1"/>
    <col min="3" max="3" width="13.00390625" style="0" customWidth="1"/>
    <col min="4" max="4" width="12.28125" style="0" customWidth="1"/>
    <col min="5" max="5" width="12.57421875" style="0" customWidth="1"/>
    <col min="6" max="6" width="12.140625" style="0" customWidth="1"/>
    <col min="7" max="7" width="12.57421875" style="0" customWidth="1"/>
    <col min="8" max="8" width="12.8515625" style="0" customWidth="1"/>
    <col min="9" max="9" width="12.140625" style="0" customWidth="1"/>
    <col min="10" max="12" width="11.57421875" style="0" customWidth="1"/>
    <col min="13" max="13" width="15.7109375" style="0" customWidth="1"/>
  </cols>
  <sheetData>
    <row r="1" spans="1:14" ht="18">
      <c r="A1" s="143"/>
      <c r="B1" s="164">
        <v>2001</v>
      </c>
      <c r="C1" s="164">
        <v>2002</v>
      </c>
      <c r="D1" s="164">
        <v>2003</v>
      </c>
      <c r="E1" s="164">
        <v>2004</v>
      </c>
      <c r="F1" s="164">
        <v>2005</v>
      </c>
      <c r="G1" s="164">
        <v>2006</v>
      </c>
      <c r="H1" s="164">
        <v>2007</v>
      </c>
      <c r="I1" s="164">
        <v>2008</v>
      </c>
      <c r="J1" s="164">
        <v>2009</v>
      </c>
      <c r="K1" s="164">
        <v>2010</v>
      </c>
      <c r="L1" s="144">
        <v>2011</v>
      </c>
      <c r="N1" s="144"/>
    </row>
    <row r="2" spans="1:12" ht="18">
      <c r="A2" s="245" t="s">
        <v>297</v>
      </c>
      <c r="B2" s="246"/>
      <c r="C2" s="246"/>
      <c r="D2" s="246"/>
      <c r="E2" s="246"/>
      <c r="F2" s="246"/>
      <c r="G2" s="246"/>
      <c r="H2" s="246"/>
      <c r="I2" s="246"/>
      <c r="J2" s="246"/>
      <c r="K2" s="150"/>
      <c r="L2" s="150"/>
    </row>
    <row r="3" spans="1:13" ht="12.75">
      <c r="A3" s="24" t="s">
        <v>298</v>
      </c>
      <c r="B3" s="19">
        <v>27478.8487</v>
      </c>
      <c r="C3" s="19">
        <v>116152.0073</v>
      </c>
      <c r="D3" s="19">
        <v>197306.8784</v>
      </c>
      <c r="E3" s="19">
        <v>226972.2163</v>
      </c>
      <c r="F3" s="19">
        <v>264510.8402</v>
      </c>
      <c r="G3" s="19">
        <v>87137</v>
      </c>
      <c r="H3" s="19">
        <v>233311</v>
      </c>
      <c r="I3" s="19">
        <v>231454</v>
      </c>
      <c r="J3" s="19">
        <v>319312</v>
      </c>
      <c r="K3" s="19">
        <v>240372</v>
      </c>
      <c r="L3" s="19">
        <f>'emision reductions 2011'!B4</f>
        <v>374080</v>
      </c>
      <c r="M3" s="168"/>
    </row>
    <row r="4" spans="1:13" ht="12.75">
      <c r="A4" s="24" t="s">
        <v>299</v>
      </c>
      <c r="B4" s="19">
        <v>0</v>
      </c>
      <c r="C4" s="19">
        <v>32926.03936</v>
      </c>
      <c r="D4" s="19">
        <v>21743.5701</v>
      </c>
      <c r="E4" s="19">
        <v>23014.8734</v>
      </c>
      <c r="F4" s="19">
        <v>32827.0568</v>
      </c>
      <c r="G4" s="19">
        <v>34046</v>
      </c>
      <c r="H4" s="19">
        <v>25008</v>
      </c>
      <c r="I4" s="19">
        <v>26044</v>
      </c>
      <c r="J4" s="19">
        <v>33842</v>
      </c>
      <c r="K4" s="19">
        <v>49716</v>
      </c>
      <c r="L4" s="19">
        <f>'emision reductions 2011'!B5</f>
        <v>41617.78842163091</v>
      </c>
      <c r="M4" s="124"/>
    </row>
    <row r="5" spans="1:13" ht="12.75">
      <c r="A5" s="24" t="s">
        <v>300</v>
      </c>
      <c r="B5" s="19">
        <v>5.7035</v>
      </c>
      <c r="C5" s="19">
        <v>958.6693</v>
      </c>
      <c r="D5" s="19">
        <v>5090.2963</v>
      </c>
      <c r="E5" s="19">
        <v>4501.2727</v>
      </c>
      <c r="F5" s="19">
        <v>20130.3273</v>
      </c>
      <c r="G5" s="19">
        <v>32252</v>
      </c>
      <c r="H5" s="19">
        <v>138231</v>
      </c>
      <c r="I5" s="19">
        <v>160965</v>
      </c>
      <c r="J5" s="19">
        <v>230314</v>
      </c>
      <c r="K5" s="19">
        <v>174517</v>
      </c>
      <c r="L5" s="19">
        <f>'emision reductions 2011'!B6</f>
        <v>315031</v>
      </c>
      <c r="M5" s="124"/>
    </row>
    <row r="6" spans="1:13" ht="12.75">
      <c r="A6" s="145" t="s">
        <v>233</v>
      </c>
      <c r="B6" s="19">
        <f>SUM(B3:B5)</f>
        <v>27484.5522</v>
      </c>
      <c r="C6" s="19">
        <f>SUM(C3:C5)</f>
        <v>150036.71596</v>
      </c>
      <c r="D6" s="19">
        <f aca="true" t="shared" si="0" ref="D6:L6">SUM(D3:D5)</f>
        <v>224140.7448</v>
      </c>
      <c r="E6" s="19">
        <f t="shared" si="0"/>
        <v>254488.3624</v>
      </c>
      <c r="F6" s="19">
        <f t="shared" si="0"/>
        <v>317468.2243</v>
      </c>
      <c r="G6" s="19">
        <f t="shared" si="0"/>
        <v>153435</v>
      </c>
      <c r="H6" s="19">
        <f t="shared" si="0"/>
        <v>396550</v>
      </c>
      <c r="I6" s="19">
        <f t="shared" si="0"/>
        <v>418463</v>
      </c>
      <c r="J6" s="19">
        <f t="shared" si="0"/>
        <v>583468</v>
      </c>
      <c r="K6" s="19">
        <f t="shared" si="0"/>
        <v>464605</v>
      </c>
      <c r="L6" s="19">
        <f t="shared" si="0"/>
        <v>730728.7884216309</v>
      </c>
      <c r="M6" s="124"/>
    </row>
    <row r="7" spans="1:13" ht="12.75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24"/>
    </row>
    <row r="8" spans="1:13" ht="18">
      <c r="A8" s="245" t="s">
        <v>301</v>
      </c>
      <c r="B8" s="246"/>
      <c r="C8" s="246"/>
      <c r="D8" s="246"/>
      <c r="E8" s="246"/>
      <c r="F8" s="246"/>
      <c r="G8" s="246"/>
      <c r="H8" s="246"/>
      <c r="I8" s="246"/>
      <c r="J8" s="246"/>
      <c r="K8" s="150"/>
      <c r="L8" s="150"/>
      <c r="M8" s="124"/>
    </row>
    <row r="9" spans="1:13" ht="12.75">
      <c r="A9" s="24" t="s">
        <v>298</v>
      </c>
      <c r="B9" s="19">
        <v>80.1883</v>
      </c>
      <c r="C9" s="19">
        <v>213.9642</v>
      </c>
      <c r="D9" s="19">
        <v>363.46</v>
      </c>
      <c r="E9" s="19">
        <v>418.1067</v>
      </c>
      <c r="F9" s="19">
        <v>487.2568</v>
      </c>
      <c r="G9" s="19">
        <v>161</v>
      </c>
      <c r="H9" s="19">
        <v>430</v>
      </c>
      <c r="I9" s="19">
        <v>426</v>
      </c>
      <c r="J9" s="19">
        <v>9523</v>
      </c>
      <c r="K9" s="19">
        <v>443</v>
      </c>
      <c r="L9" s="19">
        <f>'emision reductions 2011'!C4</f>
        <v>309</v>
      </c>
      <c r="M9" s="124"/>
    </row>
    <row r="10" spans="1:13" ht="12.75">
      <c r="A10" s="24" t="s">
        <v>299</v>
      </c>
      <c r="B10" s="19">
        <v>0</v>
      </c>
      <c r="C10" s="19">
        <v>25.89056086</v>
      </c>
      <c r="D10" s="19">
        <v>17.0975</v>
      </c>
      <c r="E10" s="19">
        <v>18.0972</v>
      </c>
      <c r="F10" s="19">
        <v>25.8127</v>
      </c>
      <c r="G10" s="19">
        <v>27</v>
      </c>
      <c r="H10" s="19">
        <v>20</v>
      </c>
      <c r="I10" s="19">
        <v>20</v>
      </c>
      <c r="J10" s="19">
        <v>27</v>
      </c>
      <c r="K10" s="19">
        <v>39</v>
      </c>
      <c r="L10" s="19">
        <f>'emision reductions 2011'!C5</f>
        <v>32.72509858794909</v>
      </c>
      <c r="M10" s="124"/>
    </row>
    <row r="11" spans="1:13" ht="12.75">
      <c r="A11" s="24" t="s">
        <v>300</v>
      </c>
      <c r="B11" s="19">
        <v>0.0166</v>
      </c>
      <c r="C11" s="19">
        <v>1.5323</v>
      </c>
      <c r="D11" s="19">
        <v>9.2834</v>
      </c>
      <c r="E11" s="19">
        <v>8.2918</v>
      </c>
      <c r="F11" s="19">
        <v>37.0822</v>
      </c>
      <c r="G11" s="19">
        <v>59</v>
      </c>
      <c r="H11" s="19">
        <v>255</v>
      </c>
      <c r="I11" s="19">
        <v>297</v>
      </c>
      <c r="J11" s="19">
        <v>424</v>
      </c>
      <c r="K11" s="19">
        <v>321</v>
      </c>
      <c r="L11" s="19">
        <f>'emision reductions 2011'!C6</f>
        <v>260</v>
      </c>
      <c r="M11" s="124"/>
    </row>
    <row r="12" spans="1:13" ht="12.75">
      <c r="A12" s="145" t="s">
        <v>233</v>
      </c>
      <c r="B12" s="19">
        <f aca="true" t="shared" si="1" ref="B12:L12">SUM(B9:B11)</f>
        <v>80.2049</v>
      </c>
      <c r="C12" s="19">
        <f t="shared" si="1"/>
        <v>241.38706086</v>
      </c>
      <c r="D12" s="19">
        <f t="shared" si="1"/>
        <v>389.84090000000003</v>
      </c>
      <c r="E12" s="19">
        <f t="shared" si="1"/>
        <v>444.4957</v>
      </c>
      <c r="F12" s="19">
        <f t="shared" si="1"/>
        <v>550.1516999999999</v>
      </c>
      <c r="G12" s="19">
        <f t="shared" si="1"/>
        <v>247</v>
      </c>
      <c r="H12" s="19">
        <f t="shared" si="1"/>
        <v>705</v>
      </c>
      <c r="I12" s="19">
        <f t="shared" si="1"/>
        <v>743</v>
      </c>
      <c r="J12" s="19">
        <f t="shared" si="1"/>
        <v>9974</v>
      </c>
      <c r="K12" s="19">
        <f t="shared" si="1"/>
        <v>803</v>
      </c>
      <c r="L12" s="19">
        <f t="shared" si="1"/>
        <v>601.7250985879491</v>
      </c>
      <c r="M12" s="124"/>
    </row>
    <row r="13" spans="1:13" ht="12.75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24"/>
    </row>
    <row r="14" spans="1:13" ht="18">
      <c r="A14" s="245" t="s">
        <v>302</v>
      </c>
      <c r="B14" s="246"/>
      <c r="C14" s="246"/>
      <c r="D14" s="246"/>
      <c r="E14" s="246"/>
      <c r="F14" s="246"/>
      <c r="G14" s="246"/>
      <c r="H14" s="246"/>
      <c r="I14" s="246"/>
      <c r="J14" s="246"/>
      <c r="K14" s="150"/>
      <c r="L14" s="150"/>
      <c r="M14" s="124"/>
    </row>
    <row r="15" spans="1:13" ht="12.75">
      <c r="A15" s="24" t="s">
        <v>298</v>
      </c>
      <c r="B15" s="19">
        <v>128.1514</v>
      </c>
      <c r="C15" s="19">
        <v>496.7027</v>
      </c>
      <c r="D15" s="19">
        <v>843.7465</v>
      </c>
      <c r="E15" s="19">
        <v>970.6067</v>
      </c>
      <c r="F15" s="19">
        <v>1131.1319</v>
      </c>
      <c r="G15" s="19">
        <v>373</v>
      </c>
      <c r="H15" s="19">
        <v>998</v>
      </c>
      <c r="I15" s="19">
        <v>990</v>
      </c>
      <c r="J15" s="19">
        <v>1365</v>
      </c>
      <c r="K15" s="19">
        <v>1028</v>
      </c>
      <c r="L15" s="19">
        <f>'emision reductions 2011'!D4</f>
        <v>969</v>
      </c>
      <c r="M15" s="124"/>
    </row>
    <row r="16" spans="1:13" ht="12.75">
      <c r="A16" s="24" t="s">
        <v>299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f>'emision reductions 2011'!D5</f>
        <v>0</v>
      </c>
      <c r="M16" s="124"/>
    </row>
    <row r="17" spans="1:13" ht="12.75">
      <c r="A17" s="24" t="s">
        <v>300</v>
      </c>
      <c r="B17" s="19">
        <v>0.0266</v>
      </c>
      <c r="C17" s="19">
        <v>3.1533</v>
      </c>
      <c r="D17" s="19">
        <v>21.3893</v>
      </c>
      <c r="E17" s="19">
        <v>19.2489</v>
      </c>
      <c r="F17" s="19">
        <v>86.0836</v>
      </c>
      <c r="G17" s="19">
        <v>138</v>
      </c>
      <c r="H17" s="19">
        <v>591</v>
      </c>
      <c r="I17" s="19">
        <v>688</v>
      </c>
      <c r="J17" s="19">
        <v>985</v>
      </c>
      <c r="K17" s="19">
        <v>746</v>
      </c>
      <c r="L17" s="19">
        <f>'emision reductions 2011'!D6</f>
        <v>816</v>
      </c>
      <c r="M17" s="124"/>
    </row>
    <row r="18" spans="1:13" ht="12.75">
      <c r="A18" s="145" t="s">
        <v>233</v>
      </c>
      <c r="B18" s="19">
        <f aca="true" t="shared" si="2" ref="B18:L18">SUM(B15:B17)</f>
        <v>128.178</v>
      </c>
      <c r="C18" s="19">
        <f t="shared" si="2"/>
        <v>499.856</v>
      </c>
      <c r="D18" s="19">
        <f t="shared" si="2"/>
        <v>865.1358</v>
      </c>
      <c r="E18" s="19">
        <f t="shared" si="2"/>
        <v>989.8556000000001</v>
      </c>
      <c r="F18" s="19">
        <f t="shared" si="2"/>
        <v>1217.2155</v>
      </c>
      <c r="G18" s="19">
        <f t="shared" si="2"/>
        <v>511</v>
      </c>
      <c r="H18" s="19">
        <f t="shared" si="2"/>
        <v>1589</v>
      </c>
      <c r="I18" s="19">
        <f t="shared" si="2"/>
        <v>1678</v>
      </c>
      <c r="J18" s="19">
        <f t="shared" si="2"/>
        <v>2350</v>
      </c>
      <c r="K18" s="19">
        <f t="shared" si="2"/>
        <v>1774</v>
      </c>
      <c r="L18" s="19">
        <f t="shared" si="2"/>
        <v>1785</v>
      </c>
      <c r="M18" s="124"/>
    </row>
    <row r="19" spans="1:13" ht="12.75">
      <c r="A19" s="148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</row>
    <row r="20" spans="1:13" ht="18">
      <c r="A20" s="245" t="s">
        <v>303</v>
      </c>
      <c r="B20" s="246"/>
      <c r="C20" s="246"/>
      <c r="D20" s="246"/>
      <c r="E20" s="246"/>
      <c r="F20" s="246"/>
      <c r="G20" s="246"/>
      <c r="H20" s="246"/>
      <c r="I20" s="246"/>
      <c r="J20" s="246"/>
      <c r="K20" s="150"/>
      <c r="L20" s="150"/>
      <c r="M20" s="124"/>
    </row>
    <row r="21" spans="1:13" ht="12.75">
      <c r="A21" s="24" t="s">
        <v>298</v>
      </c>
      <c r="B21" s="19">
        <v>1.32</v>
      </c>
      <c r="C21" s="19">
        <v>5.94</v>
      </c>
      <c r="D21" s="19">
        <v>10.12</v>
      </c>
      <c r="E21" s="19">
        <v>11.66</v>
      </c>
      <c r="F21" s="19">
        <v>13.64</v>
      </c>
      <c r="G21" s="19">
        <v>4.4</v>
      </c>
      <c r="H21" s="19">
        <v>12.1</v>
      </c>
      <c r="I21" s="19">
        <v>11.88</v>
      </c>
      <c r="J21" s="19">
        <v>16.5</v>
      </c>
      <c r="K21" s="19">
        <v>12.32</v>
      </c>
      <c r="L21" s="19">
        <f>'emision reductions 2011'!E4</f>
        <v>16.06</v>
      </c>
      <c r="M21" s="124"/>
    </row>
    <row r="22" spans="1:13" ht="12.75">
      <c r="A22" s="24" t="s">
        <v>299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f>'emision reductions 2011'!E5</f>
        <v>0</v>
      </c>
      <c r="M22" s="124"/>
    </row>
    <row r="23" spans="1:13" ht="12.75">
      <c r="A23" s="24" t="s">
        <v>300</v>
      </c>
      <c r="B23" s="19">
        <v>0</v>
      </c>
      <c r="C23" s="19">
        <v>0</v>
      </c>
      <c r="D23" s="19">
        <v>0.22</v>
      </c>
      <c r="E23" s="19">
        <v>0.22</v>
      </c>
      <c r="F23" s="19">
        <v>1.1</v>
      </c>
      <c r="G23" s="19">
        <v>1.76</v>
      </c>
      <c r="H23" s="19">
        <v>7.04</v>
      </c>
      <c r="I23" s="19">
        <v>8.36</v>
      </c>
      <c r="J23" s="19">
        <v>11.88</v>
      </c>
      <c r="K23" s="19">
        <v>9.020000000000001</v>
      </c>
      <c r="L23" s="19">
        <f>'emision reductions 2011'!E6</f>
        <v>13.639999999999999</v>
      </c>
      <c r="M23" s="124"/>
    </row>
    <row r="24" spans="1:13" ht="12.75">
      <c r="A24" s="24" t="s">
        <v>233</v>
      </c>
      <c r="B24" s="19">
        <f aca="true" t="shared" si="3" ref="B24:L24">SUM(B21:B23)</f>
        <v>1.32</v>
      </c>
      <c r="C24" s="19">
        <f t="shared" si="3"/>
        <v>5.94</v>
      </c>
      <c r="D24" s="19">
        <f t="shared" si="3"/>
        <v>10.34</v>
      </c>
      <c r="E24" s="19">
        <f t="shared" si="3"/>
        <v>11.88</v>
      </c>
      <c r="F24" s="19">
        <f t="shared" si="3"/>
        <v>14.74</v>
      </c>
      <c r="G24" s="19">
        <f t="shared" si="3"/>
        <v>6.16</v>
      </c>
      <c r="H24" s="19">
        <f t="shared" si="3"/>
        <v>19.14</v>
      </c>
      <c r="I24" s="19">
        <f t="shared" si="3"/>
        <v>20.240000000000002</v>
      </c>
      <c r="J24" s="19">
        <f t="shared" si="3"/>
        <v>28.380000000000003</v>
      </c>
      <c r="K24" s="19">
        <f t="shared" si="3"/>
        <v>21.340000000000003</v>
      </c>
      <c r="L24" s="19">
        <f t="shared" si="3"/>
        <v>29.699999999999996</v>
      </c>
      <c r="M24" s="124"/>
    </row>
    <row r="25" spans="1:13" ht="12.75">
      <c r="A25" s="26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124"/>
    </row>
    <row r="26" spans="2:13" ht="15.75">
      <c r="B26" s="164">
        <v>2001</v>
      </c>
      <c r="C26" s="164">
        <v>2002</v>
      </c>
      <c r="D26" s="164">
        <v>2003</v>
      </c>
      <c r="E26" s="164">
        <v>2004</v>
      </c>
      <c r="F26" s="164">
        <v>2005</v>
      </c>
      <c r="G26" s="164">
        <v>2006</v>
      </c>
      <c r="H26" s="164">
        <v>2007</v>
      </c>
      <c r="I26" s="164">
        <v>2008</v>
      </c>
      <c r="J26" s="164">
        <v>2009</v>
      </c>
      <c r="K26" s="164">
        <v>2010</v>
      </c>
      <c r="L26" s="164">
        <v>2011</v>
      </c>
      <c r="M26" s="124"/>
    </row>
    <row r="27" spans="1:13" ht="48.75">
      <c r="A27" s="245" t="s">
        <v>304</v>
      </c>
      <c r="B27" s="246"/>
      <c r="C27" s="246"/>
      <c r="D27" s="246"/>
      <c r="E27" s="246"/>
      <c r="F27" s="246"/>
      <c r="G27" s="246"/>
      <c r="H27" s="246"/>
      <c r="I27" s="246"/>
      <c r="J27" s="246"/>
      <c r="K27" s="150"/>
      <c r="L27" s="150"/>
      <c r="M27" s="165" t="s">
        <v>309</v>
      </c>
    </row>
    <row r="28" spans="1:13" ht="12.75">
      <c r="A28" s="24" t="s">
        <v>298</v>
      </c>
      <c r="B28" s="19">
        <v>431476.4815</v>
      </c>
      <c r="C28" s="19">
        <v>1757180.6351</v>
      </c>
      <c r="D28" s="19">
        <v>2583422.3795</v>
      </c>
      <c r="E28" s="19">
        <v>2976969.0283</v>
      </c>
      <c r="F28" s="19">
        <v>2414071.3225</v>
      </c>
      <c r="G28" s="19">
        <v>1331361</v>
      </c>
      <c r="H28" s="19">
        <v>2251871</v>
      </c>
      <c r="I28" s="19">
        <v>2180995</v>
      </c>
      <c r="J28" s="149">
        <v>2754296</v>
      </c>
      <c r="K28" s="149">
        <v>2359006</v>
      </c>
      <c r="L28" s="149">
        <f>'emision reductions 2011'!B11</f>
        <v>4024594</v>
      </c>
      <c r="M28" s="19">
        <f>SUM(B28:L28)</f>
        <v>25065242.8469</v>
      </c>
    </row>
    <row r="29" spans="1:13" ht="12.75">
      <c r="A29" s="24" t="s">
        <v>299</v>
      </c>
      <c r="B29" s="19">
        <v>0</v>
      </c>
      <c r="C29" s="19">
        <v>649611.7158</v>
      </c>
      <c r="D29" s="19">
        <v>409841.9099</v>
      </c>
      <c r="E29" s="19">
        <v>431187.5292</v>
      </c>
      <c r="F29" s="19">
        <v>621025.3833</v>
      </c>
      <c r="G29" s="19">
        <v>485934</v>
      </c>
      <c r="H29" s="19">
        <v>409698</v>
      </c>
      <c r="I29" s="19">
        <v>422582</v>
      </c>
      <c r="J29" s="149">
        <v>559689</v>
      </c>
      <c r="K29" s="149">
        <v>876209</v>
      </c>
      <c r="L29" s="149">
        <f>'emision reductions 2011'!B12</f>
        <v>770773.3050265772</v>
      </c>
      <c r="M29" s="19">
        <f>SUM(B29:L29)</f>
        <v>5636551.843226577</v>
      </c>
    </row>
    <row r="30" spans="1:13" ht="12.75">
      <c r="A30" s="24" t="s">
        <v>300</v>
      </c>
      <c r="B30" s="19">
        <v>86.5</v>
      </c>
      <c r="C30" s="19">
        <v>18068.5046</v>
      </c>
      <c r="D30" s="19">
        <v>77756.7636</v>
      </c>
      <c r="E30" s="19">
        <v>57342.6909</v>
      </c>
      <c r="F30" s="19">
        <v>372344.0364</v>
      </c>
      <c r="G30" s="19">
        <v>561398</v>
      </c>
      <c r="H30" s="19">
        <v>1602106</v>
      </c>
      <c r="I30" s="19">
        <v>2439211</v>
      </c>
      <c r="J30" s="149">
        <v>2983580</v>
      </c>
      <c r="K30" s="149">
        <v>3351692</v>
      </c>
      <c r="L30" s="149">
        <f>'emision reductions 2011'!B13</f>
        <v>6300609</v>
      </c>
      <c r="M30" s="19">
        <f>SUM(B30:L30)</f>
        <v>17764194.4955</v>
      </c>
    </row>
    <row r="31" spans="1:13" ht="12.75">
      <c r="A31" s="145" t="s">
        <v>233</v>
      </c>
      <c r="B31" s="19">
        <f aca="true" t="shared" si="4" ref="B31:L31">SUM(B28:B30)</f>
        <v>431562.9815</v>
      </c>
      <c r="C31" s="19">
        <f t="shared" si="4"/>
        <v>2424860.8555</v>
      </c>
      <c r="D31" s="19">
        <f t="shared" si="4"/>
        <v>3071021.053</v>
      </c>
      <c r="E31" s="19">
        <f t="shared" si="4"/>
        <v>3465499.2484</v>
      </c>
      <c r="F31" s="19">
        <f t="shared" si="4"/>
        <v>3407440.7421999997</v>
      </c>
      <c r="G31" s="19">
        <f t="shared" si="4"/>
        <v>2378693</v>
      </c>
      <c r="H31" s="19">
        <f t="shared" si="4"/>
        <v>4263675</v>
      </c>
      <c r="I31" s="19">
        <f t="shared" si="4"/>
        <v>5042788</v>
      </c>
      <c r="J31" s="149">
        <f t="shared" si="4"/>
        <v>6297565</v>
      </c>
      <c r="K31" s="149">
        <f t="shared" si="4"/>
        <v>6586907</v>
      </c>
      <c r="L31" s="149">
        <f t="shared" si="4"/>
        <v>11095976.305026576</v>
      </c>
      <c r="M31" s="19">
        <f>SUM(M28:M30)</f>
        <v>48465989.18562658</v>
      </c>
    </row>
    <row r="32" spans="1:13" ht="12.75">
      <c r="A32" s="148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74"/>
    </row>
    <row r="33" spans="1:13" ht="18">
      <c r="A33" s="245" t="s">
        <v>305</v>
      </c>
      <c r="B33" s="246"/>
      <c r="C33" s="246"/>
      <c r="D33" s="246"/>
      <c r="E33" s="246"/>
      <c r="F33" s="246"/>
      <c r="G33" s="246"/>
      <c r="H33" s="246"/>
      <c r="I33" s="246"/>
      <c r="J33" s="246"/>
      <c r="K33" s="150"/>
      <c r="L33" s="150"/>
      <c r="M33" s="74"/>
    </row>
    <row r="34" spans="1:13" ht="12.75">
      <c r="A34" s="24" t="s">
        <v>298</v>
      </c>
      <c r="B34" s="19">
        <v>1259.1268</v>
      </c>
      <c r="C34" s="19">
        <v>3236.9117</v>
      </c>
      <c r="D34" s="19">
        <v>4758.936</v>
      </c>
      <c r="E34" s="19">
        <v>5483.8903</v>
      </c>
      <c r="F34" s="19">
        <v>4446.9735</v>
      </c>
      <c r="G34" s="19">
        <v>2453</v>
      </c>
      <c r="H34" s="19">
        <v>4148</v>
      </c>
      <c r="I34" s="19">
        <v>4018</v>
      </c>
      <c r="J34" s="149">
        <v>136657</v>
      </c>
      <c r="K34" s="149">
        <v>4346</v>
      </c>
      <c r="L34" s="149">
        <f>'emision reductions 2011'!C11</f>
        <v>3328</v>
      </c>
      <c r="M34" s="19">
        <f>SUM(B34:L34)</f>
        <v>174135.8383</v>
      </c>
    </row>
    <row r="35" spans="1:13" ht="12.75">
      <c r="A35" s="24" t="s">
        <v>299</v>
      </c>
      <c r="B35" s="19">
        <v>0</v>
      </c>
      <c r="C35" s="19">
        <v>510.8057936</v>
      </c>
      <c r="D35" s="19">
        <v>322.2689</v>
      </c>
      <c r="E35" s="19">
        <v>339.0534</v>
      </c>
      <c r="F35" s="19">
        <v>488.3277</v>
      </c>
      <c r="G35" s="19">
        <v>382</v>
      </c>
      <c r="H35" s="19">
        <v>322</v>
      </c>
      <c r="I35" s="19">
        <v>332</v>
      </c>
      <c r="J35" s="149">
        <v>440</v>
      </c>
      <c r="K35" s="149">
        <v>689</v>
      </c>
      <c r="L35" s="149">
        <f>'emision reductions 2011'!C12</f>
        <v>606.0781543798727</v>
      </c>
      <c r="M35" s="19">
        <f>SUM(B35:L35)</f>
        <v>4431.533947979873</v>
      </c>
    </row>
    <row r="36" spans="1:13" ht="12.75">
      <c r="A36" s="24" t="s">
        <v>300</v>
      </c>
      <c r="B36" s="19">
        <v>0.2524</v>
      </c>
      <c r="C36" s="19">
        <v>28.611409091</v>
      </c>
      <c r="D36" s="19">
        <v>141.3675</v>
      </c>
      <c r="E36" s="19">
        <v>105.6313</v>
      </c>
      <c r="F36" s="19">
        <v>685.8969</v>
      </c>
      <c r="G36" s="19">
        <v>1034</v>
      </c>
      <c r="H36" s="19">
        <v>2951</v>
      </c>
      <c r="I36" s="19">
        <v>4493</v>
      </c>
      <c r="J36" s="149">
        <v>5496</v>
      </c>
      <c r="K36" s="149">
        <v>6174</v>
      </c>
      <c r="L36" s="149">
        <f>'emision reductions 2011'!C13</f>
        <v>5210</v>
      </c>
      <c r="M36" s="19">
        <f>SUM(B36:L36)</f>
        <v>26319.759509091</v>
      </c>
    </row>
    <row r="37" spans="1:13" ht="12.75">
      <c r="A37" s="145" t="s">
        <v>233</v>
      </c>
      <c r="B37" s="19">
        <f aca="true" t="shared" si="5" ref="B37:L37">SUM(B34:B36)</f>
        <v>1259.3792</v>
      </c>
      <c r="C37" s="19">
        <f t="shared" si="5"/>
        <v>3776.328902691</v>
      </c>
      <c r="D37" s="19">
        <f t="shared" si="5"/>
        <v>5222.5724</v>
      </c>
      <c r="E37" s="19">
        <f t="shared" si="5"/>
        <v>5928.575</v>
      </c>
      <c r="F37" s="19">
        <f t="shared" si="5"/>
        <v>5621.1981</v>
      </c>
      <c r="G37" s="19">
        <f t="shared" si="5"/>
        <v>3869</v>
      </c>
      <c r="H37" s="19">
        <f t="shared" si="5"/>
        <v>7421</v>
      </c>
      <c r="I37" s="19">
        <f t="shared" si="5"/>
        <v>8843</v>
      </c>
      <c r="J37" s="149">
        <f t="shared" si="5"/>
        <v>142593</v>
      </c>
      <c r="K37" s="149">
        <f t="shared" si="5"/>
        <v>11209</v>
      </c>
      <c r="L37" s="149">
        <f t="shared" si="5"/>
        <v>9144.078154379873</v>
      </c>
      <c r="M37" s="19">
        <f>SUM(M34:M36)</f>
        <v>204887.1317570709</v>
      </c>
    </row>
    <row r="38" spans="1:13" ht="12.75">
      <c r="A38" s="148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74"/>
    </row>
    <row r="39" spans="1:13" ht="18">
      <c r="A39" s="245" t="s">
        <v>306</v>
      </c>
      <c r="B39" s="246"/>
      <c r="C39" s="246"/>
      <c r="D39" s="246"/>
      <c r="E39" s="246"/>
      <c r="F39" s="246"/>
      <c r="G39" s="246"/>
      <c r="H39" s="246"/>
      <c r="I39" s="246"/>
      <c r="J39" s="246"/>
      <c r="K39" s="150"/>
      <c r="L39" s="150"/>
      <c r="M39" s="74"/>
    </row>
    <row r="40" spans="1:13" ht="12.75">
      <c r="A40" s="24" t="s">
        <v>298</v>
      </c>
      <c r="B40" s="19">
        <v>2012.2494</v>
      </c>
      <c r="C40" s="19">
        <v>7514.2593</v>
      </c>
      <c r="D40" s="19">
        <v>11047.5299</v>
      </c>
      <c r="E40" s="19">
        <v>12730.4597</v>
      </c>
      <c r="F40" s="19">
        <v>10323.3313</v>
      </c>
      <c r="G40" s="19">
        <v>5693</v>
      </c>
      <c r="H40" s="19">
        <v>9630</v>
      </c>
      <c r="I40" s="80">
        <v>9327</v>
      </c>
      <c r="J40" s="149">
        <v>11778</v>
      </c>
      <c r="K40" s="149">
        <v>10088</v>
      </c>
      <c r="L40" s="149">
        <f>'emision reductions 2011'!D11</f>
        <v>10428</v>
      </c>
      <c r="M40" s="19">
        <f>SUM(B40:L40)</f>
        <v>100571.8296</v>
      </c>
    </row>
    <row r="41" spans="1:13" ht="12.75">
      <c r="A41" s="24" t="s">
        <v>299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80">
        <v>0</v>
      </c>
      <c r="J41" s="149">
        <v>0</v>
      </c>
      <c r="K41" s="149">
        <v>0</v>
      </c>
      <c r="L41" s="149">
        <f>'emision reductions 2011'!D12</f>
        <v>0</v>
      </c>
      <c r="M41" s="19">
        <f>SUM(B41:L41)</f>
        <v>0</v>
      </c>
    </row>
    <row r="42" spans="1:13" ht="12.75">
      <c r="A42" s="24" t="s">
        <v>300</v>
      </c>
      <c r="B42" s="19">
        <v>0.4034</v>
      </c>
      <c r="C42" s="19">
        <v>58.3406</v>
      </c>
      <c r="D42" s="19">
        <v>324.9439</v>
      </c>
      <c r="E42" s="19">
        <v>245.2155</v>
      </c>
      <c r="F42" s="19">
        <v>1592.2607</v>
      </c>
      <c r="G42" s="19">
        <v>2401</v>
      </c>
      <c r="H42" s="19">
        <v>6851</v>
      </c>
      <c r="I42" s="80">
        <v>10431</v>
      </c>
      <c r="J42" s="149">
        <v>12759</v>
      </c>
      <c r="K42" s="149">
        <v>14333</v>
      </c>
      <c r="L42" s="149">
        <f>'emision reductions 2011'!D13</f>
        <v>16325</v>
      </c>
      <c r="M42" s="19">
        <f>SUM(B42:L42)</f>
        <v>65321.1641</v>
      </c>
    </row>
    <row r="43" spans="1:18" ht="12.75">
      <c r="A43" s="145" t="s">
        <v>233</v>
      </c>
      <c r="B43" s="19">
        <f aca="true" t="shared" si="6" ref="B43:L43">SUM(B40:B42)</f>
        <v>2012.6527999999998</v>
      </c>
      <c r="C43" s="19">
        <f t="shared" si="6"/>
        <v>7572.5999</v>
      </c>
      <c r="D43" s="19">
        <f t="shared" si="6"/>
        <v>11372.4738</v>
      </c>
      <c r="E43" s="19">
        <f t="shared" si="6"/>
        <v>12975.6752</v>
      </c>
      <c r="F43" s="19">
        <f t="shared" si="6"/>
        <v>11915.592</v>
      </c>
      <c r="G43" s="19">
        <f t="shared" si="6"/>
        <v>8094</v>
      </c>
      <c r="H43" s="19">
        <f t="shared" si="6"/>
        <v>16481</v>
      </c>
      <c r="I43" s="19">
        <f t="shared" si="6"/>
        <v>19758</v>
      </c>
      <c r="J43" s="149">
        <f t="shared" si="6"/>
        <v>24537</v>
      </c>
      <c r="K43" s="149">
        <f t="shared" si="6"/>
        <v>24421</v>
      </c>
      <c r="L43" s="149">
        <f t="shared" si="6"/>
        <v>26753</v>
      </c>
      <c r="M43" s="19">
        <f>SUM(M40:M42)</f>
        <v>165892.9937</v>
      </c>
      <c r="N43" s="124"/>
      <c r="O43" s="124"/>
      <c r="P43" s="124"/>
      <c r="Q43" s="124"/>
      <c r="R43" s="124"/>
    </row>
    <row r="44" spans="1:18" ht="12.75">
      <c r="A44" s="148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74"/>
      <c r="N44" s="124"/>
      <c r="O44" s="124"/>
      <c r="P44" s="124"/>
      <c r="Q44" s="124"/>
      <c r="R44" s="124"/>
    </row>
    <row r="45" spans="1:18" ht="18">
      <c r="A45" s="245" t="s">
        <v>307</v>
      </c>
      <c r="B45" s="246"/>
      <c r="C45" s="246"/>
      <c r="D45" s="246"/>
      <c r="E45" s="246"/>
      <c r="F45" s="246"/>
      <c r="G45" s="246"/>
      <c r="H45" s="246"/>
      <c r="I45" s="246"/>
      <c r="J45" s="246"/>
      <c r="K45" s="150"/>
      <c r="L45" s="150"/>
      <c r="M45" s="74"/>
      <c r="N45" s="124"/>
      <c r="O45" s="124"/>
      <c r="P45" s="124"/>
      <c r="Q45" s="124"/>
      <c r="R45" s="124"/>
    </row>
    <row r="46" spans="1:18" ht="12.75">
      <c r="A46" s="24" t="s">
        <v>298</v>
      </c>
      <c r="B46" s="19">
        <v>21.56</v>
      </c>
      <c r="C46" s="19">
        <v>90.64</v>
      </c>
      <c r="D46" s="19">
        <v>133.1</v>
      </c>
      <c r="E46" s="19">
        <v>153.34</v>
      </c>
      <c r="F46" s="19">
        <v>124.3</v>
      </c>
      <c r="G46" s="19">
        <v>68.64</v>
      </c>
      <c r="H46" s="19">
        <v>115.94</v>
      </c>
      <c r="I46" s="19">
        <v>11</v>
      </c>
      <c r="J46" s="149">
        <v>141.9</v>
      </c>
      <c r="K46" s="149">
        <v>121.66000000000001</v>
      </c>
      <c r="L46" s="149">
        <f>'emision reductions 2011'!E11</f>
        <v>173.8</v>
      </c>
      <c r="M46" s="19">
        <f>SUM(B46:L46)</f>
        <v>1155.8799999999999</v>
      </c>
      <c r="N46" s="124"/>
      <c r="O46" s="124"/>
      <c r="P46" s="124"/>
      <c r="Q46" s="124"/>
      <c r="R46" s="124"/>
    </row>
    <row r="47" spans="1:18" ht="12.75">
      <c r="A47" s="24" t="s">
        <v>299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49">
        <v>0</v>
      </c>
      <c r="K47" s="149">
        <v>0</v>
      </c>
      <c r="L47" s="149">
        <f>'emision reductions 2011'!E12</f>
        <v>0</v>
      </c>
      <c r="M47" s="19">
        <f>SUM(B47:L47)</f>
        <v>0</v>
      </c>
      <c r="N47" s="124"/>
      <c r="O47" s="124"/>
      <c r="P47" s="124"/>
      <c r="Q47" s="124"/>
      <c r="R47" s="124"/>
    </row>
    <row r="48" spans="1:18" ht="12.75">
      <c r="A48" s="24" t="s">
        <v>300</v>
      </c>
      <c r="B48" s="19">
        <v>0</v>
      </c>
      <c r="C48" s="19">
        <v>0.66</v>
      </c>
      <c r="D48" s="19">
        <v>3.96</v>
      </c>
      <c r="E48" s="19">
        <v>2.86</v>
      </c>
      <c r="F48" s="19">
        <v>19.14</v>
      </c>
      <c r="G48" s="19">
        <v>28.82</v>
      </c>
      <c r="H48" s="19">
        <v>82.5</v>
      </c>
      <c r="I48" s="19">
        <v>126</v>
      </c>
      <c r="J48" s="149">
        <v>153.78</v>
      </c>
      <c r="K48" s="149">
        <v>172.7</v>
      </c>
      <c r="L48" s="149">
        <f>'emision reductions 2011'!E13</f>
        <v>272.14</v>
      </c>
      <c r="M48" s="19">
        <f>SUM(B48:L48)</f>
        <v>862.5600000000001</v>
      </c>
      <c r="N48" s="124"/>
      <c r="O48" s="124"/>
      <c r="P48" s="124"/>
      <c r="Q48" s="124"/>
      <c r="R48" s="124"/>
    </row>
    <row r="49" spans="1:18" ht="12.75">
      <c r="A49" s="145" t="s">
        <v>233</v>
      </c>
      <c r="B49" s="19">
        <f aca="true" t="shared" si="7" ref="B49:L49">SUM(B46:B48)</f>
        <v>21.56</v>
      </c>
      <c r="C49" s="19">
        <f t="shared" si="7"/>
        <v>91.3</v>
      </c>
      <c r="D49" s="19">
        <f t="shared" si="7"/>
        <v>137.06</v>
      </c>
      <c r="E49" s="19">
        <f t="shared" si="7"/>
        <v>156.20000000000002</v>
      </c>
      <c r="F49" s="19">
        <f t="shared" si="7"/>
        <v>143.44</v>
      </c>
      <c r="G49" s="19">
        <f t="shared" si="7"/>
        <v>97.46000000000001</v>
      </c>
      <c r="H49" s="19">
        <f t="shared" si="7"/>
        <v>198.44</v>
      </c>
      <c r="I49" s="19">
        <f t="shared" si="7"/>
        <v>137</v>
      </c>
      <c r="J49" s="149">
        <f t="shared" si="7"/>
        <v>295.68</v>
      </c>
      <c r="K49" s="149">
        <f t="shared" si="7"/>
        <v>294.36</v>
      </c>
      <c r="L49" s="149">
        <f t="shared" si="7"/>
        <v>445.94</v>
      </c>
      <c r="M49" s="19">
        <f>SUM(M46:M48)</f>
        <v>2018.44</v>
      </c>
      <c r="N49" s="124"/>
      <c r="O49" s="124"/>
      <c r="P49" s="124"/>
      <c r="Q49" s="124"/>
      <c r="R49" s="124"/>
    </row>
    <row r="50" spans="1:18" ht="12.75">
      <c r="A50" s="148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25"/>
      <c r="N50" s="124"/>
      <c r="O50" s="124"/>
      <c r="P50" s="124"/>
      <c r="Q50" s="124"/>
      <c r="R50" s="124"/>
    </row>
    <row r="51" spans="2:18" ht="12.75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</row>
    <row r="52" spans="2:18" ht="12.75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</row>
    <row r="53" spans="2:18" ht="12.75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</row>
    <row r="54" spans="2:18" ht="12.75"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</row>
    <row r="55" spans="2:18" ht="12.7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</row>
    <row r="56" spans="2:18" ht="12.75"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</row>
    <row r="57" spans="2:18" ht="12.75"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</row>
    <row r="58" spans="2:18" ht="12.75"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</row>
    <row r="59" spans="2:18" ht="12.75"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</row>
    <row r="60" spans="2:18" ht="12.75"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</row>
    <row r="61" spans="2:18" ht="12.75"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</row>
    <row r="62" spans="2:18" ht="12.75"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</row>
    <row r="63" spans="2:18" ht="12.75"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</row>
    <row r="64" spans="2:18" ht="12.75"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</row>
    <row r="65" spans="2:18" ht="12.75"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</row>
    <row r="66" spans="2:18" ht="12.75"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</row>
    <row r="67" spans="2:18" ht="12.75"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</row>
    <row r="68" spans="2:18" ht="12.75"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</row>
    <row r="69" spans="2:18" ht="12.75"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</row>
    <row r="70" spans="2:18" ht="12.75"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</row>
    <row r="71" spans="2:18" ht="12.75"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</row>
    <row r="72" spans="2:18" ht="12.75"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</row>
    <row r="73" spans="2:18" ht="12.75"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</row>
    <row r="74" spans="2:18" ht="12.75"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</row>
    <row r="75" spans="2:18" ht="12.75"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</row>
    <row r="76" spans="2:18" ht="12.75"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</row>
    <row r="77" spans="2:18" ht="12.75"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</row>
    <row r="78" spans="2:18" ht="12.75"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</row>
    <row r="79" spans="2:18" ht="12.75"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</row>
    <row r="80" spans="2:18" ht="12.75"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</row>
    <row r="81" spans="2:18" ht="12.75"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</row>
    <row r="82" spans="2:18" ht="12.75"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</row>
    <row r="83" spans="2:18" ht="12.75"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</row>
    <row r="84" spans="2:18" ht="12.75"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</row>
    <row r="85" spans="2:18" ht="12.75"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</row>
    <row r="86" spans="2:18" ht="12.75"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</row>
    <row r="87" spans="2:18" ht="12.75"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</row>
    <row r="88" spans="2:18" ht="12.75"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</row>
    <row r="89" spans="2:18" ht="12.75"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</row>
    <row r="90" spans="2:18" ht="12.75"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</row>
    <row r="91" spans="2:18" ht="12.75"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</row>
    <row r="92" spans="2:18" ht="12.75"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</row>
    <row r="93" spans="2:18" ht="12.75"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</row>
    <row r="94" spans="2:18" ht="12.75"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2:18" ht="12.75"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2:18" ht="12.75"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2:18" ht="12.75"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</row>
    <row r="98" spans="2:18" ht="12.75"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</row>
    <row r="99" spans="2:18" ht="12.75"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</row>
    <row r="100" spans="2:18" ht="12.75"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</row>
    <row r="101" spans="2:18" ht="12.75"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</row>
    <row r="102" spans="2:18" ht="12.75"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</row>
    <row r="103" spans="2:18" ht="12.75"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2:18" ht="12.75"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</row>
    <row r="105" spans="2:18" ht="12.75"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</row>
    <row r="106" spans="2:18" ht="12.75"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</row>
    <row r="107" spans="2:18" ht="12.75"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</row>
    <row r="108" spans="2:18" ht="12.75"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</row>
    <row r="109" spans="2:18" ht="12.75"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</row>
    <row r="110" spans="2:18" ht="12.75"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</row>
    <row r="111" spans="2:18" ht="12.75"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</row>
    <row r="112" spans="2:18" ht="12.75"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</row>
    <row r="113" spans="2:18" ht="12.75"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</row>
    <row r="114" spans="2:18" ht="12.75"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</row>
    <row r="115" spans="2:18" ht="12.75"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</row>
    <row r="116" spans="2:18" ht="12.75"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</row>
    <row r="117" spans="2:18" ht="12.75"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</row>
    <row r="118" spans="2:18" ht="12.75"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</row>
    <row r="119" spans="2:18" ht="12.75"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</row>
    <row r="120" spans="2:18" ht="12.75"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</row>
    <row r="121" spans="2:18" ht="12.75"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</row>
    <row r="122" spans="2:18" ht="12.75"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</row>
    <row r="123" spans="2:18" ht="12.75"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</row>
    <row r="124" spans="2:18" ht="12.75"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</row>
    <row r="125" spans="2:18" ht="12.75"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</row>
    <row r="126" spans="2:18" ht="12.75"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</row>
    <row r="127" spans="2:18" ht="12.75"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</row>
    <row r="128" spans="2:18" ht="12.75"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</row>
    <row r="129" spans="2:18" ht="12.75"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</row>
    <row r="130" spans="2:18" ht="12.75"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</row>
    <row r="131" spans="2:18" ht="12.75"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</row>
    <row r="132" spans="2:18" ht="12.75"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</row>
    <row r="133" spans="2:18" ht="12.75"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</row>
    <row r="134" spans="2:18" ht="12.75"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</row>
    <row r="135" spans="2:18" ht="12.75"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</row>
    <row r="136" spans="2:18" ht="12.75"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</row>
    <row r="137" spans="2:18" ht="12.75"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</row>
    <row r="138" spans="2:18" ht="12.75"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</row>
    <row r="139" spans="2:18" ht="12.75"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</row>
    <row r="140" spans="2:18" ht="12.75"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</row>
    <row r="141" spans="2:18" ht="12.75"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</row>
    <row r="142" spans="2:18" ht="12.75"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</row>
    <row r="143" spans="2:18" ht="12.75"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</row>
    <row r="144" spans="2:18" ht="12.75"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</row>
    <row r="145" spans="2:18" ht="12.75"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</row>
    <row r="146" spans="2:18" ht="12.75"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</row>
    <row r="147" spans="2:18" ht="12.75"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</row>
    <row r="148" spans="2:18" ht="12.75"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</row>
    <row r="149" spans="2:18" ht="12.75"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</row>
    <row r="150" spans="2:18" ht="12.75"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</row>
    <row r="151" spans="2:18" ht="12.75"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</row>
    <row r="152" spans="2:18" ht="12.75"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</row>
    <row r="153" spans="2:18" ht="12.75"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</row>
    <row r="154" spans="2:18" ht="12.75"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</row>
    <row r="155" spans="2:18" ht="12.75"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</row>
    <row r="156" spans="2:18" ht="12.75"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</row>
    <row r="157" spans="2:18" ht="12.75"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</row>
    <row r="158" spans="2:18" ht="12.75"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</row>
    <row r="159" spans="2:18" ht="12.75"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</row>
    <row r="160" spans="2:18" ht="12.75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</row>
    <row r="161" spans="2:18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</row>
    <row r="162" spans="2:18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</row>
    <row r="163" spans="2:18" ht="12.75"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</row>
    <row r="164" spans="2:18" ht="12.75"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</row>
    <row r="165" spans="2:18" ht="12.75"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</row>
    <row r="166" spans="2:18" ht="12.75"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</row>
    <row r="167" spans="2:18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</row>
    <row r="168" spans="2:18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</row>
    <row r="169" spans="2:18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</row>
    <row r="170" spans="2:18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</row>
    <row r="171" spans="2:18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</row>
    <row r="172" spans="2:18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</row>
    <row r="173" spans="2:18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</row>
    <row r="174" spans="2:18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</row>
    <row r="175" spans="2:18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</row>
    <row r="176" spans="2:18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</row>
    <row r="177" spans="2:18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</row>
    <row r="178" spans="2:18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</row>
    <row r="179" spans="2:18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</row>
    <row r="180" spans="2:18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</row>
    <row r="181" spans="2:18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</row>
    <row r="182" spans="2:18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</row>
    <row r="183" spans="2:18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</row>
    <row r="184" spans="2:18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</row>
    <row r="185" spans="2:18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</row>
    <row r="186" spans="2:18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</row>
    <row r="187" spans="2:18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</row>
    <row r="188" spans="2:18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</row>
    <row r="189" spans="2:18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</row>
    <row r="190" spans="2:18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</row>
    <row r="191" spans="2:18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</row>
    <row r="192" spans="2:18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</row>
    <row r="193" spans="2:18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</row>
    <row r="194" spans="2:18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</row>
    <row r="195" spans="2:18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</row>
    <row r="196" spans="2:18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</row>
    <row r="197" spans="2:18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</row>
    <row r="198" spans="2:18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</row>
    <row r="199" spans="2:18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</row>
    <row r="200" spans="2:18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</row>
    <row r="201" spans="2:18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</row>
    <row r="202" spans="2:18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</row>
    <row r="203" spans="2:18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</row>
    <row r="204" spans="2:18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</row>
    <row r="205" spans="2:18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</row>
    <row r="206" spans="2:18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</row>
    <row r="207" spans="2:18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</row>
    <row r="208" spans="2:18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</row>
    <row r="209" spans="2:18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</row>
    <row r="210" spans="2:18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</row>
    <row r="211" spans="2:18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</row>
    <row r="212" spans="2:18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</row>
    <row r="213" spans="2:18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</row>
    <row r="214" spans="2:18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</row>
    <row r="215" spans="2:18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</row>
    <row r="216" spans="2:18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</row>
    <row r="217" spans="2:18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</row>
    <row r="218" spans="2:18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</row>
    <row r="219" spans="2:18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</row>
    <row r="220" spans="2:18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</row>
    <row r="221" spans="2:18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</row>
    <row r="222" spans="2:18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</row>
    <row r="223" spans="2:18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</row>
    <row r="224" spans="2:18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</row>
    <row r="225" spans="2:18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</row>
    <row r="226" spans="2:18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</row>
    <row r="227" spans="2:18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</row>
    <row r="228" spans="2:18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</row>
    <row r="229" spans="2:18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</row>
    <row r="230" spans="2:18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</row>
    <row r="231" spans="2:18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</row>
    <row r="232" spans="2:18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</row>
    <row r="233" spans="2:18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</row>
    <row r="234" spans="2:18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</row>
    <row r="235" spans="2:18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</row>
    <row r="236" spans="2:18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</row>
    <row r="237" spans="2:18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</row>
    <row r="238" spans="2:18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</row>
    <row r="239" spans="2:18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</row>
    <row r="240" spans="2:18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</row>
    <row r="241" spans="2:18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</row>
    <row r="242" spans="2:18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</row>
    <row r="243" spans="2:18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</row>
    <row r="244" spans="2:18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</row>
    <row r="245" spans="2:18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</row>
    <row r="246" spans="2:18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</row>
    <row r="247" spans="2:18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</row>
    <row r="248" spans="2:18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</row>
    <row r="249" spans="2:18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</row>
    <row r="250" spans="2:18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</row>
    <row r="251" spans="2:18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</row>
    <row r="252" spans="2:18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</row>
    <row r="253" spans="2:18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</row>
    <row r="254" spans="2:18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</row>
    <row r="255" spans="2:18" ht="12.75"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</row>
    <row r="256" spans="2:18" ht="12.75"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</row>
    <row r="257" spans="2:18" ht="12.75"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</row>
    <row r="258" spans="2:18" ht="12.75"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</row>
    <row r="259" spans="2:18" ht="12.75"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</row>
    <row r="260" spans="2:18" ht="12.75"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</row>
    <row r="261" spans="2:18" ht="12.75"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</row>
    <row r="262" spans="2:18" ht="12.75"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</row>
    <row r="263" spans="2:18" ht="12.75"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</row>
    <row r="264" spans="2:18" ht="12.75"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</row>
    <row r="265" spans="2:18" ht="12.75"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</row>
    <row r="266" spans="2:18" ht="12.75"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</row>
    <row r="267" spans="2:18" ht="12.75"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</row>
    <row r="268" spans="2:18" ht="12.75"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</row>
    <row r="269" spans="2:18" ht="12.75"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</row>
    <row r="270" spans="2:18" ht="12.75"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</row>
    <row r="271" spans="2:18" ht="12.75"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</row>
    <row r="272" spans="2:18" ht="12.75"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</row>
    <row r="273" spans="2:18" ht="12.75"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</row>
    <row r="274" spans="2:18" ht="12.75"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</row>
    <row r="275" spans="2:18" ht="12.75"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</row>
    <row r="276" spans="2:18" ht="12.75"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</row>
    <row r="277" spans="2:18" ht="12.75"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</row>
    <row r="278" spans="2:18" ht="12.75"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</row>
    <row r="279" spans="2:18" ht="12.75"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</row>
    <row r="280" spans="2:18" ht="12.75"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</row>
    <row r="281" spans="2:18" ht="12.75"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</row>
    <row r="282" spans="2:18" ht="12.75"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</row>
    <row r="283" spans="2:18" ht="12.75"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</row>
    <row r="284" spans="2:18" ht="12.75"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</row>
    <row r="285" spans="2:18" ht="12.75"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</row>
    <row r="286" spans="2:18" ht="12.75"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</row>
    <row r="287" spans="2:18" ht="12.75"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</row>
    <row r="288" spans="2:18" ht="12.75"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</row>
    <row r="289" spans="2:18" ht="12.75"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</row>
    <row r="290" spans="2:18" ht="12.75"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</row>
    <row r="291" spans="2:18" ht="12.75"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</row>
    <row r="292" spans="2:18" ht="12.75"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</row>
    <row r="293" spans="2:18" ht="12.75"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</row>
    <row r="294" spans="2:18" ht="12.75"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</row>
    <row r="295" spans="2:18" ht="12.75"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</row>
    <row r="296" spans="2:18" ht="12.75"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</row>
    <row r="297" spans="2:18" ht="12.75"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</row>
    <row r="298" spans="2:18" ht="12.75"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</row>
    <row r="299" spans="2:18" ht="12.75"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</row>
    <row r="300" spans="2:18" ht="12.75"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</row>
    <row r="301" spans="2:18" ht="12.75"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</row>
    <row r="302" spans="2:18" ht="12.75"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</row>
    <row r="303" spans="2:18" ht="12.75"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</row>
    <row r="304" spans="2:18" ht="12.75"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</row>
    <row r="305" spans="2:18" ht="12.75"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</row>
    <row r="306" spans="2:18" ht="12.75"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</row>
    <row r="307" spans="2:18" ht="12.75"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</row>
    <row r="308" spans="2:18" ht="12.75"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</row>
    <row r="309" spans="2:18" ht="12.75"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</row>
    <row r="310" spans="2:18" ht="12.75"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</row>
    <row r="311" spans="2:18" ht="12.75"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</row>
    <row r="312" spans="2:18" ht="12.75"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</row>
    <row r="313" spans="2:18" ht="12.75"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</row>
    <row r="314" spans="2:18" ht="12.75"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</row>
    <row r="315" spans="2:18" ht="12.75"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</row>
    <row r="316" spans="2:18" ht="12.75"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</row>
    <row r="317" spans="2:18" ht="12.75"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</row>
    <row r="318" spans="2:18" ht="12.75"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</row>
    <row r="319" spans="2:18" ht="12.75"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</row>
    <row r="320" spans="2:18" ht="12.75"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</row>
    <row r="321" spans="2:18" ht="12.75"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</row>
    <row r="322" spans="2:18" ht="12.75"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</row>
    <row r="323" spans="2:18" ht="12.75"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</row>
    <row r="324" spans="2:18" ht="12.75"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</row>
    <row r="325" spans="2:18" ht="12.75"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</row>
    <row r="326" spans="2:18" ht="12.75"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</row>
    <row r="327" spans="2:18" ht="12.75"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</row>
    <row r="328" spans="2:18" ht="12.75"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</row>
    <row r="329" spans="2:18" ht="12.75"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</row>
    <row r="330" spans="2:18" ht="12.75"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</row>
    <row r="331" spans="2:18" ht="12.75"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</row>
    <row r="332" spans="2:18" ht="12.75"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</row>
    <row r="333" spans="2:18" ht="12.75"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</row>
    <row r="334" spans="2:18" ht="12.75"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</row>
    <row r="335" spans="2:18" ht="12.75"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</row>
    <row r="336" spans="2:18" ht="12.75"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</row>
    <row r="337" spans="2:18" ht="12.75"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</row>
    <row r="338" spans="2:18" ht="12.75"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</row>
    <row r="339" spans="2:18" ht="12.75"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</row>
    <row r="340" spans="2:18" ht="12.75"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</row>
    <row r="341" spans="2:18" ht="12.75"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</row>
    <row r="342" spans="2:18" ht="12.75"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</row>
    <row r="343" spans="2:18" ht="12.75"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</row>
    <row r="344" spans="2:18" ht="12.75"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</row>
    <row r="345" spans="2:18" ht="12.75"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</row>
    <row r="346" spans="2:18" ht="12.75"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</row>
    <row r="347" spans="2:18" ht="12.75"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</row>
    <row r="348" spans="2:18" ht="12.75"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</row>
    <row r="349" spans="2:18" ht="12.75"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</row>
    <row r="350" spans="2:18" ht="12.75"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</row>
    <row r="351" spans="2:18" ht="12.75"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</row>
    <row r="352" spans="2:18" ht="12.75"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</row>
    <row r="353" spans="2:18" ht="12.75"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</row>
    <row r="354" spans="2:18" ht="12.75"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</row>
    <row r="355" spans="2:18" ht="12.75"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</row>
    <row r="356" spans="2:18" ht="12.75"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</row>
    <row r="357" spans="2:18" ht="12.75"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</row>
    <row r="358" spans="2:18" ht="12.75"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</row>
    <row r="359" spans="2:18" ht="12.75"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</row>
    <row r="360" spans="2:18" ht="12.75"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</row>
    <row r="361" spans="2:18" ht="12.75"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</row>
    <row r="362" spans="2:18" ht="12.75"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</row>
    <row r="363" spans="2:18" ht="12.75"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</row>
    <row r="364" spans="2:18" ht="12.75"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</row>
    <row r="365" spans="2:18" ht="12.75"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</row>
    <row r="366" spans="2:18" ht="12.75"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</row>
    <row r="367" spans="2:18" ht="12.75"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</row>
    <row r="368" spans="2:18" ht="12.75"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</row>
    <row r="369" spans="2:18" ht="12.75"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</row>
    <row r="370" spans="2:18" ht="12.75"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</row>
    <row r="371" spans="2:18" ht="12.75"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</row>
    <row r="372" spans="2:18" ht="12.75"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</row>
    <row r="373" spans="2:18" ht="12.75"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</row>
    <row r="374" spans="2:18" ht="12.75"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</row>
    <row r="375" spans="2:18" ht="12.75"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</row>
    <row r="376" spans="2:18" ht="12.75"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</row>
    <row r="377" spans="2:18" ht="12.75"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</row>
    <row r="378" spans="2:18" ht="12.75"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</row>
    <row r="379" spans="2:18" ht="12.75"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</row>
    <row r="380" spans="2:18" ht="12.75"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</row>
    <row r="381" spans="2:18" ht="12.75"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</row>
    <row r="382" spans="2:18" ht="12.75"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</row>
    <row r="383" spans="2:18" ht="12.75"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</row>
    <row r="384" spans="2:18" ht="12.75"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</row>
    <row r="385" spans="2:18" ht="12.75"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</row>
    <row r="386" spans="2:18" ht="12.75"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</row>
    <row r="387" spans="2:18" ht="12.75"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</row>
    <row r="388" spans="2:18" ht="12.75"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</row>
    <row r="389" spans="2:18" ht="12.75"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</row>
    <row r="390" spans="2:18" ht="12.75"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</row>
    <row r="391" spans="2:18" ht="12.75"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</row>
    <row r="392" spans="2:18" ht="12.75"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</row>
    <row r="393" spans="2:18" ht="12.75"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</row>
    <row r="394" spans="2:18" ht="12.75"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</row>
    <row r="395" spans="2:18" ht="12.75"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</row>
    <row r="396" spans="2:18" ht="12.75"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</row>
    <row r="397" spans="2:18" ht="12.75"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</row>
    <row r="398" spans="2:18" ht="12.75"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</row>
    <row r="399" spans="2:18" ht="12.75"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</row>
    <row r="400" spans="2:18" ht="12.75"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</row>
    <row r="401" spans="2:18" ht="12.75"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</row>
    <row r="402" spans="2:18" ht="12.75"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</row>
    <row r="403" spans="2:18" ht="12.75"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</row>
    <row r="404" spans="2:18" ht="12.75"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</row>
    <row r="405" spans="2:18" ht="12.75"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</row>
    <row r="406" spans="2:18" ht="12.75"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</row>
    <row r="407" spans="2:18" ht="12.75"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</row>
    <row r="408" spans="2:18" ht="12.75">
      <c r="B408" s="124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</row>
    <row r="409" spans="2:18" ht="12.75"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</row>
    <row r="410" spans="2:18" ht="12.75"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</row>
    <row r="411" spans="2:18" ht="12.75"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</row>
    <row r="412" spans="2:18" ht="12.75">
      <c r="B412" s="124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</row>
    <row r="413" spans="2:18" ht="12.75"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</row>
    <row r="414" spans="2:18" ht="12.75">
      <c r="B414" s="124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</row>
    <row r="415" spans="2:18" ht="12.75">
      <c r="B415" s="124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</row>
    <row r="416" spans="2:18" ht="12.75">
      <c r="B416" s="124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</row>
    <row r="417" spans="2:18" ht="12.75">
      <c r="B417" s="124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</row>
    <row r="418" spans="2:18" ht="12.75"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</row>
    <row r="419" spans="2:18" ht="12.75"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</row>
    <row r="420" spans="2:18" ht="12.75">
      <c r="B420" s="124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</row>
    <row r="421" spans="2:18" ht="12.75"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</row>
    <row r="422" spans="2:18" ht="12.75"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</row>
    <row r="423" spans="2:18" ht="12.75"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</row>
    <row r="424" spans="2:18" ht="12.75"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</row>
    <row r="425" spans="2:18" ht="12.75">
      <c r="B425" s="124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</row>
    <row r="426" spans="2:18" ht="12.75"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</row>
    <row r="427" spans="2:18" ht="12.75">
      <c r="B427" s="124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</row>
    <row r="428" spans="2:18" ht="12.75">
      <c r="B428" s="124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</row>
    <row r="429" spans="2:18" ht="12.75">
      <c r="B429" s="124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</row>
    <row r="430" spans="2:18" ht="12.75"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</row>
    <row r="431" spans="2:18" ht="12.75">
      <c r="B431" s="124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</row>
    <row r="432" spans="2:18" ht="12.75">
      <c r="B432" s="124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</row>
    <row r="433" spans="2:18" ht="12.75"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</row>
    <row r="434" spans="2:18" ht="12.75">
      <c r="B434" s="124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</row>
    <row r="435" spans="2:18" ht="12.75">
      <c r="B435" s="124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</row>
    <row r="436" spans="2:18" ht="12.75">
      <c r="B436" s="124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</row>
    <row r="437" spans="2:18" ht="12.75">
      <c r="B437" s="124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</row>
    <row r="438" spans="2:18" ht="12.75">
      <c r="B438" s="124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</row>
    <row r="439" spans="2:18" ht="12.75"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</row>
    <row r="440" spans="2:18" ht="12.75">
      <c r="B440" s="124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</row>
    <row r="441" spans="2:18" ht="12.75">
      <c r="B441" s="124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</row>
    <row r="442" spans="2:18" ht="12.75">
      <c r="B442" s="124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</row>
    <row r="443" spans="2:18" ht="12.75">
      <c r="B443" s="124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</row>
    <row r="444" spans="2:18" ht="12.75"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</row>
    <row r="445" spans="2:18" ht="12.75">
      <c r="B445" s="124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</row>
    <row r="446" spans="2:18" ht="12.75">
      <c r="B446" s="124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</row>
    <row r="447" spans="2:18" ht="12.75">
      <c r="B447" s="124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</row>
    <row r="448" spans="2:18" ht="12.75">
      <c r="B448" s="124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</row>
    <row r="449" spans="2:18" ht="12.75">
      <c r="B449" s="124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</row>
    <row r="450" spans="2:18" ht="12.75">
      <c r="B450" s="124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</row>
    <row r="451" spans="2:18" ht="12.75">
      <c r="B451" s="124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</row>
    <row r="452" spans="2:18" ht="12.75"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</row>
    <row r="453" spans="2:18" ht="12.75"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</row>
    <row r="454" spans="2:18" ht="12.75">
      <c r="B454" s="124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</row>
    <row r="455" spans="2:18" ht="12.75">
      <c r="B455" s="124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</row>
    <row r="456" spans="2:18" ht="12.75">
      <c r="B456" s="124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</row>
    <row r="457" spans="2:18" ht="12.75">
      <c r="B457" s="124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</row>
    <row r="458" spans="2:18" ht="12.75"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</row>
    <row r="459" spans="2:18" ht="12.75">
      <c r="B459" s="124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</row>
    <row r="460" spans="2:18" ht="12.75">
      <c r="B460" s="124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</row>
    <row r="461" spans="2:18" ht="12.75"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</row>
    <row r="462" spans="2:18" ht="12.75">
      <c r="B462" s="124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</row>
    <row r="463" spans="2:18" ht="12.75">
      <c r="B463" s="124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</row>
    <row r="464" spans="2:18" ht="12.75"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</row>
    <row r="465" spans="2:18" ht="12.75"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</row>
    <row r="466" spans="2:18" ht="12.75"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</row>
    <row r="467" spans="2:18" ht="12.75"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</row>
    <row r="468" spans="2:18" ht="12.75">
      <c r="B468" s="124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</row>
    <row r="469" spans="2:18" ht="12.75">
      <c r="B469" s="124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</row>
    <row r="470" spans="2:18" ht="12.75">
      <c r="B470" s="124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</row>
    <row r="471" spans="2:18" ht="12.75">
      <c r="B471" s="124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</row>
    <row r="472" spans="2:18" ht="12.75"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</row>
    <row r="473" spans="2:18" ht="12.75">
      <c r="B473" s="124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</row>
    <row r="474" spans="2:18" ht="12.75">
      <c r="B474" s="124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</row>
    <row r="475" spans="2:18" ht="12.75">
      <c r="B475" s="124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</row>
    <row r="476" spans="2:18" ht="12.75">
      <c r="B476" s="124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</row>
    <row r="477" spans="2:18" ht="12.75">
      <c r="B477" s="124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</row>
    <row r="478" spans="2:18" ht="12.75"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</row>
    <row r="479" spans="2:18" ht="12.75">
      <c r="B479" s="124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</row>
    <row r="480" spans="2:18" ht="12.75">
      <c r="B480" s="124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</row>
    <row r="481" spans="2:18" ht="12.75">
      <c r="B481" s="124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</row>
    <row r="482" spans="2:18" ht="12.75">
      <c r="B482" s="124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</row>
    <row r="483" spans="2:18" ht="12.75">
      <c r="B483" s="124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</row>
    <row r="484" spans="2:18" ht="12.75">
      <c r="B484" s="124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</row>
    <row r="485" spans="2:18" ht="12.75">
      <c r="B485" s="124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</row>
    <row r="486" spans="2:18" ht="12.75">
      <c r="B486" s="124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</row>
    <row r="487" spans="2:18" ht="12.75"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</row>
    <row r="488" spans="2:18" ht="12.75"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</row>
    <row r="489" spans="2:18" ht="12.75"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</row>
    <row r="490" spans="2:18" ht="12.75">
      <c r="B490" s="124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</row>
    <row r="491" spans="2:18" ht="12.75">
      <c r="B491" s="124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</row>
    <row r="492" spans="2:18" ht="12.75">
      <c r="B492" s="124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</row>
    <row r="493" spans="2:18" ht="12.75">
      <c r="B493" s="124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</row>
    <row r="494" spans="2:18" ht="12.75">
      <c r="B494" s="124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</row>
    <row r="495" spans="2:18" ht="12.75">
      <c r="B495" s="124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</row>
    <row r="496" spans="2:18" ht="12.75">
      <c r="B496" s="124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</row>
    <row r="497" spans="2:18" ht="12.75">
      <c r="B497" s="124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</row>
    <row r="498" spans="2:18" ht="12.75">
      <c r="B498" s="124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</row>
    <row r="499" spans="2:18" ht="12.75">
      <c r="B499" s="124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</row>
    <row r="500" spans="2:18" ht="12.75">
      <c r="B500" s="124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</row>
    <row r="501" spans="2:18" ht="12.75">
      <c r="B501" s="124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</row>
    <row r="502" spans="2:18" ht="12.75">
      <c r="B502" s="124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</row>
    <row r="503" spans="2:18" ht="12.75">
      <c r="B503" s="124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</row>
    <row r="504" spans="2:18" ht="12.75">
      <c r="B504" s="124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</row>
    <row r="505" spans="2:18" ht="12.75">
      <c r="B505" s="124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</row>
    <row r="506" spans="2:18" ht="12.75">
      <c r="B506" s="124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</row>
    <row r="507" spans="2:18" ht="12.75">
      <c r="B507" s="124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</row>
    <row r="508" spans="2:18" ht="12.75">
      <c r="B508" s="124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</row>
    <row r="509" spans="2:18" ht="12.75">
      <c r="B509" s="124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</row>
    <row r="510" spans="2:18" ht="12.75">
      <c r="B510" s="124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</row>
    <row r="511" spans="2:18" ht="12.75">
      <c r="B511" s="124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</row>
    <row r="512" spans="2:18" ht="12.75"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</row>
    <row r="513" spans="2:18" ht="12.75">
      <c r="B513" s="124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</row>
    <row r="514" spans="2:18" ht="12.75">
      <c r="B514" s="124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</row>
    <row r="515" spans="2:18" ht="12.75">
      <c r="B515" s="124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</row>
    <row r="516" spans="2:18" ht="12.75">
      <c r="B516" s="124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</row>
    <row r="517" spans="2:18" ht="12.75">
      <c r="B517" s="124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</row>
    <row r="518" spans="2:18" ht="12.75">
      <c r="B518" s="124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</row>
    <row r="519" spans="2:18" ht="12.75">
      <c r="B519" s="124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</row>
    <row r="520" spans="2:18" ht="12.75">
      <c r="B520" s="124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</row>
    <row r="521" spans="2:18" ht="12.75">
      <c r="B521" s="124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</row>
    <row r="522" spans="2:18" ht="12.75">
      <c r="B522" s="124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</row>
    <row r="523" spans="2:18" ht="12.75">
      <c r="B523" s="124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</row>
    <row r="524" spans="2:18" ht="12.75">
      <c r="B524" s="124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</row>
    <row r="525" spans="2:18" ht="12.75">
      <c r="B525" s="124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</row>
    <row r="526" spans="2:18" ht="12.75">
      <c r="B526" s="124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</row>
    <row r="527" spans="2:18" ht="12.75">
      <c r="B527" s="124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</row>
    <row r="528" spans="2:18" ht="12.75">
      <c r="B528" s="124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</row>
    <row r="529" spans="2:18" ht="12.75">
      <c r="B529" s="124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</row>
    <row r="530" spans="2:18" ht="12.75">
      <c r="B530" s="124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</row>
    <row r="531" spans="2:18" ht="12.75">
      <c r="B531" s="124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</row>
    <row r="532" spans="2:18" ht="12.75">
      <c r="B532" s="124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</row>
    <row r="533" spans="2:18" ht="12.75">
      <c r="B533" s="124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</row>
    <row r="534" spans="2:18" ht="12.75">
      <c r="B534" s="124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</row>
    <row r="535" spans="2:18" ht="12.75">
      <c r="B535" s="124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</row>
    <row r="536" spans="2:18" ht="12.75">
      <c r="B536" s="124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</row>
    <row r="537" spans="2:18" ht="12.75">
      <c r="B537" s="124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</row>
    <row r="538" spans="2:18" ht="12.75">
      <c r="B538" s="124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</row>
    <row r="539" spans="2:18" ht="12.75">
      <c r="B539" s="124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</row>
    <row r="540" spans="2:18" ht="12.75">
      <c r="B540" s="124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</row>
    <row r="541" spans="2:18" ht="12.75">
      <c r="B541" s="124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</row>
    <row r="542" spans="2:18" ht="12.75"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</row>
    <row r="543" spans="2:18" ht="12.75">
      <c r="B543" s="124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</row>
    <row r="544" spans="2:18" ht="12.75">
      <c r="B544" s="124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</row>
    <row r="545" spans="2:18" ht="12.75">
      <c r="B545" s="124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</row>
    <row r="546" spans="2:18" ht="12.75"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</row>
    <row r="547" spans="2:18" ht="12.75">
      <c r="B547" s="124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</row>
    <row r="548" spans="2:18" ht="12.75">
      <c r="B548" s="124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</row>
    <row r="549" spans="2:18" ht="12.75">
      <c r="B549" s="124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</row>
    <row r="550" spans="2:18" ht="12.75">
      <c r="B550" s="124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</row>
    <row r="551" spans="2:18" ht="12.75">
      <c r="B551" s="124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</row>
    <row r="552" spans="2:18" ht="12.75">
      <c r="B552" s="124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</row>
    <row r="553" spans="2:18" ht="12.75">
      <c r="B553" s="124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</row>
    <row r="554" spans="2:18" ht="12.75">
      <c r="B554" s="124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</row>
    <row r="555" spans="2:18" ht="12.75">
      <c r="B555" s="124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</row>
    <row r="556" spans="2:18" ht="12.75"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</row>
    <row r="557" spans="2:18" ht="12.75">
      <c r="B557" s="124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</row>
    <row r="558" spans="2:18" ht="12.75">
      <c r="B558" s="124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</row>
    <row r="559" spans="2:18" ht="12.75">
      <c r="B559" s="124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</row>
    <row r="560" spans="2:18" ht="12.75">
      <c r="B560" s="124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</row>
    <row r="561" spans="2:18" ht="12.75">
      <c r="B561" s="124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</row>
    <row r="562" spans="2:18" ht="12.75">
      <c r="B562" s="124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</row>
    <row r="563" spans="2:18" ht="12.75">
      <c r="B563" s="124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</row>
    <row r="564" spans="2:18" ht="12.75">
      <c r="B564" s="124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</row>
    <row r="565" spans="2:18" ht="12.75">
      <c r="B565" s="124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</row>
    <row r="566" spans="2:18" ht="12.75">
      <c r="B566" s="124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</row>
    <row r="567" spans="2:18" ht="12.75">
      <c r="B567" s="124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</row>
    <row r="568" spans="2:18" ht="12.75">
      <c r="B568" s="124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</row>
    <row r="569" spans="2:18" ht="12.75">
      <c r="B569" s="124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</row>
    <row r="570" spans="2:18" ht="12.75">
      <c r="B570" s="124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</row>
    <row r="571" spans="2:18" ht="12.75">
      <c r="B571" s="124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</row>
    <row r="572" spans="2:18" ht="12.75">
      <c r="B572" s="124"/>
      <c r="C572" s="124"/>
      <c r="D572" s="124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</row>
    <row r="573" spans="2:18" ht="12.75">
      <c r="B573" s="124"/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</row>
    <row r="574" spans="2:18" ht="12.75">
      <c r="B574" s="124"/>
      <c r="C574" s="124"/>
      <c r="D574" s="124"/>
      <c r="E574" s="124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</row>
    <row r="575" spans="2:18" ht="12.75">
      <c r="B575" s="124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</row>
    <row r="576" spans="2:18" ht="12.75">
      <c r="B576" s="124"/>
      <c r="C576" s="124"/>
      <c r="D576" s="124"/>
      <c r="E576" s="124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</row>
    <row r="577" spans="2:18" ht="12.75">
      <c r="B577" s="124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</row>
    <row r="578" spans="2:18" ht="12.75">
      <c r="B578" s="124"/>
      <c r="C578" s="124"/>
      <c r="D578" s="124"/>
      <c r="E578" s="124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</row>
    <row r="579" spans="2:18" ht="12.75">
      <c r="B579" s="124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</row>
    <row r="580" spans="2:18" ht="12.75"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</row>
    <row r="581" spans="2:18" ht="12.75">
      <c r="B581" s="124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</row>
    <row r="582" spans="2:18" ht="12.75">
      <c r="B582" s="124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</row>
    <row r="583" spans="2:18" ht="12.75">
      <c r="B583" s="124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</row>
    <row r="584" spans="2:18" ht="12.75">
      <c r="B584" s="124"/>
      <c r="C584" s="124"/>
      <c r="D584" s="124"/>
      <c r="E584" s="124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</row>
    <row r="585" spans="2:18" ht="12.75">
      <c r="B585" s="124"/>
      <c r="C585" s="124"/>
      <c r="D585" s="124"/>
      <c r="E585" s="124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</row>
    <row r="586" spans="2:18" ht="12.75">
      <c r="B586" s="124"/>
      <c r="C586" s="124"/>
      <c r="D586" s="124"/>
      <c r="E586" s="124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</row>
    <row r="587" spans="2:18" ht="12.75">
      <c r="B587" s="124"/>
      <c r="C587" s="124"/>
      <c r="D587" s="124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</row>
    <row r="588" spans="2:18" ht="12.75">
      <c r="B588" s="124"/>
      <c r="C588" s="124"/>
      <c r="D588" s="124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</row>
    <row r="589" spans="2:18" ht="12.75">
      <c r="B589" s="124"/>
      <c r="C589" s="124"/>
      <c r="D589" s="124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</row>
    <row r="590" spans="2:18" ht="12.75">
      <c r="B590" s="124"/>
      <c r="C590" s="124"/>
      <c r="D590" s="124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</row>
    <row r="591" spans="2:18" ht="12.75">
      <c r="B591" s="124"/>
      <c r="C591" s="124"/>
      <c r="D591" s="124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</row>
    <row r="592" spans="2:18" ht="12.75">
      <c r="B592" s="124"/>
      <c r="C592" s="124"/>
      <c r="D592" s="124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</row>
    <row r="593" spans="2:18" ht="12.75">
      <c r="B593" s="124"/>
      <c r="C593" s="124"/>
      <c r="D593" s="124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</row>
    <row r="594" spans="2:18" ht="12.75">
      <c r="B594" s="124"/>
      <c r="C594" s="124"/>
      <c r="D594" s="124"/>
      <c r="E594" s="124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</row>
    <row r="595" spans="2:18" ht="12.75">
      <c r="B595" s="124"/>
      <c r="C595" s="124"/>
      <c r="D595" s="124"/>
      <c r="E595" s="124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</row>
    <row r="596" spans="2:18" ht="12.75">
      <c r="B596" s="124"/>
      <c r="C596" s="124"/>
      <c r="D596" s="124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</row>
    <row r="597" spans="2:18" ht="12.75">
      <c r="B597" s="124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</row>
    <row r="598" spans="2:18" ht="12.75">
      <c r="B598" s="124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</row>
    <row r="599" spans="2:18" ht="12.75">
      <c r="B599" s="124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</row>
    <row r="600" spans="2:18" ht="12.75">
      <c r="B600" s="124"/>
      <c r="C600" s="124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</row>
    <row r="601" spans="2:18" ht="12.75">
      <c r="B601" s="124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</row>
    <row r="602" spans="2:18" ht="12.75">
      <c r="B602" s="124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</row>
    <row r="603" spans="2:18" ht="12.75">
      <c r="B603" s="124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</row>
    <row r="604" spans="2:18" ht="12.75">
      <c r="B604" s="124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</row>
    <row r="605" spans="2:18" ht="12.75">
      <c r="B605" s="124"/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</row>
    <row r="606" spans="2:18" ht="12.75">
      <c r="B606" s="124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</row>
    <row r="607" spans="2:18" ht="12.75">
      <c r="B607" s="124"/>
      <c r="C607" s="124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</row>
    <row r="608" spans="2:18" ht="12.75">
      <c r="B608" s="124"/>
      <c r="C608" s="124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</row>
    <row r="609" spans="2:18" ht="12.75">
      <c r="B609" s="124"/>
      <c r="C609" s="124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</row>
    <row r="610" spans="2:18" ht="12.75">
      <c r="B610" s="124"/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</row>
    <row r="611" spans="2:18" ht="12.75">
      <c r="B611" s="124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</row>
    <row r="612" spans="2:18" ht="12.75">
      <c r="B612" s="124"/>
      <c r="C612" s="124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</row>
    <row r="613" spans="2:18" ht="12.75">
      <c r="B613" s="124"/>
      <c r="C613" s="124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</row>
    <row r="614" spans="2:18" ht="12.75"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</row>
    <row r="615" spans="2:18" ht="12.75">
      <c r="B615" s="124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</row>
    <row r="616" spans="2:18" ht="12.75">
      <c r="B616" s="124"/>
      <c r="C616" s="124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</row>
    <row r="617" spans="2:18" ht="12.75">
      <c r="B617" s="124"/>
      <c r="C617" s="124"/>
      <c r="D617" s="124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</row>
    <row r="618" spans="2:18" ht="12.75">
      <c r="B618" s="124"/>
      <c r="C618" s="124"/>
      <c r="D618" s="124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</row>
    <row r="619" spans="2:18" ht="12.75">
      <c r="B619" s="124"/>
      <c r="C619" s="124"/>
      <c r="D619" s="124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</row>
    <row r="620" spans="2:18" ht="12.75">
      <c r="B620" s="124"/>
      <c r="C620" s="124"/>
      <c r="D620" s="124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</row>
    <row r="621" spans="2:18" ht="12.75">
      <c r="B621" s="124"/>
      <c r="C621" s="124"/>
      <c r="D621" s="124"/>
      <c r="E621" s="124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</row>
    <row r="622" spans="2:18" ht="12.75">
      <c r="B622" s="124"/>
      <c r="C622" s="124"/>
      <c r="D622" s="124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</row>
    <row r="623" spans="2:18" ht="12.75">
      <c r="B623" s="124"/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</row>
    <row r="624" spans="2:18" ht="12.75">
      <c r="B624" s="124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</row>
    <row r="625" spans="2:18" ht="12.75">
      <c r="B625" s="124"/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</row>
    <row r="626" spans="2:18" ht="12.75">
      <c r="B626" s="124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</row>
    <row r="627" spans="2:18" ht="12.75">
      <c r="B627" s="124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</row>
    <row r="628" spans="2:18" ht="12.75">
      <c r="B628" s="124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</row>
    <row r="629" spans="2:18" ht="12.75">
      <c r="B629" s="124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</row>
    <row r="630" spans="2:18" ht="12.75">
      <c r="B630" s="124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</row>
    <row r="631" spans="2:18" ht="12.75">
      <c r="B631" s="124"/>
      <c r="C631" s="124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</row>
    <row r="632" spans="2:18" ht="12.75">
      <c r="B632" s="124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</row>
    <row r="633" spans="2:18" ht="12.75">
      <c r="B633" s="124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</row>
    <row r="634" spans="2:18" ht="12.75">
      <c r="B634" s="124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</row>
    <row r="635" spans="2:18" ht="12.75">
      <c r="B635" s="124"/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</row>
    <row r="636" spans="2:18" ht="12.75">
      <c r="B636" s="124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</row>
    <row r="637" spans="2:18" ht="12.75">
      <c r="B637" s="124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</row>
    <row r="638" spans="2:18" ht="12.75">
      <c r="B638" s="124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</row>
    <row r="639" spans="2:18" ht="12.75">
      <c r="B639" s="124"/>
      <c r="C639" s="124"/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</row>
    <row r="640" spans="2:18" ht="12.75">
      <c r="B640" s="124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</row>
    <row r="641" spans="2:18" ht="12.75">
      <c r="B641" s="124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</row>
    <row r="642" spans="2:18" ht="12.75">
      <c r="B642" s="124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</row>
    <row r="643" spans="2:18" ht="12.75">
      <c r="B643" s="124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</row>
    <row r="644" spans="2:18" ht="12.75">
      <c r="B644" s="124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</row>
    <row r="645" spans="2:18" ht="12.75">
      <c r="B645" s="124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</row>
    <row r="646" spans="2:18" ht="12.75">
      <c r="B646" s="124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</row>
    <row r="647" spans="2:18" ht="12.75">
      <c r="B647" s="124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</row>
    <row r="648" spans="2:18" ht="12.75"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</row>
    <row r="649" spans="2:18" ht="12.75">
      <c r="B649" s="124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</row>
    <row r="650" spans="2:18" ht="12.75">
      <c r="B650" s="124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</row>
    <row r="651" spans="2:18" ht="12.75">
      <c r="B651" s="124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</row>
    <row r="652" spans="2:18" ht="12.75">
      <c r="B652" s="124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</row>
    <row r="653" spans="2:18" ht="12.75">
      <c r="B653" s="124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</row>
    <row r="654" spans="2:18" ht="12.75">
      <c r="B654" s="124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</row>
    <row r="655" spans="2:18" ht="12.75">
      <c r="B655" s="124"/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</row>
    <row r="656" spans="2:18" ht="12.75">
      <c r="B656" s="124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</row>
    <row r="657" spans="2:18" ht="12.75">
      <c r="B657" s="124"/>
      <c r="C657" s="124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</row>
    <row r="658" spans="2:18" ht="12.75">
      <c r="B658" s="124"/>
      <c r="C658" s="124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</row>
    <row r="659" spans="2:18" ht="12.75">
      <c r="B659" s="124"/>
      <c r="C659" s="124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</row>
    <row r="660" spans="2:18" ht="12.75">
      <c r="B660" s="124"/>
      <c r="C660" s="124"/>
      <c r="D660" s="124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</row>
    <row r="661" spans="2:18" ht="12.75">
      <c r="B661" s="124"/>
      <c r="C661" s="124"/>
      <c r="D661" s="124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</row>
    <row r="662" spans="2:18" ht="12.75">
      <c r="B662" s="124"/>
      <c r="C662" s="124"/>
      <c r="D662" s="124"/>
      <c r="E662" s="124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</row>
    <row r="663" spans="2:18" ht="12.75">
      <c r="B663" s="124"/>
      <c r="C663" s="124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</row>
    <row r="664" spans="2:18" ht="12.75">
      <c r="B664" s="124"/>
      <c r="C664" s="124"/>
      <c r="D664" s="124"/>
      <c r="E664" s="124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</row>
    <row r="665" spans="2:18" ht="12.75">
      <c r="B665" s="124"/>
      <c r="C665" s="124"/>
      <c r="D665" s="124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</row>
    <row r="666" spans="2:18" ht="12.75">
      <c r="B666" s="124"/>
      <c r="C666" s="124"/>
      <c r="D666" s="124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</row>
    <row r="667" spans="2:18" ht="12.75">
      <c r="B667" s="124"/>
      <c r="C667" s="124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</row>
    <row r="668" spans="2:18" ht="12.75">
      <c r="B668" s="124"/>
      <c r="C668" s="124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</row>
    <row r="669" spans="2:18" ht="12.75">
      <c r="B669" s="124"/>
      <c r="C669" s="124"/>
      <c r="D669" s="124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</row>
    <row r="670" spans="2:18" ht="12.75">
      <c r="B670" s="124"/>
      <c r="C670" s="124"/>
      <c r="D670" s="124"/>
      <c r="E670" s="124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</row>
    <row r="671" spans="2:18" ht="12.75">
      <c r="B671" s="124"/>
      <c r="C671" s="124"/>
      <c r="D671" s="124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</row>
    <row r="672" spans="2:18" ht="12.75">
      <c r="B672" s="124"/>
      <c r="C672" s="124"/>
      <c r="D672" s="124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</row>
    <row r="673" spans="2:18" ht="12.75">
      <c r="B673" s="124"/>
      <c r="C673" s="124"/>
      <c r="D673" s="124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</row>
    <row r="674" spans="2:18" ht="12.75">
      <c r="B674" s="124"/>
      <c r="C674" s="124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</row>
    <row r="675" spans="2:18" ht="12.75">
      <c r="B675" s="124"/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</row>
    <row r="676" spans="2:18" ht="12.75">
      <c r="B676" s="124"/>
      <c r="C676" s="124"/>
      <c r="D676" s="124"/>
      <c r="E676" s="124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</row>
    <row r="677" spans="2:18" ht="12.75">
      <c r="B677" s="124"/>
      <c r="C677" s="124"/>
      <c r="D677" s="124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</row>
    <row r="678" spans="2:18" ht="12.75">
      <c r="B678" s="124"/>
      <c r="C678" s="124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</row>
    <row r="679" spans="2:18" ht="12.75">
      <c r="B679" s="124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</row>
    <row r="680" spans="2:18" ht="12.75">
      <c r="B680" s="124"/>
      <c r="C680" s="124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</row>
    <row r="681" spans="2:18" ht="12.75">
      <c r="B681" s="124"/>
      <c r="C681" s="124"/>
      <c r="D681" s="124"/>
      <c r="E681" s="124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</row>
    <row r="682" spans="2:18" ht="12.75">
      <c r="B682" s="124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</row>
    <row r="683" spans="2:18" ht="12.75">
      <c r="B683" s="124"/>
      <c r="C683" s="124"/>
      <c r="D683" s="124"/>
      <c r="E683" s="124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</row>
    <row r="684" spans="2:18" ht="12.75">
      <c r="B684" s="124"/>
      <c r="C684" s="124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</row>
    <row r="685" spans="2:18" ht="12.75">
      <c r="B685" s="124"/>
      <c r="C685" s="124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</row>
    <row r="686" spans="2:18" ht="12.75">
      <c r="B686" s="124"/>
      <c r="C686" s="124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</row>
    <row r="687" spans="2:18" ht="12.75">
      <c r="B687" s="124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</row>
    <row r="688" spans="2:18" ht="12.75">
      <c r="B688" s="124"/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</row>
    <row r="689" spans="2:18" ht="12.75">
      <c r="B689" s="124"/>
      <c r="C689" s="124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</row>
    <row r="690" spans="2:18" ht="12.75">
      <c r="B690" s="124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</row>
    <row r="691" spans="2:18" ht="12.75">
      <c r="B691" s="124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</row>
    <row r="692" spans="2:18" ht="12.75">
      <c r="B692" s="124"/>
      <c r="C692" s="124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</row>
    <row r="693" spans="2:18" ht="12.75">
      <c r="B693" s="124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</row>
    <row r="694" spans="2:18" ht="12.75">
      <c r="B694" s="124"/>
      <c r="C694" s="124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</row>
    <row r="695" spans="2:18" ht="12.75">
      <c r="B695" s="124"/>
      <c r="C695" s="124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</row>
    <row r="696" spans="2:18" ht="12.75">
      <c r="B696" s="124"/>
      <c r="C696" s="124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</row>
    <row r="697" spans="2:18" ht="12.75">
      <c r="B697" s="124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</row>
    <row r="698" spans="2:18" ht="12.75">
      <c r="B698" s="124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</row>
    <row r="699" spans="2:18" ht="12.75">
      <c r="B699" s="124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</row>
    <row r="700" spans="2:18" ht="12.75">
      <c r="B700" s="124"/>
      <c r="C700" s="124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</row>
    <row r="701" spans="2:18" ht="12.75">
      <c r="B701" s="124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</row>
    <row r="702" spans="2:18" ht="12.75">
      <c r="B702" s="124"/>
      <c r="C702" s="124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</row>
    <row r="703" spans="2:18" ht="12.75">
      <c r="B703" s="124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</row>
    <row r="704" spans="2:18" ht="12.75">
      <c r="B704" s="124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</row>
    <row r="705" spans="2:18" ht="12.75">
      <c r="B705" s="124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</row>
    <row r="706" spans="2:18" ht="12.75">
      <c r="B706" s="124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</row>
    <row r="707" spans="2:18" ht="12.75">
      <c r="B707" s="124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</row>
    <row r="708" spans="2:18" ht="12.75">
      <c r="B708" s="124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</row>
    <row r="709" spans="2:18" ht="12.75">
      <c r="B709" s="124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</row>
    <row r="710" spans="2:18" ht="12.75">
      <c r="B710" s="124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</row>
    <row r="711" spans="2:18" ht="12.75">
      <c r="B711" s="124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</row>
    <row r="712" spans="2:18" ht="12.75">
      <c r="B712" s="124"/>
      <c r="C712" s="124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</row>
    <row r="713" spans="2:18" ht="12.75">
      <c r="B713" s="124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</row>
    <row r="714" spans="2:18" ht="12.75">
      <c r="B714" s="124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</row>
    <row r="715" spans="2:18" ht="12.75">
      <c r="B715" s="124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</row>
    <row r="716" spans="2:18" ht="12.75"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</row>
    <row r="717" spans="2:18" ht="12.75">
      <c r="B717" s="124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</row>
    <row r="718" spans="2:18" ht="12.75">
      <c r="B718" s="124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</row>
    <row r="719" spans="2:18" ht="12.75">
      <c r="B719" s="124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</row>
    <row r="720" spans="2:18" ht="12.75">
      <c r="B720" s="124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</row>
    <row r="721" spans="2:18" ht="12.75">
      <c r="B721" s="124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</row>
    <row r="722" spans="2:18" ht="12.75">
      <c r="B722" s="124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</row>
    <row r="723" spans="2:18" ht="12.75">
      <c r="B723" s="124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</row>
    <row r="724" spans="2:18" ht="12.75">
      <c r="B724" s="124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</row>
    <row r="725" spans="2:18" ht="12.75">
      <c r="B725" s="124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</row>
    <row r="726" spans="2:18" ht="12.75">
      <c r="B726" s="124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</row>
    <row r="727" spans="2:18" ht="12.75">
      <c r="B727" s="124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</row>
    <row r="728" spans="2:18" ht="12.75">
      <c r="B728" s="124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</row>
    <row r="729" spans="2:18" ht="12.75">
      <c r="B729" s="124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</row>
    <row r="730" spans="2:18" ht="12.75">
      <c r="B730" s="124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</row>
    <row r="731" spans="2:18" ht="12.75">
      <c r="B731" s="124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</row>
    <row r="732" spans="2:18" ht="12.75">
      <c r="B732" s="124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</row>
    <row r="733" spans="2:18" ht="12.75">
      <c r="B733" s="124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</row>
    <row r="734" spans="2:18" ht="12.75">
      <c r="B734" s="124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</row>
    <row r="735" spans="2:18" ht="12.75">
      <c r="B735" s="124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</row>
    <row r="736" spans="2:18" ht="12.75">
      <c r="B736" s="124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</row>
    <row r="737" spans="2:18" ht="12.75">
      <c r="B737" s="124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</row>
    <row r="738" spans="2:18" ht="12.75">
      <c r="B738" s="124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</row>
    <row r="739" spans="2:18" ht="12.75">
      <c r="B739" s="124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</row>
    <row r="740" spans="2:18" ht="12.75">
      <c r="B740" s="124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</row>
    <row r="741" spans="2:18" ht="12.75">
      <c r="B741" s="124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</row>
    <row r="742" spans="2:18" ht="12.75">
      <c r="B742" s="124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</row>
    <row r="743" spans="2:18" ht="12.75"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</row>
    <row r="744" spans="2:18" ht="12.75">
      <c r="B744" s="124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</row>
    <row r="745" spans="2:18" ht="12.75">
      <c r="B745" s="124"/>
      <c r="C745" s="124"/>
      <c r="D745" s="124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  <c r="R745" s="124"/>
    </row>
    <row r="746" spans="2:18" ht="12.75">
      <c r="B746" s="124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</row>
    <row r="747" spans="2:18" ht="12.75">
      <c r="B747" s="124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</row>
    <row r="748" spans="2:18" ht="12.75">
      <c r="B748" s="124"/>
      <c r="C748" s="124"/>
      <c r="D748" s="124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</row>
    <row r="749" spans="2:18" ht="12.75">
      <c r="B749" s="124"/>
      <c r="C749" s="124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  <c r="R749" s="124"/>
    </row>
    <row r="750" spans="2:18" ht="12.75"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  <c r="R750" s="124"/>
    </row>
    <row r="751" spans="2:18" ht="12.75">
      <c r="B751" s="124"/>
      <c r="C751" s="124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</row>
    <row r="752" spans="2:18" ht="12.75">
      <c r="B752" s="124"/>
      <c r="C752" s="124"/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</row>
    <row r="753" spans="2:18" ht="12.75">
      <c r="B753" s="124"/>
      <c r="C753" s="124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  <c r="R753" s="124"/>
    </row>
    <row r="754" spans="2:18" ht="12.75">
      <c r="B754" s="124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</row>
    <row r="755" spans="2:18" ht="12.75">
      <c r="B755" s="124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</row>
    <row r="756" spans="2:18" ht="12.75">
      <c r="B756" s="124"/>
      <c r="C756" s="124"/>
      <c r="D756" s="124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  <c r="R756" s="124"/>
    </row>
    <row r="757" spans="2:18" ht="12.75">
      <c r="B757" s="124"/>
      <c r="C757" s="124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124"/>
    </row>
    <row r="758" spans="2:18" ht="12.75">
      <c r="B758" s="124"/>
      <c r="C758" s="124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124"/>
    </row>
    <row r="759" spans="2:18" ht="12.75">
      <c r="B759" s="124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</row>
    <row r="760" spans="2:18" ht="12.75">
      <c r="B760" s="124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</row>
    <row r="761" spans="2:18" ht="12.75">
      <c r="B761" s="124"/>
      <c r="C761" s="124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  <c r="R761" s="124"/>
    </row>
    <row r="762" spans="2:18" ht="12.75">
      <c r="B762" s="124"/>
      <c r="C762" s="124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  <c r="R762" s="124"/>
    </row>
    <row r="763" spans="2:18" ht="12.75">
      <c r="B763" s="124"/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</row>
    <row r="764" spans="2:18" ht="12.75">
      <c r="B764" s="124"/>
      <c r="C764" s="124"/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124"/>
    </row>
    <row r="765" spans="2:18" ht="12.75">
      <c r="B765" s="124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  <c r="R765" s="124"/>
    </row>
    <row r="766" spans="2:18" ht="12.75">
      <c r="B766" s="124"/>
      <c r="C766" s="124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  <c r="R766" s="124"/>
    </row>
    <row r="767" spans="2:18" ht="12.75">
      <c r="B767" s="124"/>
      <c r="C767" s="124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  <c r="R767" s="124"/>
    </row>
    <row r="768" spans="2:18" ht="12.75">
      <c r="B768" s="124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</row>
    <row r="769" spans="2:18" ht="12.75">
      <c r="B769" s="124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</row>
    <row r="770" spans="2:18" ht="12.75"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  <c r="R770" s="124"/>
    </row>
    <row r="771" spans="2:18" ht="12.75">
      <c r="B771" s="124"/>
      <c r="C771" s="124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</row>
    <row r="772" spans="2:18" ht="12.75">
      <c r="B772" s="124"/>
      <c r="C772" s="124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  <c r="R772" s="124"/>
    </row>
    <row r="773" spans="2:18" ht="12.75">
      <c r="B773" s="124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</row>
    <row r="774" spans="2:18" ht="12.75">
      <c r="B774" s="124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</row>
    <row r="775" spans="2:18" ht="12.75">
      <c r="B775" s="124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</row>
    <row r="776" spans="2:18" ht="12.75">
      <c r="B776" s="124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</row>
    <row r="777" spans="2:18" ht="12.75">
      <c r="B777" s="124"/>
      <c r="C777" s="124"/>
      <c r="D777" s="124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124"/>
    </row>
    <row r="778" spans="2:18" ht="12.75">
      <c r="B778" s="124"/>
      <c r="C778" s="124"/>
      <c r="D778" s="124"/>
      <c r="E778" s="124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  <c r="R778" s="124"/>
    </row>
    <row r="779" spans="2:18" ht="12.75">
      <c r="B779" s="124"/>
      <c r="C779" s="124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</row>
    <row r="780" spans="2:18" ht="12.75">
      <c r="B780" s="124"/>
      <c r="C780" s="124"/>
      <c r="D780" s="124"/>
      <c r="E780" s="124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  <c r="R780" s="124"/>
    </row>
    <row r="781" spans="2:18" ht="12.75">
      <c r="B781" s="124"/>
      <c r="C781" s="124"/>
      <c r="D781" s="124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124"/>
    </row>
    <row r="782" spans="2:18" ht="12.75">
      <c r="B782" s="124"/>
      <c r="C782" s="124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</row>
    <row r="783" spans="2:18" ht="12.75">
      <c r="B783" s="124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</row>
    <row r="784" spans="2:18" ht="12.75"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</row>
    <row r="785" spans="2:18" ht="12.75">
      <c r="B785" s="124"/>
      <c r="C785" s="124"/>
      <c r="D785" s="124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</row>
    <row r="786" spans="2:18" ht="12.75">
      <c r="B786" s="124"/>
      <c r="C786" s="124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</row>
    <row r="787" spans="2:18" ht="12.75">
      <c r="B787" s="124"/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</row>
    <row r="788" spans="2:18" ht="12.75">
      <c r="B788" s="124"/>
      <c r="C788" s="124"/>
      <c r="D788" s="124"/>
      <c r="E788" s="124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  <c r="R788" s="124"/>
    </row>
    <row r="789" spans="2:18" ht="12.75">
      <c r="B789" s="124"/>
      <c r="C789" s="124"/>
      <c r="D789" s="124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</row>
    <row r="790" spans="2:18" ht="12.75">
      <c r="B790" s="124"/>
      <c r="C790" s="124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124"/>
    </row>
    <row r="791" spans="2:18" ht="12.75">
      <c r="B791" s="124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</row>
    <row r="792" spans="2:18" ht="12.75">
      <c r="B792" s="124"/>
      <c r="C792" s="124"/>
      <c r="D792" s="124"/>
      <c r="E792" s="124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  <c r="Q792" s="124"/>
      <c r="R792" s="124"/>
    </row>
    <row r="793" spans="2:18" ht="12.75">
      <c r="B793" s="124"/>
      <c r="C793" s="124"/>
      <c r="D793" s="124"/>
      <c r="E793" s="124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  <c r="R793" s="124"/>
    </row>
    <row r="794" spans="2:18" ht="12.75">
      <c r="B794" s="124"/>
      <c r="C794" s="124"/>
      <c r="D794" s="124"/>
      <c r="E794" s="124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  <c r="Q794" s="124"/>
      <c r="R794" s="124"/>
    </row>
    <row r="795" spans="2:18" ht="12.75">
      <c r="B795" s="124"/>
      <c r="C795" s="124"/>
      <c r="D795" s="124"/>
      <c r="E795" s="124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  <c r="Q795" s="124"/>
      <c r="R795" s="124"/>
    </row>
    <row r="796" spans="2:18" ht="12.75">
      <c r="B796" s="124"/>
      <c r="C796" s="124"/>
      <c r="D796" s="124"/>
      <c r="E796" s="124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  <c r="Q796" s="124"/>
      <c r="R796" s="124"/>
    </row>
    <row r="797" spans="2:18" ht="12.75">
      <c r="B797" s="124"/>
      <c r="C797" s="124"/>
      <c r="D797" s="124"/>
      <c r="E797" s="124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</row>
    <row r="798" spans="2:18" ht="12.75">
      <c r="B798" s="124"/>
      <c r="C798" s="124"/>
      <c r="D798" s="124"/>
      <c r="E798" s="124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124"/>
    </row>
    <row r="799" spans="2:18" ht="12.75">
      <c r="B799" s="124"/>
      <c r="C799" s="124"/>
      <c r="D799" s="124"/>
      <c r="E799" s="124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</row>
    <row r="800" spans="2:18" ht="12.75">
      <c r="B800" s="124"/>
      <c r="C800" s="124"/>
      <c r="D800" s="124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</row>
    <row r="801" spans="2:18" ht="12.75">
      <c r="B801" s="124"/>
      <c r="C801" s="124"/>
      <c r="D801" s="124"/>
      <c r="E801" s="124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</row>
    <row r="802" spans="2:18" ht="12.75">
      <c r="B802" s="124"/>
      <c r="C802" s="124"/>
      <c r="D802" s="124"/>
      <c r="E802" s="124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124"/>
    </row>
    <row r="803" spans="2:18" ht="12.75">
      <c r="B803" s="124"/>
      <c r="C803" s="124"/>
      <c r="D803" s="124"/>
      <c r="E803" s="124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124"/>
    </row>
    <row r="804" spans="2:18" ht="12.75">
      <c r="B804" s="124"/>
      <c r="C804" s="124"/>
      <c r="D804" s="124"/>
      <c r="E804" s="124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</row>
    <row r="805" spans="2:18" ht="12.75">
      <c r="B805" s="124"/>
      <c r="C805" s="124"/>
      <c r="D805" s="124"/>
      <c r="E805" s="124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</row>
    <row r="806" spans="2:18" ht="12.75">
      <c r="B806" s="124"/>
      <c r="C806" s="124"/>
      <c r="D806" s="124"/>
      <c r="E806" s="124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</row>
    <row r="807" spans="2:18" ht="12.75">
      <c r="B807" s="124"/>
      <c r="C807" s="124"/>
      <c r="D807" s="124"/>
      <c r="E807" s="124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</row>
    <row r="808" spans="2:18" ht="12.75">
      <c r="B808" s="124"/>
      <c r="C808" s="124"/>
      <c r="D808" s="124"/>
      <c r="E808" s="124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</row>
    <row r="809" spans="2:18" ht="12.75">
      <c r="B809" s="124"/>
      <c r="C809" s="124"/>
      <c r="D809" s="124"/>
      <c r="E809" s="124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</row>
    <row r="810" spans="2:18" ht="12.75">
      <c r="B810" s="124"/>
      <c r="C810" s="124"/>
      <c r="D810" s="124"/>
      <c r="E810" s="124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124"/>
    </row>
    <row r="811" spans="2:18" ht="12.75">
      <c r="B811" s="124"/>
      <c r="C811" s="124"/>
      <c r="D811" s="124"/>
      <c r="E811" s="124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124"/>
    </row>
    <row r="812" spans="2:18" ht="12.75">
      <c r="B812" s="124"/>
      <c r="C812" s="124"/>
      <c r="D812" s="124"/>
      <c r="E812" s="124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124"/>
    </row>
    <row r="813" spans="2:18" ht="12.75">
      <c r="B813" s="124"/>
      <c r="C813" s="124"/>
      <c r="D813" s="124"/>
      <c r="E813" s="124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</row>
    <row r="814" spans="2:18" ht="12.75">
      <c r="B814" s="124"/>
      <c r="C814" s="124"/>
      <c r="D814" s="124"/>
      <c r="E814" s="124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</row>
    <row r="815" spans="2:18" ht="12.75">
      <c r="B815" s="124"/>
      <c r="C815" s="124"/>
      <c r="D815" s="124"/>
      <c r="E815" s="124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</row>
    <row r="816" spans="2:18" ht="12.75">
      <c r="B816" s="124"/>
      <c r="C816" s="124"/>
      <c r="D816" s="124"/>
      <c r="E816" s="124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124"/>
    </row>
    <row r="817" spans="2:18" ht="12.75">
      <c r="B817" s="124"/>
      <c r="C817" s="124"/>
      <c r="D817" s="124"/>
      <c r="E817" s="124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</row>
    <row r="818" spans="2:18" ht="12.75"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</row>
    <row r="819" spans="2:18" ht="12.75">
      <c r="B819" s="124"/>
      <c r="C819" s="124"/>
      <c r="D819" s="124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</row>
    <row r="820" spans="2:18" ht="12.75">
      <c r="B820" s="124"/>
      <c r="C820" s="124"/>
      <c r="D820" s="124"/>
      <c r="E820" s="124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</row>
    <row r="821" spans="2:18" ht="12.75">
      <c r="B821" s="124"/>
      <c r="C821" s="124"/>
      <c r="D821" s="124"/>
      <c r="E821" s="124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  <c r="R821" s="124"/>
    </row>
    <row r="822" spans="2:18" ht="12.75">
      <c r="B822" s="124"/>
      <c r="C822" s="124"/>
      <c r="D822" s="124"/>
      <c r="E822" s="124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  <c r="R822" s="124"/>
    </row>
    <row r="823" spans="2:18" ht="12.75">
      <c r="B823" s="124"/>
      <c r="C823" s="124"/>
      <c r="D823" s="124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</row>
    <row r="824" spans="2:18" ht="12.75">
      <c r="B824" s="124"/>
      <c r="C824" s="124"/>
      <c r="D824" s="124"/>
      <c r="E824" s="124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</row>
    <row r="825" spans="2:18" ht="12.75">
      <c r="B825" s="124"/>
      <c r="C825" s="124"/>
      <c r="D825" s="124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</row>
    <row r="826" spans="2:18" ht="12.75">
      <c r="B826" s="124"/>
      <c r="C826" s="124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</row>
    <row r="827" spans="2:18" ht="12.75">
      <c r="B827" s="124"/>
      <c r="C827" s="124"/>
      <c r="D827" s="124"/>
      <c r="E827" s="124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124"/>
    </row>
    <row r="828" spans="2:18" ht="12.75">
      <c r="B828" s="124"/>
      <c r="C828" s="124"/>
      <c r="D828" s="124"/>
      <c r="E828" s="124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  <c r="R828" s="124"/>
    </row>
    <row r="829" spans="2:18" ht="12.75">
      <c r="B829" s="124"/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</row>
    <row r="830" spans="2:18" ht="12.75">
      <c r="B830" s="124"/>
      <c r="C830" s="124"/>
      <c r="D830" s="124"/>
      <c r="E830" s="124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</row>
    <row r="831" spans="2:18" ht="12.75">
      <c r="B831" s="124"/>
      <c r="C831" s="124"/>
      <c r="D831" s="124"/>
      <c r="E831" s="124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</row>
    <row r="832" spans="2:18" ht="12.75">
      <c r="B832" s="124"/>
      <c r="C832" s="124"/>
      <c r="D832" s="124"/>
      <c r="E832" s="124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  <c r="R832" s="124"/>
    </row>
    <row r="833" spans="2:18" ht="12.75">
      <c r="B833" s="124"/>
      <c r="C833" s="124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</row>
    <row r="834" spans="2:18" ht="12.75">
      <c r="B834" s="124"/>
      <c r="C834" s="124"/>
      <c r="D834" s="124"/>
      <c r="E834" s="124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  <c r="R834" s="124"/>
    </row>
    <row r="835" spans="2:18" ht="12.75">
      <c r="B835" s="124"/>
      <c r="C835" s="124"/>
      <c r="D835" s="124"/>
      <c r="E835" s="124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  <c r="R835" s="124"/>
    </row>
    <row r="836" spans="2:18" ht="12.75">
      <c r="B836" s="124"/>
      <c r="C836" s="124"/>
      <c r="D836" s="124"/>
      <c r="E836" s="124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  <c r="Q836" s="124"/>
      <c r="R836" s="124"/>
    </row>
    <row r="837" spans="2:18" ht="12.75">
      <c r="B837" s="124"/>
      <c r="C837" s="124"/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  <c r="Q837" s="124"/>
      <c r="R837" s="124"/>
    </row>
    <row r="838" spans="2:18" ht="12.75">
      <c r="B838" s="124"/>
      <c r="C838" s="124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124"/>
    </row>
    <row r="839" spans="2:18" ht="12.75">
      <c r="B839" s="124"/>
      <c r="C839" s="124"/>
      <c r="D839" s="124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  <c r="Q839" s="124"/>
      <c r="R839" s="124"/>
    </row>
    <row r="840" spans="2:18" ht="12.75">
      <c r="B840" s="124"/>
      <c r="C840" s="124"/>
      <c r="D840" s="124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  <c r="Q840" s="124"/>
      <c r="R840" s="124"/>
    </row>
    <row r="841" spans="2:18" ht="12.75">
      <c r="B841" s="124"/>
      <c r="C841" s="124"/>
      <c r="D841" s="124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</row>
    <row r="842" spans="2:18" ht="12.75">
      <c r="B842" s="124"/>
      <c r="C842" s="124"/>
      <c r="D842" s="124"/>
      <c r="E842" s="124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</row>
    <row r="843" spans="2:18" ht="12.75">
      <c r="B843" s="124"/>
      <c r="C843" s="124"/>
      <c r="D843" s="124"/>
      <c r="E843" s="124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124"/>
    </row>
    <row r="844" spans="2:18" ht="12.75">
      <c r="B844" s="124"/>
      <c r="C844" s="124"/>
      <c r="D844" s="124"/>
      <c r="E844" s="124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124"/>
    </row>
    <row r="845" spans="2:18" ht="12.75">
      <c r="B845" s="124"/>
      <c r="C845" s="124"/>
      <c r="D845" s="124"/>
      <c r="E845" s="124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124"/>
    </row>
  </sheetData>
  <sheetProtection/>
  <mergeCells count="8">
    <mergeCell ref="A39:J39"/>
    <mergeCell ref="A45:J45"/>
    <mergeCell ref="A2:J2"/>
    <mergeCell ref="A8:J8"/>
    <mergeCell ref="A14:J14"/>
    <mergeCell ref="A20:J20"/>
    <mergeCell ref="A27:J27"/>
    <mergeCell ref="A33:J33"/>
  </mergeCells>
  <printOptions/>
  <pageMargins left="0.75" right="0.75" top="1" bottom="1" header="0.5" footer="0.5"/>
  <pageSetup horizontalDpi="200" verticalDpi="2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40">
      <selection activeCell="D6" sqref="D6:F6"/>
    </sheetView>
  </sheetViews>
  <sheetFormatPr defaultColWidth="9.140625" defaultRowHeight="12.75"/>
  <cols>
    <col min="1" max="1" width="31.00390625" style="0" customWidth="1"/>
    <col min="2" max="2" width="15.00390625" style="0" customWidth="1"/>
    <col min="3" max="3" width="16.421875" style="0" customWidth="1"/>
    <col min="4" max="4" width="15.28125" style="0" customWidth="1"/>
    <col min="5" max="5" width="15.00390625" style="0" customWidth="1"/>
    <col min="6" max="6" width="12.7109375" style="0" customWidth="1"/>
    <col min="7" max="7" width="16.28125" style="0" customWidth="1"/>
  </cols>
  <sheetData>
    <row r="1" spans="1:6" ht="12.75">
      <c r="A1" s="33" t="s">
        <v>354</v>
      </c>
      <c r="B1" s="26"/>
      <c r="C1" s="26"/>
      <c r="D1" s="26"/>
      <c r="E1" s="26"/>
      <c r="F1" s="26"/>
    </row>
    <row r="2" spans="3:6" ht="12.75">
      <c r="C2" s="26"/>
      <c r="D2" s="26"/>
      <c r="E2" s="26"/>
      <c r="F2" s="26"/>
    </row>
    <row r="3" spans="1:6" ht="38.25">
      <c r="A3" s="154" t="s">
        <v>355</v>
      </c>
      <c r="B3" s="154" t="s">
        <v>189</v>
      </c>
      <c r="C3" s="154" t="s">
        <v>314</v>
      </c>
      <c r="D3" s="166" t="s">
        <v>315</v>
      </c>
      <c r="E3" s="166" t="s">
        <v>390</v>
      </c>
      <c r="F3" s="26"/>
    </row>
    <row r="4" spans="1:6" ht="12.75">
      <c r="A4" s="24"/>
      <c r="B4" s="34"/>
      <c r="C4" s="34"/>
      <c r="D4" s="137"/>
      <c r="E4" s="137"/>
      <c r="F4" s="138"/>
    </row>
    <row r="5" spans="1:6" ht="12.75">
      <c r="A5" s="24" t="s">
        <v>98</v>
      </c>
      <c r="B5" s="134">
        <v>325875452.17</v>
      </c>
      <c r="C5" s="134">
        <f>'2001-2011 Summary'!L6</f>
        <v>139035801.19</v>
      </c>
      <c r="D5" s="139">
        <v>71002166</v>
      </c>
      <c r="E5" s="139">
        <f>C5+D5</f>
        <v>210037967.19</v>
      </c>
      <c r="F5" s="140"/>
    </row>
    <row r="6" spans="1:6" ht="12.75">
      <c r="A6" s="24" t="s">
        <v>99</v>
      </c>
      <c r="B6" s="134">
        <v>90312891.01</v>
      </c>
      <c r="C6" s="134">
        <f>'2001-2011 Summary'!L7</f>
        <v>38963321.6</v>
      </c>
      <c r="D6" s="139">
        <v>25322065.3</v>
      </c>
      <c r="E6" s="139">
        <f>C6+D6</f>
        <v>64285386.900000006</v>
      </c>
      <c r="F6" s="141"/>
    </row>
    <row r="7" spans="1:6" ht="12.75">
      <c r="A7" s="20" t="s">
        <v>387</v>
      </c>
      <c r="B7" s="134">
        <v>57634153.38</v>
      </c>
      <c r="C7" s="134">
        <f>'2001-2011 Summary'!L8</f>
        <v>6335017</v>
      </c>
      <c r="D7" s="139">
        <v>6475983</v>
      </c>
      <c r="E7" s="139">
        <f>C7+D7</f>
        <v>12811000</v>
      </c>
      <c r="F7" s="141"/>
    </row>
    <row r="8" spans="1:6" ht="12.75">
      <c r="A8" s="20" t="s">
        <v>190</v>
      </c>
      <c r="B8" s="134">
        <v>7501050.81</v>
      </c>
      <c r="C8" s="134">
        <f>'2001-2011 Summary'!L9</f>
        <v>4331674.86</v>
      </c>
      <c r="D8" s="134">
        <v>0</v>
      </c>
      <c r="E8" s="139">
        <f>C8+D8</f>
        <v>4331674.86</v>
      </c>
      <c r="F8" s="38" t="s">
        <v>103</v>
      </c>
    </row>
    <row r="9" spans="1:7" ht="12.75">
      <c r="A9" s="20" t="s">
        <v>388</v>
      </c>
      <c r="B9" s="134">
        <v>25000000</v>
      </c>
      <c r="C9" s="134">
        <f>'2001-2011 Summary'!L10</f>
        <v>3210125.71</v>
      </c>
      <c r="D9" s="134">
        <v>21789874.29</v>
      </c>
      <c r="E9" s="139">
        <f>C9+D9</f>
        <v>25000000</v>
      </c>
      <c r="F9" s="38"/>
      <c r="G9" s="12"/>
    </row>
    <row r="10" spans="1:6" ht="12.75">
      <c r="A10" s="14" t="s">
        <v>1</v>
      </c>
      <c r="B10" s="134">
        <f>SUM(B5:B9)</f>
        <v>506323547.37</v>
      </c>
      <c r="C10" s="134">
        <f>SUM(C5:C9)</f>
        <v>191875940.36</v>
      </c>
      <c r="D10" s="134">
        <f>SUM(D5:D9)</f>
        <v>124590088.59</v>
      </c>
      <c r="E10" s="134">
        <f>SUM(E5:E9)</f>
        <v>316466028.95000005</v>
      </c>
      <c r="F10" s="38"/>
    </row>
    <row r="12" spans="1:4" ht="12.75">
      <c r="A12" s="14" t="s">
        <v>356</v>
      </c>
      <c r="B12" s="24"/>
      <c r="C12" s="24"/>
      <c r="D12" s="24"/>
    </row>
    <row r="13" spans="1:4" ht="12.75">
      <c r="A13" s="24"/>
      <c r="B13" s="35" t="s">
        <v>24</v>
      </c>
      <c r="C13" s="35" t="s">
        <v>23</v>
      </c>
      <c r="D13" s="35" t="s">
        <v>1</v>
      </c>
    </row>
    <row r="14" spans="1:4" ht="12.75">
      <c r="A14" s="14" t="s">
        <v>100</v>
      </c>
      <c r="B14" s="24"/>
      <c r="C14" s="24"/>
      <c r="D14" s="24"/>
    </row>
    <row r="15" spans="1:4" ht="12.75">
      <c r="A15" s="24" t="s">
        <v>79</v>
      </c>
      <c r="B15" s="19">
        <f>'Annual Savings'!L32</f>
        <v>453682.1</v>
      </c>
      <c r="C15" s="19">
        <f>'Annual Savings'!L121</f>
        <v>229969</v>
      </c>
      <c r="D15" s="19">
        <f>SUM(B15:C15)</f>
        <v>683651.1</v>
      </c>
    </row>
    <row r="16" spans="1:4" ht="12.75">
      <c r="A16" s="24"/>
      <c r="B16" s="19"/>
      <c r="C16" s="19"/>
      <c r="D16" s="19"/>
    </row>
    <row r="17" spans="1:4" ht="12.75">
      <c r="A17" s="14" t="s">
        <v>101</v>
      </c>
      <c r="B17" s="19"/>
      <c r="C17" s="19"/>
      <c r="D17" s="19"/>
    </row>
    <row r="18" spans="1:4" ht="12.75">
      <c r="A18" s="24" t="s">
        <v>79</v>
      </c>
      <c r="B18" s="19">
        <f>'Annual Savings'!L56</f>
        <v>782556.95</v>
      </c>
      <c r="C18" s="19">
        <f>'Annual Savings'!L130</f>
        <v>674807</v>
      </c>
      <c r="D18" s="19">
        <f>SUM(B18:C18)</f>
        <v>1457363.95</v>
      </c>
    </row>
    <row r="19" spans="1:4" ht="12.75">
      <c r="A19" s="24"/>
      <c r="B19" s="19"/>
      <c r="C19" s="19"/>
      <c r="D19" s="19"/>
    </row>
    <row r="20" spans="1:4" ht="12.75">
      <c r="A20" s="14" t="s">
        <v>128</v>
      </c>
      <c r="B20" s="19"/>
      <c r="C20" s="19"/>
      <c r="D20" s="19"/>
    </row>
    <row r="21" spans="1:4" ht="12.75">
      <c r="A21" s="24" t="s">
        <v>79</v>
      </c>
      <c r="B21" s="19">
        <f>'Lifetime Savings'!L32</f>
        <v>4880985.3</v>
      </c>
      <c r="C21" s="19">
        <f>'Lifetime Savings'!L76</f>
        <v>3659810</v>
      </c>
      <c r="D21" s="19">
        <f>SUM(B21:C21)</f>
        <v>8540795.3</v>
      </c>
    </row>
    <row r="22" spans="1:4" ht="12.75">
      <c r="A22" s="24"/>
      <c r="B22" s="19"/>
      <c r="C22" s="19"/>
      <c r="D22" s="19"/>
    </row>
    <row r="23" spans="1:4" ht="12.75">
      <c r="A23" s="14" t="s">
        <v>129</v>
      </c>
      <c r="B23" s="19"/>
      <c r="C23" s="19"/>
      <c r="D23" s="19"/>
    </row>
    <row r="24" spans="1:4" ht="12.75">
      <c r="A24" s="24" t="s">
        <v>79</v>
      </c>
      <c r="B24" s="19">
        <f>'Lifetime Savings'!L52</f>
        <v>14493173.84</v>
      </c>
      <c r="C24" s="19">
        <f>'Lifetime Savings'!L88</f>
        <v>12272325</v>
      </c>
      <c r="D24" s="19">
        <f>SUM(B24:C24)</f>
        <v>26765498.84</v>
      </c>
    </row>
    <row r="25" spans="1:4" ht="12.75">
      <c r="A25" s="14"/>
      <c r="B25" s="19"/>
      <c r="C25" s="19"/>
      <c r="D25" s="19"/>
    </row>
    <row r="26" spans="1:4" ht="12.75">
      <c r="A26" s="14" t="s">
        <v>102</v>
      </c>
      <c r="B26" s="80"/>
      <c r="C26" s="80"/>
      <c r="D26" s="19"/>
    </row>
    <row r="27" spans="1:4" ht="12.75">
      <c r="A27" s="24" t="s">
        <v>79</v>
      </c>
      <c r="B27" s="80">
        <f>'Lifetime Savings'!M32</f>
        <v>34900300.5</v>
      </c>
      <c r="C27" s="95" t="s">
        <v>4</v>
      </c>
      <c r="D27" s="67">
        <f>B27</f>
        <v>34900300.5</v>
      </c>
    </row>
    <row r="28" spans="1:4" ht="12.75">
      <c r="A28" s="24"/>
      <c r="B28" s="80"/>
      <c r="C28" s="80"/>
      <c r="D28" s="30"/>
    </row>
    <row r="29" spans="1:4" ht="12.75">
      <c r="A29" s="14" t="s">
        <v>108</v>
      </c>
      <c r="B29" s="80"/>
      <c r="C29" s="80"/>
      <c r="D29" s="30"/>
    </row>
    <row r="30" spans="1:4" ht="12.75">
      <c r="A30" s="20" t="s">
        <v>257</v>
      </c>
      <c r="B30" s="80">
        <f>'Lifetime Savings'!M52</f>
        <v>111761214.84</v>
      </c>
      <c r="C30" s="95" t="s">
        <v>4</v>
      </c>
      <c r="D30" s="67">
        <f>B30</f>
        <v>111761214.84</v>
      </c>
    </row>
    <row r="31" spans="1:4" ht="12.75">
      <c r="A31" s="24"/>
      <c r="B31" s="19"/>
      <c r="C31" s="19"/>
      <c r="D31" s="19"/>
    </row>
    <row r="32" spans="1:4" ht="12.75">
      <c r="A32" s="14" t="s">
        <v>132</v>
      </c>
      <c r="B32" s="19"/>
      <c r="C32" s="19"/>
      <c r="D32" s="19"/>
    </row>
    <row r="33" spans="1:4" ht="12.75">
      <c r="A33" s="24" t="s">
        <v>79</v>
      </c>
      <c r="B33" s="19">
        <f>'Annual Savings'!L86</f>
        <v>129665.8</v>
      </c>
      <c r="C33" s="19">
        <f>'Annual Savings'!L138</f>
        <v>144692</v>
      </c>
      <c r="D33" s="19">
        <f>SUM(B33:C33)</f>
        <v>274357.8</v>
      </c>
    </row>
    <row r="35" spans="1:4" ht="12.75">
      <c r="A35" s="14" t="s">
        <v>357</v>
      </c>
      <c r="B35" s="24"/>
      <c r="C35" s="24"/>
      <c r="D35" s="24"/>
    </row>
    <row r="36" spans="1:4" ht="12.75">
      <c r="A36" s="24"/>
      <c r="B36" s="35" t="s">
        <v>24</v>
      </c>
      <c r="C36" s="35" t="s">
        <v>23</v>
      </c>
      <c r="D36" s="35" t="s">
        <v>1</v>
      </c>
    </row>
    <row r="37" spans="1:4" ht="12.75">
      <c r="A37" s="14" t="s">
        <v>100</v>
      </c>
      <c r="B37" s="24"/>
      <c r="C37" s="24"/>
      <c r="D37" s="24"/>
    </row>
    <row r="38" spans="1:4" ht="12.75">
      <c r="A38" s="24" t="s">
        <v>80</v>
      </c>
      <c r="B38" s="71">
        <f>'Annual Savings'!L100</f>
        <v>382066</v>
      </c>
      <c r="C38" s="71">
        <f>'Annual Savings'!L153</f>
        <v>730228</v>
      </c>
      <c r="D38" s="71">
        <f>SUM(B38:C38)</f>
        <v>1112294</v>
      </c>
    </row>
    <row r="39" spans="1:4" ht="12.75">
      <c r="A39" s="24"/>
      <c r="B39" s="19"/>
      <c r="C39" s="19"/>
      <c r="D39" s="19"/>
    </row>
    <row r="40" spans="1:4" ht="12.75">
      <c r="A40" s="14" t="s">
        <v>128</v>
      </c>
      <c r="B40" s="19"/>
      <c r="C40" s="19"/>
      <c r="D40" s="19"/>
    </row>
    <row r="41" spans="1:4" ht="12.75">
      <c r="A41" s="24" t="s">
        <v>80</v>
      </c>
      <c r="B41" s="71">
        <f>'Lifetime Savings'!L62</f>
        <v>7641312</v>
      </c>
      <c r="C41" s="71">
        <f>'Lifetime Savings'!L97</f>
        <v>14654581</v>
      </c>
      <c r="D41" s="71">
        <f>SUM(B41:C41)</f>
        <v>22295893</v>
      </c>
    </row>
    <row r="42" spans="1:4" ht="12.75">
      <c r="A42" s="14"/>
      <c r="B42" s="19"/>
      <c r="C42" s="19"/>
      <c r="D42" s="19"/>
    </row>
    <row r="43" spans="1:4" ht="12.75">
      <c r="A43" s="14" t="s">
        <v>102</v>
      </c>
      <c r="B43" s="80"/>
      <c r="C43" s="80"/>
      <c r="D43" s="19"/>
    </row>
    <row r="44" spans="1:4" ht="12.75">
      <c r="A44" s="24" t="s">
        <v>80</v>
      </c>
      <c r="B44" s="184">
        <f>'Lifetime Savings'!M62</f>
        <v>18048279</v>
      </c>
      <c r="C44" s="95" t="s">
        <v>4</v>
      </c>
      <c r="D44" s="174">
        <f>B44</f>
        <v>18048279</v>
      </c>
    </row>
    <row r="45" spans="1:4" ht="12.75">
      <c r="A45" s="24"/>
      <c r="B45" s="19"/>
      <c r="C45" s="19"/>
      <c r="D45" s="19"/>
    </row>
    <row r="46" spans="1:4" ht="12.75">
      <c r="A46" s="14" t="s">
        <v>173</v>
      </c>
      <c r="B46" s="19"/>
      <c r="C46" s="19"/>
      <c r="D46" s="19"/>
    </row>
    <row r="47" spans="1:4" ht="12.75">
      <c r="A47" s="24" t="s">
        <v>80</v>
      </c>
      <c r="B47" s="19">
        <f>'Annual Savings'!L110</f>
        <v>318387</v>
      </c>
      <c r="C47" s="71">
        <f>'Annual Savings'!L161</f>
        <v>595085</v>
      </c>
      <c r="D47" s="71">
        <f>SUM(B47:C47)</f>
        <v>913472</v>
      </c>
    </row>
    <row r="48" spans="1:4" ht="12.75">
      <c r="A48" s="26"/>
      <c r="B48" s="74"/>
      <c r="C48" s="88"/>
      <c r="D48" s="88"/>
    </row>
    <row r="50" spans="1:4" ht="12.75">
      <c r="A50" s="14" t="s">
        <v>358</v>
      </c>
      <c r="B50" s="24"/>
      <c r="C50" s="24"/>
      <c r="D50" s="24"/>
    </row>
    <row r="51" spans="1:4" ht="12.75">
      <c r="A51" s="24"/>
      <c r="B51" s="35" t="s">
        <v>24</v>
      </c>
      <c r="C51" s="35" t="s">
        <v>23</v>
      </c>
      <c r="D51" s="35" t="s">
        <v>1</v>
      </c>
    </row>
    <row r="52" spans="1:4" ht="12.75">
      <c r="A52" s="14" t="s">
        <v>100</v>
      </c>
      <c r="B52" s="24"/>
      <c r="C52" s="24"/>
      <c r="D52" s="24"/>
    </row>
    <row r="53" spans="1:4" ht="12.75">
      <c r="A53" s="24" t="s">
        <v>59</v>
      </c>
      <c r="B53" s="71">
        <f>'Annual Savings'!L34</f>
        <v>0</v>
      </c>
      <c r="C53" s="71">
        <f>'Annual Savings'!L141</f>
        <v>2455</v>
      </c>
      <c r="D53" s="71">
        <f>SUM(B53:C53)</f>
        <v>2455</v>
      </c>
    </row>
    <row r="54" spans="1:4" ht="12.75">
      <c r="A54" s="24"/>
      <c r="B54" s="19"/>
      <c r="C54" s="19"/>
      <c r="D54" s="19"/>
    </row>
    <row r="55" spans="1:4" ht="12.75">
      <c r="A55" s="14" t="s">
        <v>128</v>
      </c>
      <c r="B55" s="19"/>
      <c r="C55" s="19"/>
      <c r="D55" s="19"/>
    </row>
    <row r="56" spans="1:6" ht="12.75">
      <c r="A56" s="24" t="s">
        <v>59</v>
      </c>
      <c r="B56" s="184">
        <f>'Lifetime Savings'!L65</f>
        <v>0</v>
      </c>
      <c r="C56" s="184">
        <f>'Lifetime Savings'!L78</f>
        <v>29465</v>
      </c>
      <c r="D56" s="184">
        <f>SUM(B56:C56)</f>
        <v>29465</v>
      </c>
      <c r="E56" s="187"/>
      <c r="F56" s="187"/>
    </row>
    <row r="57" spans="1:6" ht="12.75">
      <c r="A57" s="14"/>
      <c r="B57" s="80"/>
      <c r="C57" s="80"/>
      <c r="D57" s="80"/>
      <c r="E57" s="187"/>
      <c r="F57" s="187"/>
    </row>
    <row r="58" spans="1:6" ht="12.75">
      <c r="A58" s="14" t="s">
        <v>102</v>
      </c>
      <c r="B58" s="80"/>
      <c r="C58" s="80"/>
      <c r="D58" s="80"/>
      <c r="E58" s="187"/>
      <c r="F58" s="187"/>
    </row>
    <row r="59" spans="1:6" ht="12.75">
      <c r="A59" s="24" t="s">
        <v>59</v>
      </c>
      <c r="B59" s="184">
        <f>'Lifetime Savings'!M65</f>
        <v>2407003</v>
      </c>
      <c r="C59" s="95" t="s">
        <v>4</v>
      </c>
      <c r="D59" s="174">
        <f>B59</f>
        <v>2407003</v>
      </c>
      <c r="E59" s="187"/>
      <c r="F59" s="187"/>
    </row>
    <row r="60" spans="1:6" ht="12.75">
      <c r="A60" s="24"/>
      <c r="B60" s="80"/>
      <c r="C60" s="80"/>
      <c r="D60" s="80"/>
      <c r="E60" s="187"/>
      <c r="F60" s="187"/>
    </row>
    <row r="61" spans="1:6" ht="12.75">
      <c r="A61" s="14" t="s">
        <v>173</v>
      </c>
      <c r="B61" s="80"/>
      <c r="C61" s="80"/>
      <c r="D61" s="80"/>
      <c r="E61" s="187"/>
      <c r="F61" s="187"/>
    </row>
    <row r="62" spans="1:6" ht="12.75">
      <c r="A62" s="24" t="s">
        <v>59</v>
      </c>
      <c r="B62" s="80">
        <f>'Annual Savings'!L88</f>
        <v>0</v>
      </c>
      <c r="C62" s="184">
        <f>'Annual Savings'!L144</f>
        <v>300</v>
      </c>
      <c r="D62" s="184">
        <f>SUM(B62:C62)</f>
        <v>300</v>
      </c>
      <c r="E62" s="187"/>
      <c r="F62" s="187"/>
    </row>
  </sheetData>
  <sheetProtection/>
  <printOptions/>
  <pageMargins left="0.75" right="0.75" top="1" bottom="1" header="0.5" footer="0.5"/>
  <pageSetup horizontalDpi="600" verticalDpi="600" orientation="landscape" r:id="rId1"/>
  <rowBreaks count="1" manualBreakCount="1">
    <brk id="3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61"/>
  <sheetViews>
    <sheetView zoomScaleSheetLayoutView="100" zoomScalePageLayoutView="0" workbookViewId="0" topLeftCell="A1">
      <selection activeCell="N1" sqref="N1"/>
    </sheetView>
  </sheetViews>
  <sheetFormatPr defaultColWidth="9.140625" defaultRowHeight="12.75"/>
  <cols>
    <col min="1" max="1" width="33.00390625" style="0" customWidth="1"/>
    <col min="2" max="13" width="10.7109375" style="0" customWidth="1"/>
  </cols>
  <sheetData>
    <row r="1" ht="12.75">
      <c r="A1" s="1" t="s">
        <v>121</v>
      </c>
    </row>
    <row r="2" ht="15.75">
      <c r="A2" s="66" t="s">
        <v>144</v>
      </c>
    </row>
    <row r="3" spans="2:13" ht="12.75">
      <c r="B3" s="27">
        <v>2001</v>
      </c>
      <c r="C3" s="27">
        <v>2002</v>
      </c>
      <c r="D3" s="27">
        <v>2003</v>
      </c>
      <c r="E3" s="27">
        <v>2004</v>
      </c>
      <c r="F3" s="27">
        <v>2005</v>
      </c>
      <c r="G3" s="27">
        <v>2006</v>
      </c>
      <c r="H3" s="27">
        <v>2007</v>
      </c>
      <c r="I3" s="27">
        <v>2008</v>
      </c>
      <c r="J3" s="27">
        <v>2009</v>
      </c>
      <c r="K3" s="27">
        <v>2010</v>
      </c>
      <c r="L3" s="27">
        <v>2011</v>
      </c>
      <c r="M3" s="27" t="s">
        <v>1</v>
      </c>
    </row>
    <row r="4" spans="1:13" ht="12.75">
      <c r="A4" s="1" t="s">
        <v>104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2:13" ht="12.75">
      <c r="B5" s="28" t="s">
        <v>29</v>
      </c>
      <c r="C5" s="28" t="s">
        <v>29</v>
      </c>
      <c r="D5" s="28" t="s">
        <v>29</v>
      </c>
      <c r="E5" s="28" t="s">
        <v>29</v>
      </c>
      <c r="F5" s="28" t="s">
        <v>29</v>
      </c>
      <c r="G5" s="28" t="s">
        <v>29</v>
      </c>
      <c r="H5" s="28" t="s">
        <v>29</v>
      </c>
      <c r="I5" s="28" t="s">
        <v>29</v>
      </c>
      <c r="J5" s="28" t="s">
        <v>29</v>
      </c>
      <c r="K5" s="28" t="s">
        <v>29</v>
      </c>
      <c r="L5" s="28" t="s">
        <v>29</v>
      </c>
      <c r="M5" s="28" t="s">
        <v>29</v>
      </c>
    </row>
    <row r="6" spans="1:13" ht="12.75">
      <c r="A6" s="29" t="s">
        <v>81</v>
      </c>
      <c r="B6" s="30">
        <f>'Res HVAC'!B24</f>
        <v>12224</v>
      </c>
      <c r="C6" s="30">
        <f>'Res HVAC'!C24</f>
        <v>15703</v>
      </c>
      <c r="D6" s="30">
        <f>'Res HVAC'!D24</f>
        <v>14621</v>
      </c>
      <c r="E6" s="30">
        <f>'Res HVAC'!E24</f>
        <v>15499</v>
      </c>
      <c r="F6" s="30">
        <f>'Res HVAC'!F24</f>
        <v>15021</v>
      </c>
      <c r="G6" s="30">
        <f>'Res HVAC'!G24</f>
        <v>11545</v>
      </c>
      <c r="H6" s="30">
        <f>'Res HVAC'!H24</f>
        <v>13323</v>
      </c>
      <c r="I6" s="30">
        <f>'Res HVAC'!I24</f>
        <v>4973</v>
      </c>
      <c r="J6" s="30">
        <f>'Res HVAC'!J24</f>
        <v>4771</v>
      </c>
      <c r="K6" s="30">
        <f>'Res HVAC'!K24</f>
        <v>8087</v>
      </c>
      <c r="L6" s="30">
        <f>'Res HVAC'!L24</f>
        <v>12364</v>
      </c>
      <c r="M6" s="30">
        <f>SUM(B6:L6)</f>
        <v>128131</v>
      </c>
    </row>
    <row r="7" spans="1:13" ht="12.75">
      <c r="A7" s="29" t="s">
        <v>82</v>
      </c>
      <c r="B7" s="30">
        <f>RNC!B22</f>
        <v>119</v>
      </c>
      <c r="C7" s="30">
        <f>RNC!C22</f>
        <v>3262</v>
      </c>
      <c r="D7" s="30">
        <f>RNC!D22</f>
        <v>4773</v>
      </c>
      <c r="E7" s="30">
        <f>RNC!E22</f>
        <v>4551</v>
      </c>
      <c r="F7" s="30">
        <f>RNC!F22</f>
        <v>6123</v>
      </c>
      <c r="G7" s="30">
        <f>RNC!G22</f>
        <v>5181</v>
      </c>
      <c r="H7" s="30">
        <f>RNC!H22</f>
        <v>5829</v>
      </c>
      <c r="I7" s="30">
        <f>RNC!I22</f>
        <v>3343</v>
      </c>
      <c r="J7" s="30">
        <f>RNC!J22</f>
        <v>2652</v>
      </c>
      <c r="K7" s="30">
        <f>RNC!K22</f>
        <v>4379</v>
      </c>
      <c r="L7" s="30">
        <f>RNC!L22</f>
        <v>4562</v>
      </c>
      <c r="M7" s="30">
        <f>SUM(B7:L7)</f>
        <v>44774</v>
      </c>
    </row>
    <row r="8" spans="1:13" ht="12.75">
      <c r="A8" s="29" t="s">
        <v>83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9" ht="12.75">
      <c r="A9" s="29" t="s">
        <v>84</v>
      </c>
      <c r="B9" s="30">
        <f>'Energy Star'!B49</f>
        <v>0</v>
      </c>
      <c r="C9" s="30">
        <f>'Energy Star'!C49</f>
        <v>0</v>
      </c>
      <c r="D9" s="30">
        <f>'Energy Star'!D49</f>
        <v>1432</v>
      </c>
      <c r="E9" s="30">
        <f>'Energy Star'!E49</f>
        <v>1377</v>
      </c>
      <c r="F9" s="30">
        <f>'Energy Star'!F49</f>
        <v>921</v>
      </c>
      <c r="G9" s="30">
        <f>'Energy Star'!G49</f>
        <v>542</v>
      </c>
      <c r="H9" s="30">
        <f>'Energy Star'!H49</f>
        <v>767</v>
      </c>
      <c r="I9" s="30">
        <f>'Energy Star'!I49</f>
        <v>772</v>
      </c>
      <c r="J9" s="30">
        <f>'Energy Star'!J49</f>
        <v>425</v>
      </c>
      <c r="K9" s="30">
        <f>'Energy Star'!K49</f>
        <v>639</v>
      </c>
      <c r="L9" s="173">
        <f>'Energy Star'!L49</f>
        <v>13</v>
      </c>
      <c r="M9" s="30">
        <f aca="true" t="shared" si="0" ref="M9:M18">SUM(B9:L9)</f>
        <v>6888</v>
      </c>
      <c r="N9" s="187"/>
      <c r="O9" s="187"/>
      <c r="P9" s="187"/>
      <c r="Q9" s="187"/>
      <c r="R9" s="187"/>
      <c r="S9" s="187"/>
    </row>
    <row r="10" spans="1:15" ht="12.75">
      <c r="A10" s="29" t="s">
        <v>85</v>
      </c>
      <c r="B10" s="30">
        <f>'Energy Star'!B48</f>
        <v>0</v>
      </c>
      <c r="C10" s="30">
        <f>'Energy Star'!C48</f>
        <v>0</v>
      </c>
      <c r="D10" s="30">
        <f>'Energy Star'!D48</f>
        <v>61630</v>
      </c>
      <c r="E10" s="30">
        <f>'Energy Star'!E48</f>
        <v>95947</v>
      </c>
      <c r="F10" s="30">
        <f>'Energy Star'!F48</f>
        <v>62588</v>
      </c>
      <c r="G10" s="30">
        <f>'Energy Star'!G48</f>
        <v>0</v>
      </c>
      <c r="H10" s="30">
        <f>'Energy Star'!H48</f>
        <v>106450</v>
      </c>
      <c r="I10" s="30">
        <f>'Energy Star'!I48</f>
        <v>213772</v>
      </c>
      <c r="J10" s="30">
        <f>'Energy Star'!J48</f>
        <v>338254</v>
      </c>
      <c r="K10" s="30">
        <f>'Energy Star'!K48</f>
        <v>166233.2</v>
      </c>
      <c r="L10" s="173">
        <f>'Energy Star'!L48</f>
        <v>218398</v>
      </c>
      <c r="M10" s="30">
        <f t="shared" si="0"/>
        <v>1263272.2</v>
      </c>
      <c r="N10" s="25"/>
      <c r="O10" s="25"/>
    </row>
    <row r="11" spans="1:14" ht="12.75">
      <c r="A11" s="21" t="s">
        <v>255</v>
      </c>
      <c r="B11" s="30"/>
      <c r="C11" s="30"/>
      <c r="D11" s="30"/>
      <c r="E11" s="30"/>
      <c r="F11" s="30"/>
      <c r="G11" s="30"/>
      <c r="H11" s="30"/>
      <c r="I11" s="30">
        <f>'Energy Star'!I50</f>
        <v>2837</v>
      </c>
      <c r="J11" s="30">
        <f>'Energy Star'!J50</f>
        <v>3248</v>
      </c>
      <c r="K11" s="30">
        <f>'Energy Star'!K50</f>
        <v>3749</v>
      </c>
      <c r="L11" s="173">
        <f>'Energy Star'!L50</f>
        <v>3758.8</v>
      </c>
      <c r="M11" s="30">
        <f t="shared" si="0"/>
        <v>13592.8</v>
      </c>
      <c r="N11" s="25"/>
    </row>
    <row r="12" spans="1:14" ht="12.75">
      <c r="A12" s="21" t="s">
        <v>252</v>
      </c>
      <c r="B12" s="30"/>
      <c r="C12" s="30"/>
      <c r="D12" s="30"/>
      <c r="E12" s="30"/>
      <c r="F12" s="30"/>
      <c r="G12" s="30"/>
      <c r="H12" s="30"/>
      <c r="I12" s="30">
        <f>'Energy Star'!I51</f>
        <v>382</v>
      </c>
      <c r="J12" s="30">
        <f>'Energy Star'!J51</f>
        <v>569</v>
      </c>
      <c r="K12" s="30">
        <f>'Energy Star'!K51</f>
        <v>414</v>
      </c>
      <c r="L12" s="173">
        <f>'Energy Star'!L51</f>
        <v>28</v>
      </c>
      <c r="M12" s="30">
        <f t="shared" si="0"/>
        <v>1393</v>
      </c>
      <c r="N12" s="25"/>
    </row>
    <row r="13" spans="1:14" ht="12.75">
      <c r="A13" s="21" t="s">
        <v>270</v>
      </c>
      <c r="B13" s="30"/>
      <c r="C13" s="30"/>
      <c r="D13" s="30"/>
      <c r="E13" s="30"/>
      <c r="F13" s="30"/>
      <c r="G13" s="30"/>
      <c r="H13" s="30"/>
      <c r="I13" s="30"/>
      <c r="J13" s="30">
        <f>'Energy Star'!J52</f>
        <v>5540</v>
      </c>
      <c r="K13" s="30">
        <f>'Energy Star'!K52</f>
        <v>15400.6</v>
      </c>
      <c r="L13" s="173">
        <f>'Energy Star'!L52</f>
        <v>15560.9</v>
      </c>
      <c r="M13" s="30">
        <f t="shared" si="0"/>
        <v>36501.5</v>
      </c>
      <c r="N13" s="25"/>
    </row>
    <row r="14" spans="1:14" ht="12.75">
      <c r="A14" s="21" t="s">
        <v>344</v>
      </c>
      <c r="B14" s="30"/>
      <c r="C14" s="30"/>
      <c r="D14" s="30"/>
      <c r="E14" s="30"/>
      <c r="F14" s="30"/>
      <c r="G14" s="30"/>
      <c r="H14" s="30"/>
      <c r="I14" s="30"/>
      <c r="J14" s="30"/>
      <c r="K14" s="30">
        <f>'Energy Star'!K53</f>
        <v>4707</v>
      </c>
      <c r="L14" s="173">
        <f>'Energy Star'!L53</f>
        <v>8829.4</v>
      </c>
      <c r="M14" s="30">
        <f t="shared" si="0"/>
        <v>13536.4</v>
      </c>
      <c r="N14" s="25"/>
    </row>
    <row r="15" spans="1:14" ht="12.75">
      <c r="A15" s="21" t="s">
        <v>393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173">
        <f>'Energy Star'!L54</f>
        <v>515.9</v>
      </c>
      <c r="M15" s="30">
        <f t="shared" si="0"/>
        <v>515.9</v>
      </c>
      <c r="N15" s="25"/>
    </row>
    <row r="16" spans="1:14" ht="12.75">
      <c r="A16" s="21" t="s">
        <v>394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173">
        <f>'Energy Star'!L55</f>
        <v>118.1</v>
      </c>
      <c r="M16" s="30">
        <f t="shared" si="0"/>
        <v>118.1</v>
      </c>
      <c r="N16" s="25"/>
    </row>
    <row r="17" spans="1:13" ht="12.75">
      <c r="A17" s="29" t="s">
        <v>204</v>
      </c>
      <c r="B17" s="30"/>
      <c r="C17" s="30"/>
      <c r="D17" s="30"/>
      <c r="E17" s="30"/>
      <c r="F17" s="30"/>
      <c r="G17" s="30">
        <f>'Home Perf'!B17</f>
        <v>2</v>
      </c>
      <c r="H17" s="30">
        <f>'Home Perf'!C17</f>
        <v>22</v>
      </c>
      <c r="I17" s="30">
        <f>'Home Perf'!D17</f>
        <v>108</v>
      </c>
      <c r="J17" s="30">
        <f>'Home Perf'!E17</f>
        <v>1155</v>
      </c>
      <c r="K17" s="30">
        <f>'Home Perf'!F17</f>
        <v>939</v>
      </c>
      <c r="L17" s="30">
        <f>'Home Perf'!G17</f>
        <v>2131</v>
      </c>
      <c r="M17" s="30">
        <f t="shared" si="0"/>
        <v>4357</v>
      </c>
    </row>
    <row r="18" spans="1:14" ht="12.75">
      <c r="A18" s="32" t="s">
        <v>88</v>
      </c>
      <c r="B18" s="41">
        <f>SUM(B6:B17)</f>
        <v>12343</v>
      </c>
      <c r="C18" s="41">
        <f aca="true" t="shared" si="1" ref="C18:J18">SUM(C6:C17)</f>
        <v>18965</v>
      </c>
      <c r="D18" s="41">
        <f t="shared" si="1"/>
        <v>82456</v>
      </c>
      <c r="E18" s="41">
        <f t="shared" si="1"/>
        <v>117374</v>
      </c>
      <c r="F18" s="41">
        <f t="shared" si="1"/>
        <v>84653</v>
      </c>
      <c r="G18" s="41">
        <f t="shared" si="1"/>
        <v>17270</v>
      </c>
      <c r="H18" s="41">
        <f t="shared" si="1"/>
        <v>126391</v>
      </c>
      <c r="I18" s="41">
        <f t="shared" si="1"/>
        <v>226187</v>
      </c>
      <c r="J18" s="41">
        <f t="shared" si="1"/>
        <v>356614</v>
      </c>
      <c r="K18" s="41">
        <f>SUM(K6:K17)</f>
        <v>204547.80000000002</v>
      </c>
      <c r="L18" s="41">
        <f>SUM(L6:L17)</f>
        <v>266279.1</v>
      </c>
      <c r="M18" s="41">
        <f t="shared" si="0"/>
        <v>1513079.9</v>
      </c>
      <c r="N18" s="25"/>
    </row>
    <row r="19" spans="1:16" ht="12.75">
      <c r="A19" s="3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25"/>
      <c r="O19" s="25"/>
      <c r="P19" s="25"/>
    </row>
    <row r="20" spans="1:14" ht="12.75">
      <c r="A20" s="54" t="s">
        <v>87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5"/>
    </row>
    <row r="21" spans="1:14" ht="12.75">
      <c r="A21" s="120" t="s">
        <v>275</v>
      </c>
      <c r="B21" s="41">
        <f>'Low-income'!B30</f>
        <v>7386</v>
      </c>
      <c r="C21" s="41">
        <f>'Low-income'!C30</f>
        <v>5196</v>
      </c>
      <c r="D21" s="41">
        <f>'Low-income'!D30</f>
        <v>5774</v>
      </c>
      <c r="E21" s="41">
        <f>'Low-income'!E30</f>
        <v>6995</v>
      </c>
      <c r="F21" s="41">
        <f>'Low-income'!F30</f>
        <v>5636</v>
      </c>
      <c r="G21" s="41">
        <f>'Low-income'!G30</f>
        <v>10708</v>
      </c>
      <c r="H21" s="41">
        <f>'Low-income'!H30</f>
        <v>10614</v>
      </c>
      <c r="I21" s="41">
        <f>'Low-income'!I30</f>
        <v>8778</v>
      </c>
      <c r="J21" s="41">
        <f>'Low-income'!J30</f>
        <v>9302</v>
      </c>
      <c r="K21" s="41">
        <f>'Low-income'!K30</f>
        <v>8994</v>
      </c>
      <c r="L21" s="41">
        <f>'Low-income'!L30</f>
        <v>10069</v>
      </c>
      <c r="M21" s="41">
        <f>SUM(B21:L21)</f>
        <v>89452</v>
      </c>
      <c r="N21" s="25"/>
    </row>
    <row r="22" spans="1:14" ht="12.75">
      <c r="A22" s="32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25"/>
    </row>
    <row r="23" spans="1:13" ht="12.75">
      <c r="A23" s="68" t="s">
        <v>147</v>
      </c>
      <c r="B23" s="30"/>
      <c r="C23" s="30"/>
      <c r="D23" s="30"/>
      <c r="E23" s="30"/>
      <c r="F23" s="30">
        <f>'C&amp;I'!F44</f>
        <v>13851</v>
      </c>
      <c r="G23" s="30">
        <f>'C&amp;I'!G44</f>
        <v>17351</v>
      </c>
      <c r="H23" s="30">
        <f>'C&amp;I'!H44</f>
        <v>6572</v>
      </c>
      <c r="I23" s="30">
        <f>'C&amp;I'!I44</f>
        <v>21782</v>
      </c>
      <c r="J23" s="30">
        <f>'C&amp;I'!J44</f>
        <v>14993</v>
      </c>
      <c r="K23" s="30">
        <f>'C&amp;I'!K44</f>
        <v>7062</v>
      </c>
      <c r="L23" s="30">
        <f>'C&amp;I'!L44</f>
        <v>16912</v>
      </c>
      <c r="M23" s="67">
        <f aca="true" t="shared" si="2" ref="M23:M32">SUM(B23:L23)</f>
        <v>98523</v>
      </c>
    </row>
    <row r="24" spans="1:13" ht="12.75">
      <c r="A24" s="16" t="s">
        <v>148</v>
      </c>
      <c r="B24" s="30"/>
      <c r="C24" s="30"/>
      <c r="D24" s="30"/>
      <c r="E24" s="30"/>
      <c r="F24" s="30">
        <f>'C&amp;I'!F45</f>
        <v>120818</v>
      </c>
      <c r="G24" s="30">
        <f>'C&amp;I'!G45</f>
        <v>78194</v>
      </c>
      <c r="H24" s="30">
        <f>'C&amp;I'!H45</f>
        <v>81933</v>
      </c>
      <c r="I24" s="30">
        <f>'C&amp;I'!I45</f>
        <v>74430</v>
      </c>
      <c r="J24" s="30">
        <f>'C&amp;I'!J45</f>
        <v>75806</v>
      </c>
      <c r="K24" s="30">
        <f>'C&amp;I'!K45</f>
        <v>119500</v>
      </c>
      <c r="L24" s="30">
        <f>'C&amp;I'!L45</f>
        <v>103360</v>
      </c>
      <c r="M24" s="67">
        <f t="shared" si="2"/>
        <v>654041</v>
      </c>
    </row>
    <row r="25" spans="1:15" ht="12.75">
      <c r="A25" s="16" t="s">
        <v>149</v>
      </c>
      <c r="B25" s="30"/>
      <c r="C25" s="30"/>
      <c r="D25" s="30"/>
      <c r="E25" s="30"/>
      <c r="F25" s="30">
        <f>'C&amp;I'!F46</f>
        <v>13583</v>
      </c>
      <c r="G25" s="30">
        <f>'C&amp;I'!G46</f>
        <v>2832</v>
      </c>
      <c r="H25" s="30">
        <f>'C&amp;I'!H46</f>
        <v>2084</v>
      </c>
      <c r="I25" s="30">
        <f>'C&amp;I'!I46</f>
        <v>3310</v>
      </c>
      <c r="J25" s="30">
        <f>'C&amp;I'!J46</f>
        <v>4992</v>
      </c>
      <c r="K25" s="30">
        <f>'C&amp;I'!K46</f>
        <v>0</v>
      </c>
      <c r="L25" s="30">
        <f>'C&amp;I'!L46</f>
        <v>0</v>
      </c>
      <c r="M25" s="67">
        <f t="shared" si="2"/>
        <v>26801</v>
      </c>
      <c r="O25" t="s">
        <v>103</v>
      </c>
    </row>
    <row r="26" spans="1:13" ht="12.75">
      <c r="A26" s="21" t="s">
        <v>321</v>
      </c>
      <c r="B26" s="30"/>
      <c r="C26" s="30"/>
      <c r="D26" s="30"/>
      <c r="E26" s="30"/>
      <c r="F26" s="30"/>
      <c r="G26" s="30"/>
      <c r="H26" s="30"/>
      <c r="I26" s="30"/>
      <c r="J26" s="30"/>
      <c r="K26" s="30">
        <f>'P4P '!D22</f>
        <v>796</v>
      </c>
      <c r="L26" s="173">
        <f>'P4P '!E22</f>
        <v>15422</v>
      </c>
      <c r="M26" s="67">
        <f t="shared" si="2"/>
        <v>16218</v>
      </c>
    </row>
    <row r="27" spans="1:13" ht="12.75">
      <c r="A27" s="21" t="s">
        <v>322</v>
      </c>
      <c r="B27" s="30"/>
      <c r="C27" s="30"/>
      <c r="D27" s="30"/>
      <c r="E27" s="30"/>
      <c r="F27" s="30"/>
      <c r="G27" s="30"/>
      <c r="H27" s="30"/>
      <c r="I27" s="30"/>
      <c r="J27" s="30"/>
      <c r="K27" s="30">
        <f>'P4P NC'!B22</f>
        <v>0</v>
      </c>
      <c r="L27" s="173">
        <f>'P4P NC'!C22</f>
        <v>0</v>
      </c>
      <c r="M27" s="67">
        <f t="shared" si="2"/>
        <v>0</v>
      </c>
    </row>
    <row r="28" spans="1:13" ht="12.75">
      <c r="A28" s="21" t="s">
        <v>246</v>
      </c>
      <c r="B28" s="30"/>
      <c r="C28" s="30"/>
      <c r="D28" s="30"/>
      <c r="E28" s="30"/>
      <c r="F28" s="30"/>
      <c r="G28" s="30"/>
      <c r="H28" s="30"/>
      <c r="I28" s="30"/>
      <c r="J28" s="30"/>
      <c r="K28" s="30">
        <f>'Direct Install'!D19</f>
        <v>5007</v>
      </c>
      <c r="L28" s="30">
        <f>'Direct Install'!E19</f>
        <v>41640</v>
      </c>
      <c r="M28" s="67">
        <f t="shared" si="2"/>
        <v>46647</v>
      </c>
    </row>
    <row r="29" spans="1:13" ht="12.75">
      <c r="A29" s="21" t="s">
        <v>150</v>
      </c>
      <c r="B29" s="30"/>
      <c r="C29" s="30"/>
      <c r="D29" s="30"/>
      <c r="E29" s="30"/>
      <c r="F29" s="30"/>
      <c r="G29" s="30"/>
      <c r="H29" s="30"/>
      <c r="I29" s="30">
        <f>CHP!I20</f>
        <v>141</v>
      </c>
      <c r="J29" s="30">
        <f>CHP!J20</f>
        <v>0</v>
      </c>
      <c r="K29" s="30">
        <f>CHP!K20</f>
        <v>2000</v>
      </c>
      <c r="L29" s="30">
        <f>CHP!L20</f>
        <v>0</v>
      </c>
      <c r="M29" s="67">
        <f t="shared" si="2"/>
        <v>2141</v>
      </c>
    </row>
    <row r="30" spans="1:14" ht="12.75">
      <c r="A30" s="70" t="s">
        <v>157</v>
      </c>
      <c r="B30" s="41">
        <f>'C&amp;I'!B47</f>
        <v>30943</v>
      </c>
      <c r="C30" s="41">
        <f>'C&amp;I'!C47</f>
        <v>144635</v>
      </c>
      <c r="D30" s="41">
        <f>'C&amp;I'!D47</f>
        <v>197347</v>
      </c>
      <c r="E30" s="41">
        <f>'C&amp;I'!E47</f>
        <v>204144</v>
      </c>
      <c r="F30" s="41">
        <f aca="true" t="shared" si="3" ref="F30:K30">SUM(F23:F29)</f>
        <v>148252</v>
      </c>
      <c r="G30" s="41">
        <f t="shared" si="3"/>
        <v>98377</v>
      </c>
      <c r="H30" s="41">
        <f t="shared" si="3"/>
        <v>90589</v>
      </c>
      <c r="I30" s="41">
        <f t="shared" si="3"/>
        <v>99663</v>
      </c>
      <c r="J30" s="41">
        <f t="shared" si="3"/>
        <v>95791</v>
      </c>
      <c r="K30" s="41">
        <f t="shared" si="3"/>
        <v>134365</v>
      </c>
      <c r="L30" s="41">
        <f>SUM(L23:L29)</f>
        <v>177334</v>
      </c>
      <c r="M30" s="41">
        <f t="shared" si="2"/>
        <v>1421440</v>
      </c>
      <c r="N30" s="25"/>
    </row>
    <row r="31" spans="1:13" ht="12.75">
      <c r="A31" s="29" t="s">
        <v>119</v>
      </c>
      <c r="B31" s="30"/>
      <c r="C31" s="30"/>
      <c r="D31" s="30"/>
      <c r="E31" s="30"/>
      <c r="F31" s="30">
        <f>'Cool Cities'!D18</f>
        <v>4118</v>
      </c>
      <c r="G31" s="30">
        <f>'Cool Cities'!E18</f>
        <v>1897</v>
      </c>
      <c r="H31" s="30">
        <f>'Cool Cities'!F18</f>
        <v>1127</v>
      </c>
      <c r="I31" s="30">
        <f>'Cool Cities'!G18</f>
        <v>373</v>
      </c>
      <c r="J31" s="30">
        <f>'Cool Cities'!H18</f>
        <v>455</v>
      </c>
      <c r="K31" s="30"/>
      <c r="L31" s="30"/>
      <c r="M31" s="67">
        <f t="shared" si="2"/>
        <v>7970</v>
      </c>
    </row>
    <row r="32" spans="1:14" ht="12.75">
      <c r="A32" s="32" t="s">
        <v>107</v>
      </c>
      <c r="B32" s="41">
        <f>B31+B30+B21+B18</f>
        <v>50672</v>
      </c>
      <c r="C32" s="41">
        <f aca="true" t="shared" si="4" ref="C32:J32">C31+C30+C21+C18</f>
        <v>168796</v>
      </c>
      <c r="D32" s="41">
        <f t="shared" si="4"/>
        <v>285577</v>
      </c>
      <c r="E32" s="41">
        <f t="shared" si="4"/>
        <v>328513</v>
      </c>
      <c r="F32" s="41">
        <f t="shared" si="4"/>
        <v>242659</v>
      </c>
      <c r="G32" s="41">
        <f t="shared" si="4"/>
        <v>128252</v>
      </c>
      <c r="H32" s="41">
        <f t="shared" si="4"/>
        <v>228721</v>
      </c>
      <c r="I32" s="41">
        <f t="shared" si="4"/>
        <v>335001</v>
      </c>
      <c r="J32" s="41">
        <f t="shared" si="4"/>
        <v>462162</v>
      </c>
      <c r="K32" s="41">
        <f>K31+K30+K21+K18</f>
        <v>347906.80000000005</v>
      </c>
      <c r="L32" s="41">
        <f>L31+L30+L21+L18</f>
        <v>453682.1</v>
      </c>
      <c r="M32" s="41">
        <f t="shared" si="2"/>
        <v>3031941.9</v>
      </c>
      <c r="N32" s="25"/>
    </row>
    <row r="33" spans="1:14" ht="12.75">
      <c r="A33" s="39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25"/>
    </row>
    <row r="34" spans="1:14" ht="12.75">
      <c r="A34" s="32" t="s">
        <v>215</v>
      </c>
      <c r="B34" s="41"/>
      <c r="C34" s="41"/>
      <c r="D34" s="41"/>
      <c r="E34" s="41"/>
      <c r="F34" s="41">
        <f>CHP!F49</f>
        <v>767</v>
      </c>
      <c r="G34" s="41">
        <f>CHP!G49</f>
        <v>12575</v>
      </c>
      <c r="H34" s="41">
        <f>CHP!H49</f>
        <v>102125</v>
      </c>
      <c r="I34" s="41">
        <f>CHP!I49</f>
        <v>9114</v>
      </c>
      <c r="J34" s="41">
        <f>CHP!J49</f>
        <v>35317</v>
      </c>
      <c r="K34" s="41">
        <f>CHP!K49</f>
        <v>47743</v>
      </c>
      <c r="L34" s="41">
        <f>CHP!L49</f>
        <v>0</v>
      </c>
      <c r="M34" s="41">
        <f>SUM(B34:L34)</f>
        <v>207641</v>
      </c>
      <c r="N34" s="103" t="s">
        <v>103</v>
      </c>
    </row>
    <row r="35" spans="1:14" ht="12.75">
      <c r="A35" s="39" t="s">
        <v>103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25"/>
    </row>
    <row r="36" spans="2:13" ht="12.75">
      <c r="B36" s="28" t="s">
        <v>13</v>
      </c>
      <c r="C36" s="28" t="s">
        <v>13</v>
      </c>
      <c r="D36" s="28" t="s">
        <v>13</v>
      </c>
      <c r="E36" s="28" t="s">
        <v>13</v>
      </c>
      <c r="F36" s="28" t="s">
        <v>13</v>
      </c>
      <c r="G36" s="28" t="s">
        <v>13</v>
      </c>
      <c r="H36" s="28" t="s">
        <v>13</v>
      </c>
      <c r="I36" s="28" t="s">
        <v>13</v>
      </c>
      <c r="J36" s="28" t="s">
        <v>13</v>
      </c>
      <c r="K36" s="28" t="s">
        <v>13</v>
      </c>
      <c r="L36" s="28" t="s">
        <v>13</v>
      </c>
      <c r="M36" s="28" t="s">
        <v>13</v>
      </c>
    </row>
    <row r="37" spans="1:13" ht="12.75">
      <c r="A37" s="29" t="s">
        <v>81</v>
      </c>
      <c r="B37" s="30">
        <f>'Res HVAC'!B31</f>
        <v>117212</v>
      </c>
      <c r="C37" s="30">
        <f>'Res HVAC'!C31</f>
        <v>144346</v>
      </c>
      <c r="D37" s="30">
        <f>'Res HVAC'!D31</f>
        <v>118900</v>
      </c>
      <c r="E37" s="30">
        <f>'Res HVAC'!E31</f>
        <v>135002</v>
      </c>
      <c r="F37" s="30">
        <f>'Res HVAC'!F31</f>
        <v>138959</v>
      </c>
      <c r="G37" s="30">
        <f>'Res HVAC'!G31</f>
        <v>231174</v>
      </c>
      <c r="H37" s="30">
        <f>'Res HVAC'!H31</f>
        <v>205199</v>
      </c>
      <c r="I37" s="30">
        <f>'Res HVAC'!I31</f>
        <v>167668</v>
      </c>
      <c r="J37" s="30">
        <f>'Res HVAC'!J31</f>
        <v>202257</v>
      </c>
      <c r="K37" s="30">
        <f>'Res HVAC'!K31</f>
        <v>259633</v>
      </c>
      <c r="L37" s="30">
        <f>'Res HVAC'!L31</f>
        <v>343759</v>
      </c>
      <c r="M37" s="30">
        <f aca="true" t="shared" si="5" ref="M37:M42">SUM(B37:L37)</f>
        <v>2064109</v>
      </c>
    </row>
    <row r="38" spans="1:13" ht="12.75">
      <c r="A38" s="29" t="s">
        <v>82</v>
      </c>
      <c r="B38" s="30">
        <f>RNC!B29</f>
        <v>356</v>
      </c>
      <c r="C38" s="30">
        <f>RNC!C29</f>
        <v>83638</v>
      </c>
      <c r="D38" s="30">
        <f>RNC!D29</f>
        <v>136914</v>
      </c>
      <c r="E38" s="30">
        <f>RNC!E29</f>
        <v>183693</v>
      </c>
      <c r="F38" s="30">
        <f>RNC!F29</f>
        <v>239568</v>
      </c>
      <c r="G38" s="30">
        <f>RNC!G29</f>
        <v>164504</v>
      </c>
      <c r="H38" s="30">
        <f>RNC!H29</f>
        <v>156698</v>
      </c>
      <c r="I38" s="30">
        <f>RNC!I29</f>
        <v>109223</v>
      </c>
      <c r="J38" s="30">
        <f>RNC!J29</f>
        <v>76797</v>
      </c>
      <c r="K38" s="30">
        <f>RNC!K29</f>
        <v>79178</v>
      </c>
      <c r="L38" s="30">
        <f>RNC!L29</f>
        <v>60733</v>
      </c>
      <c r="M38" s="30">
        <f t="shared" si="5"/>
        <v>1291302</v>
      </c>
    </row>
    <row r="39" spans="1:13" ht="12.75">
      <c r="A39" s="29" t="s">
        <v>83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f>'Home Perf'!B27</f>
        <v>108</v>
      </c>
      <c r="H39" s="30">
        <f>'Energy Star'!H85</f>
        <v>1943</v>
      </c>
      <c r="I39" s="30">
        <f>'Energy Star'!I85</f>
        <v>20006</v>
      </c>
      <c r="J39" s="30">
        <f>'Energy Star'!J85</f>
        <v>22843</v>
      </c>
      <c r="K39" s="30">
        <f>'Energy Star'!K85</f>
        <v>26540</v>
      </c>
      <c r="L39" s="30">
        <f>'Energy Star'!L85</f>
        <v>27055.6</v>
      </c>
      <c r="M39" s="30">
        <f t="shared" si="5"/>
        <v>98495.6</v>
      </c>
    </row>
    <row r="40" spans="1:13" ht="12.75">
      <c r="A40" s="29" t="s">
        <v>204</v>
      </c>
      <c r="B40" s="30"/>
      <c r="C40" s="30"/>
      <c r="D40" s="30"/>
      <c r="E40" s="30"/>
      <c r="F40" s="30"/>
      <c r="G40" s="30"/>
      <c r="H40" s="30">
        <f>'Home Perf'!C27</f>
        <v>803</v>
      </c>
      <c r="I40" s="30">
        <f>'Home Perf'!D27</f>
        <v>3835</v>
      </c>
      <c r="J40" s="30">
        <f>'Home Perf'!E27</f>
        <v>23909</v>
      </c>
      <c r="K40" s="30">
        <f>'Home Perf'!F27</f>
        <v>73438</v>
      </c>
      <c r="L40" s="30">
        <f>'Home Perf'!G27</f>
        <v>95298.35</v>
      </c>
      <c r="M40" s="30">
        <f t="shared" si="5"/>
        <v>197283.35</v>
      </c>
    </row>
    <row r="41" spans="1:13" ht="12.75">
      <c r="A41" s="29" t="s">
        <v>182</v>
      </c>
      <c r="B41" s="30"/>
      <c r="C41" s="30"/>
      <c r="D41" s="30"/>
      <c r="E41" s="30"/>
      <c r="F41" s="30"/>
      <c r="G41" s="30">
        <v>37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f t="shared" si="5"/>
        <v>37</v>
      </c>
    </row>
    <row r="42" spans="1:13" ht="12.75">
      <c r="A42" s="32" t="s">
        <v>88</v>
      </c>
      <c r="B42" s="41">
        <f aca="true" t="shared" si="6" ref="B42:J42">SUM(B37:B41)</f>
        <v>117568</v>
      </c>
      <c r="C42" s="41">
        <f t="shared" si="6"/>
        <v>227984</v>
      </c>
      <c r="D42" s="41">
        <f t="shared" si="6"/>
        <v>255814</v>
      </c>
      <c r="E42" s="41">
        <f t="shared" si="6"/>
        <v>318695</v>
      </c>
      <c r="F42" s="41">
        <f t="shared" si="6"/>
        <v>378527</v>
      </c>
      <c r="G42" s="41">
        <f t="shared" si="6"/>
        <v>395823</v>
      </c>
      <c r="H42" s="41">
        <f t="shared" si="6"/>
        <v>364643</v>
      </c>
      <c r="I42" s="41">
        <f t="shared" si="6"/>
        <v>300732</v>
      </c>
      <c r="J42" s="41">
        <f t="shared" si="6"/>
        <v>325806</v>
      </c>
      <c r="K42" s="41">
        <f>SUM(K37:K41)</f>
        <v>438789</v>
      </c>
      <c r="L42" s="41">
        <f>SUM(L37:L41)</f>
        <v>526845.95</v>
      </c>
      <c r="M42" s="41">
        <f t="shared" si="5"/>
        <v>3651226.95</v>
      </c>
    </row>
    <row r="43" spans="1:13" ht="12.75">
      <c r="A43" s="32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54" t="s">
        <v>87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4" ht="12.75">
      <c r="A45" s="120" t="s">
        <v>275</v>
      </c>
      <c r="B45" s="41">
        <f>'Low-income'!B37</f>
        <v>91776</v>
      </c>
      <c r="C45" s="41">
        <f>'Low-income'!C37</f>
        <v>73523</v>
      </c>
      <c r="D45" s="41">
        <f>'Low-income'!D37</f>
        <v>65035</v>
      </c>
      <c r="E45" s="41">
        <f>'Low-income'!E37</f>
        <v>59420</v>
      </c>
      <c r="F45" s="41">
        <f>'Low-income'!F37</f>
        <v>48733</v>
      </c>
      <c r="G45" s="41">
        <f>'Low-income'!G37</f>
        <v>42526</v>
      </c>
      <c r="H45" s="41">
        <f>'Low-income'!H37</f>
        <v>48101</v>
      </c>
      <c r="I45" s="41">
        <f>'Low-income'!I37</f>
        <v>73535</v>
      </c>
      <c r="J45" s="41">
        <f>'Low-income'!J37</f>
        <v>80504</v>
      </c>
      <c r="K45" s="41">
        <f>'Low-income'!K37</f>
        <v>65642</v>
      </c>
      <c r="L45" s="41">
        <f>'Low-income'!L37</f>
        <v>88278</v>
      </c>
      <c r="M45" s="205">
        <f>SUM(B45:L45)</f>
        <v>737073</v>
      </c>
      <c r="N45" s="187"/>
    </row>
    <row r="46" spans="1:13" ht="12.75">
      <c r="A46" s="12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68" t="s">
        <v>147</v>
      </c>
      <c r="B47" s="30"/>
      <c r="C47" s="30"/>
      <c r="D47" s="30"/>
      <c r="E47" s="30"/>
      <c r="F47" s="30">
        <f>'C&amp;I'!F64</f>
        <v>12335</v>
      </c>
      <c r="G47" s="30">
        <f>'C&amp;I'!G64</f>
        <v>2855</v>
      </c>
      <c r="H47" s="30">
        <f>'C&amp;I'!H64</f>
        <v>6303</v>
      </c>
      <c r="I47" s="30">
        <f>'C&amp;I'!I64</f>
        <v>18311</v>
      </c>
      <c r="J47" s="30">
        <f>'C&amp;I'!J64</f>
        <v>1368</v>
      </c>
      <c r="K47" s="30">
        <f>'C&amp;I'!K64</f>
        <v>104998</v>
      </c>
      <c r="L47" s="30">
        <f>'C&amp;I'!L64</f>
        <v>4361</v>
      </c>
      <c r="M47" s="30">
        <f aca="true" t="shared" si="7" ref="M47:M56">SUM(B47:L47)</f>
        <v>150531</v>
      </c>
    </row>
    <row r="48" spans="1:13" ht="12.75">
      <c r="A48" s="16" t="s">
        <v>148</v>
      </c>
      <c r="B48" s="30"/>
      <c r="C48" s="30"/>
      <c r="D48" s="30"/>
      <c r="E48" s="30"/>
      <c r="F48" s="30">
        <f>'C&amp;I'!F65</f>
        <v>175613</v>
      </c>
      <c r="G48" s="30">
        <f>'C&amp;I'!G65</f>
        <v>171062</v>
      </c>
      <c r="H48" s="30">
        <f>'C&amp;I'!H65</f>
        <v>32282</v>
      </c>
      <c r="I48" s="30">
        <f>'C&amp;I'!I65</f>
        <v>38647</v>
      </c>
      <c r="J48" s="30">
        <f>'C&amp;I'!J65</f>
        <v>42012</v>
      </c>
      <c r="K48" s="30">
        <f>'C&amp;I'!K65</f>
        <v>148987</v>
      </c>
      <c r="L48" s="30">
        <f>'C&amp;I'!L65</f>
        <v>56381</v>
      </c>
      <c r="M48" s="30">
        <f t="shared" si="7"/>
        <v>664984</v>
      </c>
    </row>
    <row r="49" spans="1:13" ht="12.75">
      <c r="A49" s="16" t="s">
        <v>149</v>
      </c>
      <c r="B49" s="30"/>
      <c r="C49" s="30"/>
      <c r="D49" s="30"/>
      <c r="E49" s="30"/>
      <c r="F49" s="30">
        <f>'C&amp;I'!F66</f>
        <v>2053</v>
      </c>
      <c r="G49" s="30">
        <f>'C&amp;I'!G66</f>
        <v>27913</v>
      </c>
      <c r="H49" s="30">
        <f>'C&amp;I'!H66</f>
        <v>2228</v>
      </c>
      <c r="I49" s="30">
        <f>'C&amp;I'!I66</f>
        <v>6396</v>
      </c>
      <c r="J49" s="30">
        <f>'C&amp;I'!J66</f>
        <v>10132</v>
      </c>
      <c r="K49" s="30">
        <f>'C&amp;I'!K66</f>
        <v>0</v>
      </c>
      <c r="L49" s="30">
        <f>'C&amp;I'!L66</f>
        <v>0</v>
      </c>
      <c r="M49" s="30">
        <f t="shared" si="7"/>
        <v>48722</v>
      </c>
    </row>
    <row r="50" spans="1:13" ht="12.75">
      <c r="A50" s="21" t="s">
        <v>321</v>
      </c>
      <c r="B50" s="30"/>
      <c r="C50" s="30"/>
      <c r="D50" s="30"/>
      <c r="E50" s="30"/>
      <c r="F50" s="30"/>
      <c r="G50" s="30"/>
      <c r="H50" s="30"/>
      <c r="I50" s="30"/>
      <c r="J50" s="30"/>
      <c r="K50" s="30">
        <f>'P4P '!D32</f>
        <v>0</v>
      </c>
      <c r="L50" s="173">
        <f>'P4P '!E32</f>
        <v>45344</v>
      </c>
      <c r="M50" s="30">
        <f t="shared" si="7"/>
        <v>45344</v>
      </c>
    </row>
    <row r="51" spans="1:13" ht="12.75">
      <c r="A51" s="21" t="s">
        <v>322</v>
      </c>
      <c r="B51" s="30"/>
      <c r="C51" s="30"/>
      <c r="D51" s="30"/>
      <c r="E51" s="30"/>
      <c r="F51" s="30"/>
      <c r="G51" s="30"/>
      <c r="H51" s="30"/>
      <c r="I51" s="30"/>
      <c r="J51" s="30"/>
      <c r="K51" s="30">
        <f>'P4P NC'!B32</f>
        <v>0</v>
      </c>
      <c r="L51" s="173">
        <f>'P4P NC'!C32</f>
        <v>0</v>
      </c>
      <c r="M51" s="30">
        <f t="shared" si="7"/>
        <v>0</v>
      </c>
    </row>
    <row r="52" spans="1:13" ht="12.75">
      <c r="A52" s="21" t="s">
        <v>246</v>
      </c>
      <c r="B52" s="30"/>
      <c r="C52" s="30"/>
      <c r="D52" s="30"/>
      <c r="E52" s="30"/>
      <c r="F52" s="30"/>
      <c r="G52" s="30"/>
      <c r="H52" s="30"/>
      <c r="I52" s="30"/>
      <c r="J52" s="30"/>
      <c r="K52" s="30">
        <f>'Direct Install'!D29</f>
        <v>4487</v>
      </c>
      <c r="L52" s="30">
        <f>'Direct Install'!E29</f>
        <v>61347</v>
      </c>
      <c r="M52" s="30">
        <f t="shared" si="7"/>
        <v>65834</v>
      </c>
    </row>
    <row r="53" spans="1:13" ht="12.75">
      <c r="A53" s="120" t="s">
        <v>277</v>
      </c>
      <c r="B53" s="24"/>
      <c r="C53" s="24"/>
      <c r="D53" s="24"/>
      <c r="E53" s="24"/>
      <c r="F53" s="24"/>
      <c r="G53" s="24"/>
      <c r="H53" s="75">
        <f>CHP!H34</f>
        <v>526105</v>
      </c>
      <c r="I53" s="75">
        <f>CHP!I34</f>
        <v>52103</v>
      </c>
      <c r="J53" s="75">
        <f>CHP!J34</f>
        <v>176521</v>
      </c>
      <c r="K53" s="75">
        <f>CHP!K34</f>
        <v>171923</v>
      </c>
      <c r="L53" s="75">
        <f>CHP!L34</f>
        <v>0</v>
      </c>
      <c r="M53" s="30">
        <f t="shared" si="7"/>
        <v>926652</v>
      </c>
    </row>
    <row r="54" spans="1:13" ht="12.75">
      <c r="A54" s="20" t="s">
        <v>232</v>
      </c>
      <c r="B54" s="30">
        <f>CORE!B27</f>
        <v>0</v>
      </c>
      <c r="C54" s="30">
        <f>CORE!C27</f>
        <v>4161</v>
      </c>
      <c r="D54" s="30">
        <f>CORE!D27</f>
        <v>1664</v>
      </c>
      <c r="E54" s="30">
        <f>CORE!E27</f>
        <v>0</v>
      </c>
      <c r="F54" s="30">
        <f>CORE!F27</f>
        <v>0</v>
      </c>
      <c r="G54" s="30">
        <f>CORE!G27</f>
        <v>0</v>
      </c>
      <c r="H54" s="30">
        <f>CORE!H27</f>
        <v>0</v>
      </c>
      <c r="I54" s="30">
        <f>CORE!I27</f>
        <v>0</v>
      </c>
      <c r="J54" s="30">
        <f>CORE!J27</f>
        <v>0</v>
      </c>
      <c r="K54" s="30">
        <f>CORE!K27</f>
        <v>0</v>
      </c>
      <c r="L54" s="30">
        <f>CORE!L27</f>
        <v>0</v>
      </c>
      <c r="M54" s="30">
        <f t="shared" si="7"/>
        <v>5825</v>
      </c>
    </row>
    <row r="55" spans="1:13" ht="12.75">
      <c r="A55" s="70" t="s">
        <v>278</v>
      </c>
      <c r="B55" s="41">
        <f>'C&amp;I'!B67</f>
        <v>33802</v>
      </c>
      <c r="C55" s="41">
        <f>'C&amp;I'!C67+C54</f>
        <v>37665</v>
      </c>
      <c r="D55" s="41">
        <f>'C&amp;I'!D67+D54</f>
        <v>89969</v>
      </c>
      <c r="E55" s="41">
        <f>'C&amp;I'!E67</f>
        <v>54644</v>
      </c>
      <c r="F55" s="41">
        <f aca="true" t="shared" si="8" ref="F55:K55">SUM(F47:F54)</f>
        <v>190001</v>
      </c>
      <c r="G55" s="41">
        <f t="shared" si="8"/>
        <v>201830</v>
      </c>
      <c r="H55" s="41">
        <f t="shared" si="8"/>
        <v>566918</v>
      </c>
      <c r="I55" s="41">
        <f t="shared" si="8"/>
        <v>115457</v>
      </c>
      <c r="J55" s="41">
        <f t="shared" si="8"/>
        <v>230033</v>
      </c>
      <c r="K55" s="41">
        <f t="shared" si="8"/>
        <v>430395</v>
      </c>
      <c r="L55" s="41">
        <f>SUM(L47:L54)</f>
        <v>167433</v>
      </c>
      <c r="M55" s="41">
        <f t="shared" si="7"/>
        <v>2118147</v>
      </c>
    </row>
    <row r="56" spans="1:13" ht="12.75">
      <c r="A56" s="70" t="s">
        <v>258</v>
      </c>
      <c r="B56" s="41">
        <f>B55+B45+B42</f>
        <v>243146</v>
      </c>
      <c r="C56" s="41">
        <f>C55+C45+C42</f>
        <v>339172</v>
      </c>
      <c r="D56" s="41">
        <f aca="true" t="shared" si="9" ref="D56:J56">D55+D45+D42</f>
        <v>410818</v>
      </c>
      <c r="E56" s="41">
        <f t="shared" si="9"/>
        <v>432759</v>
      </c>
      <c r="F56" s="41">
        <f t="shared" si="9"/>
        <v>617261</v>
      </c>
      <c r="G56" s="41">
        <f t="shared" si="9"/>
        <v>640179</v>
      </c>
      <c r="H56" s="41">
        <f>H55+H45+H42</f>
        <v>979662</v>
      </c>
      <c r="I56" s="41">
        <f t="shared" si="9"/>
        <v>489724</v>
      </c>
      <c r="J56" s="41">
        <f t="shared" si="9"/>
        <v>636343</v>
      </c>
      <c r="K56" s="41">
        <f>K55+K45+K42</f>
        <v>934826</v>
      </c>
      <c r="L56" s="41">
        <f>L55+L45+L42</f>
        <v>782556.95</v>
      </c>
      <c r="M56" s="41">
        <f t="shared" si="7"/>
        <v>6506446.95</v>
      </c>
    </row>
    <row r="57" spans="1:13" ht="12.75">
      <c r="A57" s="39"/>
      <c r="B57" s="26"/>
      <c r="C57" s="26"/>
      <c r="D57" s="26"/>
      <c r="E57" s="26"/>
      <c r="F57" s="26"/>
      <c r="G57" s="26"/>
      <c r="H57" s="99"/>
      <c r="I57" s="99"/>
      <c r="J57" s="99"/>
      <c r="K57" s="99"/>
      <c r="L57" s="99"/>
      <c r="M57" s="99"/>
    </row>
    <row r="58" spans="2:13" ht="12.75">
      <c r="B58" s="27">
        <v>2001</v>
      </c>
      <c r="C58" s="27">
        <v>2002</v>
      </c>
      <c r="D58" s="27">
        <v>2003</v>
      </c>
      <c r="E58" s="27">
        <v>2004</v>
      </c>
      <c r="F58" s="27">
        <v>2005</v>
      </c>
      <c r="G58" s="27">
        <v>2006</v>
      </c>
      <c r="H58" s="27">
        <v>2007</v>
      </c>
      <c r="I58" s="27">
        <v>2008</v>
      </c>
      <c r="J58" s="27">
        <v>2009</v>
      </c>
      <c r="K58" s="27">
        <v>2010</v>
      </c>
      <c r="L58" s="27">
        <v>2011</v>
      </c>
      <c r="M58" s="27" t="s">
        <v>1</v>
      </c>
    </row>
    <row r="59" spans="1:13" ht="12.75">
      <c r="A59" s="1" t="s">
        <v>130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2:13" ht="12.75">
      <c r="B60" s="28" t="s">
        <v>11</v>
      </c>
      <c r="C60" s="28" t="s">
        <v>11</v>
      </c>
      <c r="D60" s="28" t="s">
        <v>11</v>
      </c>
      <c r="E60" s="28" t="s">
        <v>11</v>
      </c>
      <c r="F60" s="28" t="s">
        <v>11</v>
      </c>
      <c r="G60" s="28" t="s">
        <v>11</v>
      </c>
      <c r="H60" s="51" t="s">
        <v>11</v>
      </c>
      <c r="I60" s="51" t="s">
        <v>11</v>
      </c>
      <c r="J60" s="51" t="s">
        <v>11</v>
      </c>
      <c r="K60" s="51" t="s">
        <v>11</v>
      </c>
      <c r="L60" s="51" t="s">
        <v>11</v>
      </c>
      <c r="M60" s="28" t="s">
        <v>11</v>
      </c>
    </row>
    <row r="61" spans="1:13" ht="12.75">
      <c r="A61" s="29" t="s">
        <v>81</v>
      </c>
      <c r="B61" s="30">
        <f>'Res HVAC'!B28</f>
        <v>10761</v>
      </c>
      <c r="C61" s="30">
        <f>'Res HVAC'!C28</f>
        <v>13825</v>
      </c>
      <c r="D61" s="30">
        <f>'Res HVAC'!D28</f>
        <v>12254</v>
      </c>
      <c r="E61" s="30">
        <f>'Res HVAC'!E28</f>
        <v>13065</v>
      </c>
      <c r="F61" s="30">
        <f>'Res HVAC'!F28</f>
        <v>12729</v>
      </c>
      <c r="G61" s="30">
        <f>'Res HVAC'!G28</f>
        <v>9651</v>
      </c>
      <c r="H61" s="30">
        <f>'Res HVAC'!H28</f>
        <v>10666</v>
      </c>
      <c r="I61" s="30">
        <f>'Res HVAC'!I28</f>
        <v>2710</v>
      </c>
      <c r="J61" s="30">
        <f>'Res HVAC'!J28</f>
        <v>1804</v>
      </c>
      <c r="K61" s="30">
        <f>'Res HVAC'!K28</f>
        <v>4825</v>
      </c>
      <c r="L61" s="30">
        <f>'Res HVAC'!L28</f>
        <v>6845</v>
      </c>
      <c r="M61" s="30">
        <f aca="true" t="shared" si="10" ref="M61:M73">SUM(B61:L61)</f>
        <v>99135</v>
      </c>
    </row>
    <row r="62" spans="1:13" ht="12.75">
      <c r="A62" s="29" t="s">
        <v>82</v>
      </c>
      <c r="B62" s="30">
        <f>RNC!B26</f>
        <v>11</v>
      </c>
      <c r="C62" s="30">
        <f>RNC!C26</f>
        <v>3415</v>
      </c>
      <c r="D62" s="30">
        <f>RNC!D26</f>
        <v>11201</v>
      </c>
      <c r="E62" s="30">
        <f>RNC!E26</f>
        <v>14869</v>
      </c>
      <c r="F62" s="30">
        <f>RNC!F26</f>
        <v>18897</v>
      </c>
      <c r="G62" s="30">
        <f>RNC!G26</f>
        <v>13285</v>
      </c>
      <c r="H62" s="30">
        <f>RNC!H26</f>
        <v>12497</v>
      </c>
      <c r="I62" s="30">
        <f>RNC!I26</f>
        <v>8179</v>
      </c>
      <c r="J62" s="30">
        <f>RNC!J26</f>
        <v>5736</v>
      </c>
      <c r="K62" s="30">
        <f>RNC!K26</f>
        <v>6841</v>
      </c>
      <c r="L62" s="30">
        <f>RNC!L26</f>
        <v>4616</v>
      </c>
      <c r="M62" s="30">
        <f t="shared" si="10"/>
        <v>99547</v>
      </c>
    </row>
    <row r="63" spans="1:13" ht="12.75">
      <c r="A63" s="29" t="s">
        <v>83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>
        <f t="shared" si="10"/>
        <v>0</v>
      </c>
    </row>
    <row r="64" spans="1:15" ht="12.75">
      <c r="A64" s="29" t="s">
        <v>84</v>
      </c>
      <c r="B64" s="30">
        <f>'Energy Star'!B71</f>
        <v>0</v>
      </c>
      <c r="C64" s="30">
        <f>'Energy Star'!C71</f>
        <v>0</v>
      </c>
      <c r="D64" s="30">
        <f>'Energy Star'!D71</f>
        <v>1499</v>
      </c>
      <c r="E64" s="30">
        <f>'Energy Star'!E71</f>
        <v>1441</v>
      </c>
      <c r="F64" s="30">
        <f>'Energy Star'!F71</f>
        <v>1662</v>
      </c>
      <c r="G64" s="30">
        <f>'Energy Star'!G71</f>
        <v>567</v>
      </c>
      <c r="H64" s="30">
        <f>'Energy Star'!H71</f>
        <v>803</v>
      </c>
      <c r="I64" s="30">
        <f>'Energy Star'!I71</f>
        <v>808</v>
      </c>
      <c r="J64" s="30">
        <f>'Energy Star'!J71</f>
        <v>444</v>
      </c>
      <c r="K64" s="30">
        <f>'Energy Star'!K71</f>
        <v>668</v>
      </c>
      <c r="L64" s="173">
        <f>'Energy Star'!L71</f>
        <v>13.6</v>
      </c>
      <c r="M64" s="30">
        <f t="shared" si="10"/>
        <v>7905.6</v>
      </c>
      <c r="O64" s="25"/>
    </row>
    <row r="65" spans="1:13" ht="12.75">
      <c r="A65" s="29" t="s">
        <v>85</v>
      </c>
      <c r="B65" s="30">
        <f>'Energy Star'!B70</f>
        <v>0</v>
      </c>
      <c r="C65" s="30">
        <f>'Energy Star'!C70</f>
        <v>0</v>
      </c>
      <c r="D65" s="30">
        <f>'Energy Star'!D70</f>
        <v>3587</v>
      </c>
      <c r="E65" s="30">
        <f>'Energy Star'!E70</f>
        <v>5089</v>
      </c>
      <c r="F65" s="30">
        <f>'Energy Star'!F70</f>
        <v>3222</v>
      </c>
      <c r="G65" s="30">
        <f>'Energy Star'!G70</f>
        <v>0</v>
      </c>
      <c r="H65" s="30">
        <f>'Energy Star'!H70</f>
        <v>5792</v>
      </c>
      <c r="I65" s="30">
        <f>'Energy Star'!I70</f>
        <v>10752</v>
      </c>
      <c r="J65" s="30">
        <f>'Energy Star'!J70</f>
        <v>16252</v>
      </c>
      <c r="K65" s="30">
        <f>'Energy Star'!K70</f>
        <v>19190.4</v>
      </c>
      <c r="L65" s="173">
        <f>'Energy Star'!L70</f>
        <v>25435.7</v>
      </c>
      <c r="M65" s="30">
        <f t="shared" si="10"/>
        <v>89320.1</v>
      </c>
    </row>
    <row r="66" spans="1:13" ht="12.75">
      <c r="A66" s="21" t="s">
        <v>255</v>
      </c>
      <c r="B66" s="30"/>
      <c r="C66" s="30"/>
      <c r="D66" s="30"/>
      <c r="E66" s="30"/>
      <c r="F66" s="30"/>
      <c r="G66" s="30"/>
      <c r="H66" s="30"/>
      <c r="I66" s="30">
        <f>'Energy Star'!I72</f>
        <v>377</v>
      </c>
      <c r="J66" s="30">
        <f>'Energy Star'!J72</f>
        <v>431</v>
      </c>
      <c r="K66" s="30">
        <f>'Energy Star'!K72</f>
        <v>497</v>
      </c>
      <c r="L66" s="173">
        <f>'Energy Star'!L72</f>
        <v>498.4</v>
      </c>
      <c r="M66" s="30">
        <f t="shared" si="10"/>
        <v>1803.4</v>
      </c>
    </row>
    <row r="67" spans="1:13" ht="12.75">
      <c r="A67" s="21" t="s">
        <v>252</v>
      </c>
      <c r="B67" s="30"/>
      <c r="C67" s="30"/>
      <c r="D67" s="30"/>
      <c r="E67" s="30"/>
      <c r="F67" s="30"/>
      <c r="G67" s="30"/>
      <c r="H67" s="30"/>
      <c r="I67" s="30">
        <f>'Energy Star'!I73</f>
        <v>53</v>
      </c>
      <c r="J67" s="30">
        <f>'Energy Star'!J73</f>
        <v>79</v>
      </c>
      <c r="K67" s="30">
        <f>'Energy Star'!K73</f>
        <v>57</v>
      </c>
      <c r="L67" s="173">
        <f>'Energy Star'!L73</f>
        <v>3.9</v>
      </c>
      <c r="M67" s="30">
        <f t="shared" si="10"/>
        <v>192.9</v>
      </c>
    </row>
    <row r="68" spans="1:13" ht="12.75">
      <c r="A68" s="21" t="s">
        <v>270</v>
      </c>
      <c r="B68" s="30"/>
      <c r="C68" s="30"/>
      <c r="D68" s="30"/>
      <c r="E68" s="30"/>
      <c r="F68" s="30"/>
      <c r="G68" s="30"/>
      <c r="H68" s="30"/>
      <c r="I68" s="30"/>
      <c r="J68" s="30">
        <f>'Energy Star'!J74</f>
        <v>1385</v>
      </c>
      <c r="K68" s="30">
        <f>'Energy Star'!K74</f>
        <v>3748.3</v>
      </c>
      <c r="L68" s="173">
        <f>'Energy Star'!L74</f>
        <v>3765.8</v>
      </c>
      <c r="M68" s="30">
        <f t="shared" si="10"/>
        <v>8899.1</v>
      </c>
    </row>
    <row r="69" spans="1:13" ht="12.75">
      <c r="A69" s="21" t="s">
        <v>344</v>
      </c>
      <c r="B69" s="30"/>
      <c r="C69" s="30"/>
      <c r="D69" s="30"/>
      <c r="E69" s="30"/>
      <c r="F69" s="30"/>
      <c r="G69" s="30"/>
      <c r="H69" s="30"/>
      <c r="I69" s="30"/>
      <c r="J69" s="30"/>
      <c r="K69" s="30">
        <f>'Energy Star'!K75</f>
        <v>526.9</v>
      </c>
      <c r="L69" s="173">
        <f>'Energy Star'!L75</f>
        <v>1005.1</v>
      </c>
      <c r="M69" s="30">
        <f t="shared" si="10"/>
        <v>1532</v>
      </c>
    </row>
    <row r="70" spans="1:13" ht="12.75">
      <c r="A70" s="21" t="s">
        <v>393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173">
        <f>'Energy Star'!L76</f>
        <v>60.2</v>
      </c>
      <c r="M70" s="30">
        <f t="shared" si="10"/>
        <v>60.2</v>
      </c>
    </row>
    <row r="71" spans="1:13" ht="12.75">
      <c r="A71" s="21" t="s">
        <v>394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173">
        <f>'Energy Star'!L77</f>
        <v>32.1</v>
      </c>
      <c r="M71" s="30">
        <f t="shared" si="10"/>
        <v>32.1</v>
      </c>
    </row>
    <row r="72" spans="1:13" ht="12.75">
      <c r="A72" s="29" t="s">
        <v>204</v>
      </c>
      <c r="B72" s="30">
        <f>'Energy Star'!B82</f>
        <v>0</v>
      </c>
      <c r="C72" s="30">
        <f>'Energy Star'!C82</f>
        <v>0</v>
      </c>
      <c r="D72" s="30">
        <f>'Energy Star'!D82</f>
        <v>0</v>
      </c>
      <c r="E72" s="30">
        <f>'Energy Star'!E82</f>
        <v>0</v>
      </c>
      <c r="F72" s="30">
        <f>'Energy Star'!F82</f>
        <v>0</v>
      </c>
      <c r="G72" s="30">
        <f>'Energy Star'!G82</f>
        <v>0</v>
      </c>
      <c r="H72" s="30">
        <f>'Home Perf'!C23</f>
        <v>0</v>
      </c>
      <c r="I72" s="30">
        <f>'Home Perf'!D23</f>
        <v>51</v>
      </c>
      <c r="J72" s="30">
        <f>'Home Perf'!E23</f>
        <v>366</v>
      </c>
      <c r="K72" s="30">
        <f>'Home Perf'!F23</f>
        <v>815</v>
      </c>
      <c r="L72" s="30">
        <f>'Home Perf'!G23</f>
        <v>894</v>
      </c>
      <c r="M72" s="30">
        <f t="shared" si="10"/>
        <v>2126</v>
      </c>
    </row>
    <row r="73" spans="1:14" ht="12.75">
      <c r="A73" s="32" t="s">
        <v>88</v>
      </c>
      <c r="B73" s="41">
        <f>SUM(B61:B72)</f>
        <v>10772</v>
      </c>
      <c r="C73" s="41">
        <f aca="true" t="shared" si="11" ref="C73:J73">SUM(C61:C72)</f>
        <v>17240</v>
      </c>
      <c r="D73" s="41">
        <f t="shared" si="11"/>
        <v>28541</v>
      </c>
      <c r="E73" s="41">
        <f t="shared" si="11"/>
        <v>34464</v>
      </c>
      <c r="F73" s="41">
        <f t="shared" si="11"/>
        <v>36510</v>
      </c>
      <c r="G73" s="41">
        <f t="shared" si="11"/>
        <v>23503</v>
      </c>
      <c r="H73" s="41">
        <f t="shared" si="11"/>
        <v>29758</v>
      </c>
      <c r="I73" s="41">
        <f t="shared" si="11"/>
        <v>22930</v>
      </c>
      <c r="J73" s="41">
        <f t="shared" si="11"/>
        <v>26497</v>
      </c>
      <c r="K73" s="41">
        <f>SUM(K61:K72)</f>
        <v>37168.600000000006</v>
      </c>
      <c r="L73" s="41">
        <f>SUM(L61:L72)</f>
        <v>43169.8</v>
      </c>
      <c r="M73" s="41">
        <f t="shared" si="10"/>
        <v>310553.39999999997</v>
      </c>
      <c r="N73" s="25"/>
    </row>
    <row r="74" spans="1:14" ht="12.75">
      <c r="A74" s="32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25"/>
    </row>
    <row r="75" spans="1:14" ht="12.75">
      <c r="A75" s="54" t="s">
        <v>87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25"/>
    </row>
    <row r="76" spans="1:14" ht="12.75">
      <c r="A76" s="120" t="s">
        <v>275</v>
      </c>
      <c r="B76" s="41">
        <f>'Low-income'!B34</f>
        <v>1032</v>
      </c>
      <c r="C76" s="41">
        <f>'Low-income'!C34</f>
        <v>627</v>
      </c>
      <c r="D76" s="41">
        <f>'Low-income'!D34</f>
        <v>868</v>
      </c>
      <c r="E76" s="41">
        <f>'Low-income'!E34</f>
        <v>820</v>
      </c>
      <c r="F76" s="41">
        <f>'Low-income'!F34</f>
        <v>569</v>
      </c>
      <c r="G76" s="41">
        <f>'Low-income'!G34</f>
        <v>1645</v>
      </c>
      <c r="H76" s="41">
        <f>'Low-income'!H34</f>
        <v>1600</v>
      </c>
      <c r="I76" s="41">
        <f>'Low-income'!I34</f>
        <v>1268</v>
      </c>
      <c r="J76" s="41">
        <f>'Low-income'!J34</f>
        <v>1071</v>
      </c>
      <c r="K76" s="41">
        <f>'Low-income'!K34</f>
        <v>937</v>
      </c>
      <c r="L76" s="41">
        <f>'Low-income'!L34</f>
        <v>1072</v>
      </c>
      <c r="M76" s="30">
        <f>SUM(B76:L76)</f>
        <v>11509</v>
      </c>
      <c r="N76" s="25"/>
    </row>
    <row r="77" spans="1:14" ht="12.75">
      <c r="A77" s="32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25"/>
    </row>
    <row r="78" spans="1:13" ht="12.75">
      <c r="A78" s="68" t="s">
        <v>147</v>
      </c>
      <c r="B78" s="30"/>
      <c r="C78" s="30"/>
      <c r="D78" s="30"/>
      <c r="E78" s="30"/>
      <c r="F78" s="30">
        <f>'C&amp;I'!F57</f>
        <v>3548</v>
      </c>
      <c r="G78" s="30">
        <f>'C&amp;I'!G57</f>
        <v>3861</v>
      </c>
      <c r="H78" s="30">
        <f>'C&amp;I'!H57</f>
        <v>1796</v>
      </c>
      <c r="I78" s="30">
        <f>'C&amp;I'!I57</f>
        <v>1399</v>
      </c>
      <c r="J78" s="30">
        <f>'C&amp;I'!J57</f>
        <v>2935</v>
      </c>
      <c r="K78" s="30">
        <f>'C&amp;I'!K57</f>
        <v>1915</v>
      </c>
      <c r="L78" s="30">
        <f>'C&amp;I'!L57</f>
        <v>4650</v>
      </c>
      <c r="M78" s="30">
        <f aca="true" t="shared" si="12" ref="M78:M88">SUM(B78:L78)</f>
        <v>20104</v>
      </c>
    </row>
    <row r="79" spans="1:13" ht="12.75">
      <c r="A79" s="16" t="s">
        <v>148</v>
      </c>
      <c r="B79" s="30"/>
      <c r="C79" s="30"/>
      <c r="D79" s="30"/>
      <c r="E79" s="30"/>
      <c r="F79" s="30">
        <f>'C&amp;I'!F58</f>
        <v>28478</v>
      </c>
      <c r="G79" s="30">
        <f>'C&amp;I'!G58</f>
        <v>21539</v>
      </c>
      <c r="H79" s="30">
        <f>'C&amp;I'!H58</f>
        <v>15252</v>
      </c>
      <c r="I79" s="30">
        <f>'C&amp;I'!I58</f>
        <v>14186</v>
      </c>
      <c r="J79" s="30">
        <f>'C&amp;I'!J58</f>
        <v>15312</v>
      </c>
      <c r="K79" s="30">
        <f>'C&amp;I'!K58</f>
        <v>20887</v>
      </c>
      <c r="L79" s="30">
        <f>'C&amp;I'!L58</f>
        <v>69567</v>
      </c>
      <c r="M79" s="30">
        <f t="shared" si="12"/>
        <v>185221</v>
      </c>
    </row>
    <row r="80" spans="1:13" ht="12.75">
      <c r="A80" s="16" t="s">
        <v>149</v>
      </c>
      <c r="B80" s="30"/>
      <c r="C80" s="30"/>
      <c r="D80" s="30"/>
      <c r="E80" s="30"/>
      <c r="F80" s="30">
        <f>'C&amp;I'!F59</f>
        <v>4356</v>
      </c>
      <c r="G80" s="30">
        <f>'C&amp;I'!G59</f>
        <v>901</v>
      </c>
      <c r="H80" s="30">
        <f>'C&amp;I'!H59</f>
        <v>454</v>
      </c>
      <c r="I80" s="30">
        <f>'C&amp;I'!I59</f>
        <v>853</v>
      </c>
      <c r="J80" s="30">
        <f>'C&amp;I'!J59</f>
        <v>534</v>
      </c>
      <c r="K80" s="30">
        <f>'C&amp;I'!K59</f>
        <v>0</v>
      </c>
      <c r="L80" s="30">
        <f>'C&amp;I'!L59</f>
        <v>0</v>
      </c>
      <c r="M80" s="30">
        <f t="shared" si="12"/>
        <v>7098</v>
      </c>
    </row>
    <row r="81" spans="1:13" ht="12.75">
      <c r="A81" s="21" t="s">
        <v>321</v>
      </c>
      <c r="B81" s="30"/>
      <c r="C81" s="30"/>
      <c r="D81" s="30"/>
      <c r="E81" s="30"/>
      <c r="F81" s="30"/>
      <c r="G81" s="30"/>
      <c r="H81" s="30"/>
      <c r="I81" s="30"/>
      <c r="J81" s="30"/>
      <c r="K81" s="30">
        <f>'P4P '!D28</f>
        <v>62</v>
      </c>
      <c r="L81" s="173">
        <f>'P4P '!E28</f>
        <v>2514</v>
      </c>
      <c r="M81" s="30">
        <f t="shared" si="12"/>
        <v>2576</v>
      </c>
    </row>
    <row r="82" spans="1:13" ht="12.75">
      <c r="A82" s="21" t="s">
        <v>322</v>
      </c>
      <c r="B82" s="30"/>
      <c r="C82" s="30"/>
      <c r="D82" s="30"/>
      <c r="E82" s="30"/>
      <c r="F82" s="30"/>
      <c r="G82" s="30"/>
      <c r="H82" s="30"/>
      <c r="I82" s="30"/>
      <c r="J82" s="30"/>
      <c r="K82" s="30">
        <f>'P4P NC'!B28</f>
        <v>0</v>
      </c>
      <c r="L82" s="173">
        <f>'P4P NC'!C28</f>
        <v>0</v>
      </c>
      <c r="M82" s="30">
        <f t="shared" si="12"/>
        <v>0</v>
      </c>
    </row>
    <row r="83" spans="1:13" ht="12.75">
      <c r="A83" s="21" t="s">
        <v>246</v>
      </c>
      <c r="B83" s="30"/>
      <c r="C83" s="30"/>
      <c r="D83" s="30"/>
      <c r="E83" s="30"/>
      <c r="F83" s="30"/>
      <c r="G83" s="30"/>
      <c r="H83" s="30"/>
      <c r="I83" s="30"/>
      <c r="J83" s="30"/>
      <c r="K83" s="30">
        <f>'Direct Install'!D25</f>
        <v>1276</v>
      </c>
      <c r="L83" s="30">
        <f>'Direct Install'!E25</f>
        <v>8693</v>
      </c>
      <c r="M83" s="30">
        <f t="shared" si="12"/>
        <v>9969</v>
      </c>
    </row>
    <row r="84" spans="1:13" ht="12.75">
      <c r="A84" s="21" t="s">
        <v>59</v>
      </c>
      <c r="B84" s="30"/>
      <c r="C84" s="30"/>
      <c r="D84" s="30"/>
      <c r="E84" s="30"/>
      <c r="F84" s="30"/>
      <c r="G84" s="30"/>
      <c r="H84" s="30"/>
      <c r="I84" s="30">
        <f>CHP!I26</f>
        <v>30</v>
      </c>
      <c r="J84" s="30">
        <f>CHP!J26</f>
        <v>0</v>
      </c>
      <c r="K84" s="30">
        <f>CHP!K26</f>
        <v>275</v>
      </c>
      <c r="L84" s="30">
        <f>CHP!L26</f>
        <v>0</v>
      </c>
      <c r="M84" s="30">
        <f t="shared" si="12"/>
        <v>305</v>
      </c>
    </row>
    <row r="85" spans="1:13" ht="25.5">
      <c r="A85" s="84" t="s">
        <v>89</v>
      </c>
      <c r="B85" s="41">
        <f>'C&amp;I'!B60</f>
        <v>6364</v>
      </c>
      <c r="C85" s="41">
        <f>'C&amp;I'!C60</f>
        <v>26750</v>
      </c>
      <c r="D85" s="41">
        <f>'C&amp;I'!D60</f>
        <v>38155</v>
      </c>
      <c r="E85" s="41">
        <f>'C&amp;I'!E60</f>
        <v>43470</v>
      </c>
      <c r="F85" s="41">
        <f aca="true" t="shared" si="13" ref="F85:K85">SUM(F78:F84)</f>
        <v>36382</v>
      </c>
      <c r="G85" s="41">
        <f t="shared" si="13"/>
        <v>26301</v>
      </c>
      <c r="H85" s="41">
        <f t="shared" si="13"/>
        <v>17502</v>
      </c>
      <c r="I85" s="41">
        <f t="shared" si="13"/>
        <v>16468</v>
      </c>
      <c r="J85" s="41">
        <f t="shared" si="13"/>
        <v>18781</v>
      </c>
      <c r="K85" s="41">
        <f t="shared" si="13"/>
        <v>24415</v>
      </c>
      <c r="L85" s="41">
        <f>SUM(L78:L84)</f>
        <v>85424</v>
      </c>
      <c r="M85" s="41">
        <f t="shared" si="12"/>
        <v>340012</v>
      </c>
    </row>
    <row r="86" spans="1:13" ht="12.75">
      <c r="A86" s="54" t="s">
        <v>131</v>
      </c>
      <c r="B86" s="41">
        <f>B85+B76+B73</f>
        <v>18168</v>
      </c>
      <c r="C86" s="41">
        <f aca="true" t="shared" si="14" ref="C86:I86">C85+C76+C73</f>
        <v>44617</v>
      </c>
      <c r="D86" s="41">
        <f t="shared" si="14"/>
        <v>67564</v>
      </c>
      <c r="E86" s="41">
        <f t="shared" si="14"/>
        <v>78754</v>
      </c>
      <c r="F86" s="41">
        <f t="shared" si="14"/>
        <v>73461</v>
      </c>
      <c r="G86" s="41">
        <f t="shared" si="14"/>
        <v>51449</v>
      </c>
      <c r="H86" s="41">
        <f t="shared" si="14"/>
        <v>48860</v>
      </c>
      <c r="I86" s="41">
        <f t="shared" si="14"/>
        <v>40666</v>
      </c>
      <c r="J86" s="41">
        <f>J85+J76+J73</f>
        <v>46349</v>
      </c>
      <c r="K86" s="41">
        <f>K85+K76+K73</f>
        <v>62520.600000000006</v>
      </c>
      <c r="L86" s="41">
        <f>L85+L76+L73</f>
        <v>129665.8</v>
      </c>
      <c r="M86" s="41">
        <f t="shared" si="12"/>
        <v>662074.4</v>
      </c>
    </row>
    <row r="87" spans="1:13" ht="12.75">
      <c r="A87" s="81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40"/>
    </row>
    <row r="88" spans="1:13" ht="12.75">
      <c r="A88" s="54" t="s">
        <v>59</v>
      </c>
      <c r="B88" s="41">
        <f>CHP!B55</f>
        <v>0</v>
      </c>
      <c r="C88" s="41">
        <f>CHP!C55</f>
        <v>0</v>
      </c>
      <c r="D88" s="41">
        <f>CHP!D55</f>
        <v>0</v>
      </c>
      <c r="E88" s="41">
        <f>CHP!E55</f>
        <v>0</v>
      </c>
      <c r="F88" s="41">
        <f>CHP!F55</f>
        <v>140</v>
      </c>
      <c r="G88" s="41">
        <f>CHP!G55</f>
        <v>3175</v>
      </c>
      <c r="H88" s="41">
        <f>CHP!H55</f>
        <v>4925</v>
      </c>
      <c r="I88" s="41">
        <f>CHP!I55</f>
        <v>1276</v>
      </c>
      <c r="J88" s="41">
        <f>CHP!J55</f>
        <v>4700</v>
      </c>
      <c r="K88" s="41">
        <f>CHP!K55</f>
        <v>5535</v>
      </c>
      <c r="L88" s="41">
        <f>CHP!L55</f>
        <v>0</v>
      </c>
      <c r="M88" s="41">
        <f t="shared" si="12"/>
        <v>19751</v>
      </c>
    </row>
    <row r="89" spans="1:13" ht="12.75">
      <c r="A89" s="81" t="s">
        <v>103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3"/>
    </row>
    <row r="90" spans="1:13" ht="12.75">
      <c r="A90" s="84" t="s">
        <v>133</v>
      </c>
      <c r="B90" s="41">
        <f>'Appliance Cycling'!B14</f>
        <v>204971</v>
      </c>
      <c r="C90" s="41">
        <f>'Appliance Cycling'!C14</f>
        <v>196222</v>
      </c>
      <c r="D90" s="41">
        <f>'Appliance Cycling'!D14</f>
        <v>194531</v>
      </c>
      <c r="E90" s="41">
        <f>'Appliance Cycling'!E14</f>
        <v>173164</v>
      </c>
      <c r="F90" s="82"/>
      <c r="G90" s="82"/>
      <c r="H90" s="82"/>
      <c r="I90" s="82"/>
      <c r="J90" s="82"/>
      <c r="K90" s="82"/>
      <c r="L90" s="82"/>
      <c r="M90" s="83"/>
    </row>
    <row r="92" spans="1:13" ht="12.75">
      <c r="A92" s="33" t="s">
        <v>105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 ht="12.75">
      <c r="A93" s="33"/>
      <c r="B93" s="51" t="s">
        <v>29</v>
      </c>
      <c r="C93" s="51" t="s">
        <v>29</v>
      </c>
      <c r="D93" s="51" t="s">
        <v>29</v>
      </c>
      <c r="E93" s="51" t="s">
        <v>29</v>
      </c>
      <c r="F93" s="51" t="s">
        <v>29</v>
      </c>
      <c r="G93" s="51" t="s">
        <v>29</v>
      </c>
      <c r="H93" s="28" t="s">
        <v>29</v>
      </c>
      <c r="I93" s="28" t="s">
        <v>29</v>
      </c>
      <c r="J93" s="28" t="s">
        <v>29</v>
      </c>
      <c r="K93" s="28" t="s">
        <v>29</v>
      </c>
      <c r="L93" s="28" t="s">
        <v>29</v>
      </c>
      <c r="M93" s="51" t="s">
        <v>29</v>
      </c>
    </row>
    <row r="94" spans="1:13" ht="12.75">
      <c r="A94" s="24" t="s">
        <v>91</v>
      </c>
      <c r="B94" s="30">
        <f>CORE!B20</f>
        <v>11</v>
      </c>
      <c r="C94" s="30">
        <f>CORE!C20</f>
        <v>2896</v>
      </c>
      <c r="D94" s="30">
        <f>CORE!D20</f>
        <v>7239</v>
      </c>
      <c r="E94" s="30">
        <f>CORE!E20</f>
        <v>6515</v>
      </c>
      <c r="F94" s="30">
        <f>CORE!F20</f>
        <v>16620</v>
      </c>
      <c r="G94" s="30">
        <f>CORE!G20</f>
        <v>22470</v>
      </c>
      <c r="H94" s="30">
        <f>CORE!H20</f>
        <v>24369</v>
      </c>
      <c r="I94" s="30">
        <f>CORE!I20</f>
        <v>17726</v>
      </c>
      <c r="J94" s="30">
        <f>CORE!J20</f>
        <v>15432</v>
      </c>
      <c r="K94" s="30">
        <f>CORE!K20</f>
        <v>18181</v>
      </c>
      <c r="L94" s="30">
        <f>CORE!L20</f>
        <v>6961</v>
      </c>
      <c r="M94" s="30">
        <f aca="true" t="shared" si="15" ref="M94:M100">SUM(B94:L94)</f>
        <v>138420</v>
      </c>
    </row>
    <row r="95" spans="1:13" ht="12.75">
      <c r="A95" s="24" t="s">
        <v>195</v>
      </c>
      <c r="B95" s="30"/>
      <c r="C95" s="30"/>
      <c r="D95" s="30"/>
      <c r="E95" s="30"/>
      <c r="F95" s="30"/>
      <c r="G95" s="30">
        <f>'Clean Power Choice'!C11</f>
        <v>22189</v>
      </c>
      <c r="H95" s="30">
        <f>'Clean Power Choice'!D11</f>
        <v>74091</v>
      </c>
      <c r="I95" s="30">
        <f>'Clean Power Choice'!E11</f>
        <v>89220.72</v>
      </c>
      <c r="J95" s="30">
        <f>'Clean Power Choice'!F11</f>
        <v>101256</v>
      </c>
      <c r="K95" s="30">
        <f>'Clean Power Choice'!G11</f>
        <v>74988</v>
      </c>
      <c r="L95" s="30">
        <f>'Clean Power Choice'!H11</f>
        <v>0</v>
      </c>
      <c r="M95" s="30">
        <f t="shared" si="15"/>
        <v>361744.72</v>
      </c>
    </row>
    <row r="96" spans="1:13" ht="12.75">
      <c r="A96" s="20" t="s">
        <v>271</v>
      </c>
      <c r="B96" s="30"/>
      <c r="C96" s="30"/>
      <c r="D96" s="30"/>
      <c r="E96" s="30"/>
      <c r="F96" s="30"/>
      <c r="G96" s="30"/>
      <c r="H96" s="30"/>
      <c r="I96" s="30"/>
      <c r="J96" s="30">
        <f>REIP!B18</f>
        <v>2578</v>
      </c>
      <c r="K96" s="30">
        <f>REIP!C18</f>
        <v>19353</v>
      </c>
      <c r="L96" s="30">
        <f>REIP!D18</f>
        <v>21411</v>
      </c>
      <c r="M96" s="30">
        <f t="shared" si="15"/>
        <v>43342</v>
      </c>
    </row>
    <row r="97" spans="1:13" ht="12.75">
      <c r="A97" s="20" t="s">
        <v>343</v>
      </c>
      <c r="B97" s="30"/>
      <c r="C97" s="30"/>
      <c r="D97" s="30"/>
      <c r="E97" s="30"/>
      <c r="F97" s="30"/>
      <c r="G97" s="30"/>
      <c r="H97" s="30"/>
      <c r="I97" s="30"/>
      <c r="J97" s="30">
        <f>'RE Grid Connected'!B18</f>
        <v>0</v>
      </c>
      <c r="K97" s="30">
        <f>'RE Grid Connected'!C18</f>
        <v>0</v>
      </c>
      <c r="L97" s="30">
        <f>'RE Grid Connected'!D18</f>
        <v>0</v>
      </c>
      <c r="M97" s="30">
        <f t="shared" si="15"/>
        <v>0</v>
      </c>
    </row>
    <row r="98" spans="1:13" ht="12.75">
      <c r="A98" s="24" t="s">
        <v>141</v>
      </c>
      <c r="B98" s="30"/>
      <c r="C98" s="30"/>
      <c r="D98" s="30"/>
      <c r="E98" s="30"/>
      <c r="F98" s="30">
        <f>'RE Grants and Financing'!F29</f>
        <v>12516</v>
      </c>
      <c r="G98" s="30">
        <f>'RE Grants and Financing'!G29</f>
        <v>0</v>
      </c>
      <c r="H98" s="30">
        <f>'RE Grants and Financing'!H29</f>
        <v>41753</v>
      </c>
      <c r="I98" s="30">
        <f>'RE Grants and Financing'!I29</f>
        <v>71902</v>
      </c>
      <c r="J98" s="30">
        <f>'RE Grants and Financing'!J29</f>
        <v>8712</v>
      </c>
      <c r="K98" s="30">
        <f>'RE Grants and Financing'!K29</f>
        <v>40137</v>
      </c>
      <c r="L98" s="30"/>
      <c r="M98" s="30">
        <f t="shared" si="15"/>
        <v>175020</v>
      </c>
    </row>
    <row r="99" spans="1:13" ht="12.75">
      <c r="A99" s="24" t="s">
        <v>212</v>
      </c>
      <c r="B99" s="30"/>
      <c r="C99" s="30"/>
      <c r="D99" s="30"/>
      <c r="E99" s="30"/>
      <c r="F99" s="30"/>
      <c r="G99" s="30"/>
      <c r="H99" s="30">
        <f>REC!B14</f>
        <v>16</v>
      </c>
      <c r="I99" s="30">
        <f>REC!C14</f>
        <v>10120</v>
      </c>
      <c r="J99" s="30">
        <f>REC!D14</f>
        <v>41123</v>
      </c>
      <c r="K99" s="30">
        <f>REC!E14</f>
        <v>174920</v>
      </c>
      <c r="L99" s="30">
        <f>REC!F14</f>
        <v>353694</v>
      </c>
      <c r="M99" s="30">
        <f t="shared" si="15"/>
        <v>579873</v>
      </c>
    </row>
    <row r="100" spans="1:13" ht="12.75">
      <c r="A100" s="14" t="s">
        <v>1</v>
      </c>
      <c r="B100" s="41">
        <f aca="true" t="shared" si="16" ref="B100:G100">SUM(B94:B98)</f>
        <v>11</v>
      </c>
      <c r="C100" s="41">
        <f t="shared" si="16"/>
        <v>2896</v>
      </c>
      <c r="D100" s="41">
        <f t="shared" si="16"/>
        <v>7239</v>
      </c>
      <c r="E100" s="41">
        <f t="shared" si="16"/>
        <v>6515</v>
      </c>
      <c r="F100" s="41">
        <f t="shared" si="16"/>
        <v>29136</v>
      </c>
      <c r="G100" s="41">
        <f t="shared" si="16"/>
        <v>44659</v>
      </c>
      <c r="H100" s="41">
        <f>SUM(H94:H99)</f>
        <v>140229</v>
      </c>
      <c r="I100" s="41">
        <f>SUM(I94:I99)</f>
        <v>188968.72</v>
      </c>
      <c r="J100" s="41">
        <f>SUM(J94:J99)</f>
        <v>169101</v>
      </c>
      <c r="K100" s="41">
        <f>SUM(K94:K99)</f>
        <v>327579</v>
      </c>
      <c r="L100" s="41">
        <f>SUM(L94:L99)</f>
        <v>382066</v>
      </c>
      <c r="M100" s="41">
        <f t="shared" si="15"/>
        <v>1298399.72</v>
      </c>
    </row>
    <row r="102" spans="1:13" ht="12.75">
      <c r="A102" s="33" t="s">
        <v>109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 ht="12.75">
      <c r="A103" s="33"/>
      <c r="B103" s="51" t="s">
        <v>11</v>
      </c>
      <c r="C103" s="51" t="s">
        <v>11</v>
      </c>
      <c r="D103" s="51" t="s">
        <v>11</v>
      </c>
      <c r="E103" s="51" t="s">
        <v>11</v>
      </c>
      <c r="F103" s="51" t="s">
        <v>11</v>
      </c>
      <c r="G103" s="51" t="s">
        <v>11</v>
      </c>
      <c r="H103" s="51" t="s">
        <v>11</v>
      </c>
      <c r="I103" s="51" t="s">
        <v>11</v>
      </c>
      <c r="J103" s="51" t="s">
        <v>11</v>
      </c>
      <c r="K103" s="51" t="s">
        <v>11</v>
      </c>
      <c r="L103" s="51" t="s">
        <v>11</v>
      </c>
      <c r="M103" s="51" t="s">
        <v>11</v>
      </c>
    </row>
    <row r="104" spans="1:13" ht="12.75">
      <c r="A104" s="24" t="s">
        <v>91</v>
      </c>
      <c r="B104" s="30">
        <f>CORE!B24</f>
        <v>8</v>
      </c>
      <c r="C104" s="30">
        <f>CORE!C24</f>
        <v>1142</v>
      </c>
      <c r="D104" s="30">
        <f>CORE!D24</f>
        <v>1743</v>
      </c>
      <c r="E104" s="30">
        <f>CORE!E24</f>
        <v>2644</v>
      </c>
      <c r="F104" s="30">
        <f>CORE!F24</f>
        <v>7386</v>
      </c>
      <c r="G104" s="30">
        <f>CORE!G24</f>
        <v>18725</v>
      </c>
      <c r="H104" s="30">
        <f>CORE!H24</f>
        <v>20307</v>
      </c>
      <c r="I104" s="30">
        <f>CORE!I24</f>
        <v>14772</v>
      </c>
      <c r="J104" s="30">
        <f>CORE!J24</f>
        <v>12860</v>
      </c>
      <c r="K104" s="30">
        <f>CORE!K24</f>
        <v>15151</v>
      </c>
      <c r="L104" s="30">
        <f>CORE!L24</f>
        <v>5800</v>
      </c>
      <c r="M104" s="30">
        <f aca="true" t="shared" si="17" ref="M104:M110">SUM(B104:L104)</f>
        <v>100538</v>
      </c>
    </row>
    <row r="105" spans="1:13" ht="12.75">
      <c r="A105" s="24" t="s">
        <v>195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>
        <f t="shared" si="17"/>
        <v>0</v>
      </c>
    </row>
    <row r="106" spans="1:13" ht="12.75">
      <c r="A106" s="24" t="s">
        <v>271</v>
      </c>
      <c r="B106" s="30"/>
      <c r="C106" s="30"/>
      <c r="D106" s="30"/>
      <c r="E106" s="30"/>
      <c r="F106" s="30"/>
      <c r="G106" s="30"/>
      <c r="H106" s="30"/>
      <c r="I106" s="30"/>
      <c r="J106" s="30">
        <f>REIP!B22</f>
        <v>2149</v>
      </c>
      <c r="K106" s="30">
        <f>REIP!C22</f>
        <v>16127</v>
      </c>
      <c r="L106" s="30">
        <f>REIP!D22</f>
        <v>17842</v>
      </c>
      <c r="M106" s="30">
        <f t="shared" si="17"/>
        <v>36118</v>
      </c>
    </row>
    <row r="107" spans="1:13" ht="12.75">
      <c r="A107" s="20" t="s">
        <v>343</v>
      </c>
      <c r="B107" s="30"/>
      <c r="C107" s="30"/>
      <c r="D107" s="30"/>
      <c r="E107" s="30"/>
      <c r="F107" s="30"/>
      <c r="G107" s="30"/>
      <c r="H107" s="30"/>
      <c r="I107" s="30"/>
      <c r="J107" s="30">
        <f>'RE Grid Connected'!B22</f>
        <v>0</v>
      </c>
      <c r="K107" s="30">
        <f>'RE Grid Connected'!C22</f>
        <v>0</v>
      </c>
      <c r="L107" s="30">
        <f>'RE Grid Connected'!D22</f>
        <v>0</v>
      </c>
      <c r="M107" s="30">
        <f t="shared" si="17"/>
        <v>0</v>
      </c>
    </row>
    <row r="108" spans="1:13" ht="12.75">
      <c r="A108" s="24" t="s">
        <v>141</v>
      </c>
      <c r="B108" s="30">
        <v>0</v>
      </c>
      <c r="C108" s="30">
        <v>0</v>
      </c>
      <c r="D108" s="30">
        <v>0</v>
      </c>
      <c r="E108" s="30">
        <v>0</v>
      </c>
      <c r="F108" s="30">
        <f>'RE Grants and Financing'!F41</f>
        <v>1600</v>
      </c>
      <c r="G108" s="30">
        <f>'RE Grants and Financing'!G41</f>
        <v>0</v>
      </c>
      <c r="H108" s="30">
        <f>'RE Grants and Financing'!H41</f>
        <v>8600</v>
      </c>
      <c r="I108" s="30">
        <f>'RE Grants and Financing'!I41</f>
        <v>9600</v>
      </c>
      <c r="J108" s="30">
        <f>'RE Grants and Financing'!J41</f>
        <v>1500</v>
      </c>
      <c r="K108" s="30">
        <f>'RE Grants and Financing'!K41</f>
        <v>6200</v>
      </c>
      <c r="L108" s="30"/>
      <c r="M108" s="30">
        <f t="shared" si="17"/>
        <v>27500</v>
      </c>
    </row>
    <row r="109" spans="1:13" ht="12.75">
      <c r="A109" s="24" t="s">
        <v>212</v>
      </c>
      <c r="B109" s="30"/>
      <c r="C109" s="30"/>
      <c r="D109" s="30"/>
      <c r="E109" s="30"/>
      <c r="F109" s="30"/>
      <c r="G109" s="30"/>
      <c r="H109" s="30">
        <f>REC!B18</f>
        <v>13</v>
      </c>
      <c r="I109" s="30">
        <f>REC!C18</f>
        <v>8433</v>
      </c>
      <c r="J109" s="30">
        <f>REC!D18</f>
        <v>34269</v>
      </c>
      <c r="K109" s="30">
        <f>REC!E18</f>
        <v>145766</v>
      </c>
      <c r="L109" s="30">
        <f>REC!F18</f>
        <v>294745</v>
      </c>
      <c r="M109" s="30">
        <f t="shared" si="17"/>
        <v>483226</v>
      </c>
    </row>
    <row r="110" spans="1:14" ht="12.75">
      <c r="A110" s="14" t="s">
        <v>1</v>
      </c>
      <c r="B110" s="41">
        <f>SUM(B104:B109)</f>
        <v>8</v>
      </c>
      <c r="C110" s="41">
        <f aca="true" t="shared" si="18" ref="C110:H110">SUM(C104:C109)</f>
        <v>1142</v>
      </c>
      <c r="D110" s="41">
        <f t="shared" si="18"/>
        <v>1743</v>
      </c>
      <c r="E110" s="41">
        <f t="shared" si="18"/>
        <v>2644</v>
      </c>
      <c r="F110" s="41">
        <f t="shared" si="18"/>
        <v>8986</v>
      </c>
      <c r="G110" s="41">
        <f t="shared" si="18"/>
        <v>18725</v>
      </c>
      <c r="H110" s="41">
        <f t="shared" si="18"/>
        <v>28920</v>
      </c>
      <c r="I110" s="41">
        <f>SUM(I104:I109)</f>
        <v>32805</v>
      </c>
      <c r="J110" s="41">
        <f>SUM(J104:J109)</f>
        <v>50778</v>
      </c>
      <c r="K110" s="41">
        <f>SUM(K104:K109)</f>
        <v>183244</v>
      </c>
      <c r="L110" s="41">
        <f>SUM(L104:L109)</f>
        <v>318387</v>
      </c>
      <c r="M110" s="41">
        <f t="shared" si="17"/>
        <v>647382</v>
      </c>
      <c r="N110" s="25"/>
    </row>
    <row r="112" ht="15.75">
      <c r="A112" s="66" t="s">
        <v>143</v>
      </c>
    </row>
    <row r="113" spans="2:13" ht="12.75">
      <c r="B113" s="27">
        <v>2001</v>
      </c>
      <c r="C113" s="27">
        <v>2002</v>
      </c>
      <c r="D113" s="27">
        <v>2003</v>
      </c>
      <c r="E113" s="27">
        <v>2004</v>
      </c>
      <c r="F113" s="27">
        <v>2005</v>
      </c>
      <c r="G113" s="27">
        <v>2006</v>
      </c>
      <c r="H113" s="27">
        <v>2007</v>
      </c>
      <c r="I113" s="27">
        <v>2008</v>
      </c>
      <c r="J113" s="27">
        <v>2009</v>
      </c>
      <c r="K113" s="27">
        <v>2010</v>
      </c>
      <c r="L113" s="27">
        <v>2011</v>
      </c>
      <c r="M113" s="31"/>
    </row>
    <row r="114" spans="1:13" ht="12.75">
      <c r="A114" s="1" t="s">
        <v>104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31"/>
    </row>
    <row r="115" spans="2:13" ht="12.75">
      <c r="B115" s="28" t="s">
        <v>29</v>
      </c>
      <c r="C115" s="28" t="s">
        <v>29</v>
      </c>
      <c r="D115" s="28" t="s">
        <v>29</v>
      </c>
      <c r="E115" s="28" t="s">
        <v>29</v>
      </c>
      <c r="F115" s="28" t="s">
        <v>29</v>
      </c>
      <c r="G115" s="28" t="s">
        <v>29</v>
      </c>
      <c r="H115" s="28" t="s">
        <v>29</v>
      </c>
      <c r="I115" s="28" t="s">
        <v>29</v>
      </c>
      <c r="J115" s="28" t="s">
        <v>29</v>
      </c>
      <c r="K115" s="28" t="s">
        <v>29</v>
      </c>
      <c r="L115" s="28" t="s">
        <v>29</v>
      </c>
      <c r="M115" s="51"/>
    </row>
    <row r="116" spans="1:15" ht="12.75">
      <c r="A116" s="29" t="s">
        <v>82</v>
      </c>
      <c r="B116" s="30">
        <f>RNC!B33</f>
        <v>6574</v>
      </c>
      <c r="C116" s="30">
        <f>RNC!C33</f>
        <v>30773</v>
      </c>
      <c r="D116" s="30">
        <f>RNC!D33</f>
        <v>22039</v>
      </c>
      <c r="E116" s="30">
        <f>RNC!E33</f>
        <v>3954</v>
      </c>
      <c r="F116" s="30">
        <f>RNC!F33</f>
        <v>18261</v>
      </c>
      <c r="G116" s="30">
        <f>RNC!G33</f>
        <v>19356</v>
      </c>
      <c r="H116" s="30">
        <f>RNC!H33</f>
        <v>8253</v>
      </c>
      <c r="I116" s="30">
        <f>RNC!I33</f>
        <v>11187</v>
      </c>
      <c r="J116" s="30">
        <f>RNC!J33</f>
        <v>4608</v>
      </c>
      <c r="K116" s="30">
        <f>RNC!K33</f>
        <v>3884</v>
      </c>
      <c r="L116" s="30">
        <f>RNC!L33</f>
        <v>2082</v>
      </c>
      <c r="M116" s="40"/>
      <c r="O116" t="s">
        <v>103</v>
      </c>
    </row>
    <row r="117" spans="1:13" ht="12.75">
      <c r="A117" s="29" t="s">
        <v>89</v>
      </c>
      <c r="B117" s="30">
        <f>'C&amp;I'!B82</f>
        <v>62505</v>
      </c>
      <c r="C117" s="30">
        <f>'C&amp;I'!C82</f>
        <v>51226</v>
      </c>
      <c r="D117" s="30">
        <f>'C&amp;I'!D82</f>
        <v>162510</v>
      </c>
      <c r="E117" s="30">
        <f>'C&amp;I'!E82</f>
        <v>112183</v>
      </c>
      <c r="F117" s="30">
        <f>'C&amp;I'!F82</f>
        <v>96090</v>
      </c>
      <c r="G117" s="30">
        <f>'C&amp;I'!G82</f>
        <v>45739</v>
      </c>
      <c r="H117" s="30">
        <f>'C&amp;I'!H82</f>
        <v>171585</v>
      </c>
      <c r="I117" s="30">
        <f>'C&amp;I'!I82</f>
        <v>59275</v>
      </c>
      <c r="J117" s="30">
        <f>'C&amp;I'!J82</f>
        <v>122090</v>
      </c>
      <c r="K117" s="30">
        <f>'C&amp;I'!K82</f>
        <v>98440</v>
      </c>
      <c r="L117" s="30">
        <f>'C&amp;I'!L82</f>
        <v>143696</v>
      </c>
      <c r="M117" s="40"/>
    </row>
    <row r="118" spans="1:13" ht="12.75">
      <c r="A118" s="21" t="s">
        <v>321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>
        <f>'P4P '!D40</f>
        <v>0</v>
      </c>
      <c r="L118" s="30">
        <f>'P4P '!E40</f>
        <v>50830</v>
      </c>
      <c r="M118" s="40"/>
    </row>
    <row r="119" spans="1:13" ht="12.75">
      <c r="A119" s="21" t="s">
        <v>322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>
        <f>'P4P NC'!B40</f>
        <v>0</v>
      </c>
      <c r="L119" s="30">
        <f>'P4P NC'!C40</f>
        <v>6352</v>
      </c>
      <c r="M119" s="40"/>
    </row>
    <row r="120" spans="1:13" ht="12.75">
      <c r="A120" s="21" t="s">
        <v>246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>
        <f>'Direct Install'!D37</f>
        <v>15949</v>
      </c>
      <c r="L120" s="30">
        <f>'Direct Install'!E37</f>
        <v>27009</v>
      </c>
      <c r="M120" s="40"/>
    </row>
    <row r="121" spans="1:13" ht="12.75">
      <c r="A121" s="32" t="s">
        <v>107</v>
      </c>
      <c r="B121" s="41">
        <f>SUM(B116:B120)</f>
        <v>69079</v>
      </c>
      <c r="C121" s="41">
        <f aca="true" t="shared" si="19" ref="C121:K121">SUM(C116:C120)</f>
        <v>81999</v>
      </c>
      <c r="D121" s="41">
        <f t="shared" si="19"/>
        <v>184549</v>
      </c>
      <c r="E121" s="41">
        <f t="shared" si="19"/>
        <v>116137</v>
      </c>
      <c r="F121" s="41">
        <f t="shared" si="19"/>
        <v>114351</v>
      </c>
      <c r="G121" s="41">
        <f t="shared" si="19"/>
        <v>65095</v>
      </c>
      <c r="H121" s="41">
        <f t="shared" si="19"/>
        <v>179838</v>
      </c>
      <c r="I121" s="41">
        <f t="shared" si="19"/>
        <v>70462</v>
      </c>
      <c r="J121" s="41">
        <f t="shared" si="19"/>
        <v>126698</v>
      </c>
      <c r="K121" s="41">
        <f t="shared" si="19"/>
        <v>118273</v>
      </c>
      <c r="L121" s="41">
        <f>SUM(L116:L120)</f>
        <v>229969</v>
      </c>
      <c r="M121" s="40"/>
    </row>
    <row r="122" spans="1:13" ht="12.75">
      <c r="A122" s="39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1:14" ht="12.75">
      <c r="A123" s="33"/>
      <c r="B123" s="50" t="s">
        <v>162</v>
      </c>
      <c r="C123" s="50" t="s">
        <v>162</v>
      </c>
      <c r="D123" s="50" t="s">
        <v>162</v>
      </c>
      <c r="E123" s="50" t="s">
        <v>162</v>
      </c>
      <c r="F123" s="50" t="s">
        <v>162</v>
      </c>
      <c r="G123" s="50" t="s">
        <v>162</v>
      </c>
      <c r="H123" s="28" t="s">
        <v>13</v>
      </c>
      <c r="I123" s="28" t="s">
        <v>13</v>
      </c>
      <c r="J123" s="28" t="s">
        <v>13</v>
      </c>
      <c r="K123" s="28" t="s">
        <v>13</v>
      </c>
      <c r="L123" s="28" t="s">
        <v>13</v>
      </c>
      <c r="M123" s="50"/>
      <c r="N123" s="26"/>
    </row>
    <row r="124" spans="1:14" ht="12.75">
      <c r="A124" s="29" t="s">
        <v>82</v>
      </c>
      <c r="B124" s="19">
        <f>RNC!B40</f>
        <v>100752</v>
      </c>
      <c r="C124" s="19">
        <f>RNC!C40</f>
        <v>616850</v>
      </c>
      <c r="D124" s="19">
        <f>RNC!D40</f>
        <v>606325</v>
      </c>
      <c r="E124" s="19">
        <f>RNC!E40</f>
        <v>130804</v>
      </c>
      <c r="F124" s="19">
        <f>RNC!F40</f>
        <v>550445</v>
      </c>
      <c r="G124" s="19">
        <f>RNC!G40</f>
        <v>631039</v>
      </c>
      <c r="H124" s="19">
        <f>RNC!H40</f>
        <v>155595</v>
      </c>
      <c r="I124" s="19">
        <f>RNC!I40</f>
        <v>312728</v>
      </c>
      <c r="J124" s="19">
        <f>RNC!J40</f>
        <v>241849</v>
      </c>
      <c r="K124" s="19">
        <f>RNC!K40</f>
        <v>190865</v>
      </c>
      <c r="L124" s="19">
        <f>RNC!L40</f>
        <v>74876</v>
      </c>
      <c r="M124" s="74"/>
      <c r="N124" s="26"/>
    </row>
    <row r="125" spans="1:14" ht="12.75">
      <c r="A125" s="29" t="s">
        <v>89</v>
      </c>
      <c r="B125" s="19">
        <f>'C&amp;I'!B100</f>
        <v>0</v>
      </c>
      <c r="C125" s="19">
        <f>'C&amp;I'!C100</f>
        <v>31802</v>
      </c>
      <c r="D125" s="19">
        <f>'C&amp;I'!D100</f>
        <v>27617</v>
      </c>
      <c r="E125" s="19">
        <f>'C&amp;I'!E100</f>
        <v>153518</v>
      </c>
      <c r="F125" s="19">
        <f>'C&amp;I'!F100</f>
        <v>167450</v>
      </c>
      <c r="G125" s="19">
        <f>'C&amp;I'!G100</f>
        <v>58760</v>
      </c>
      <c r="H125" s="19">
        <f>'C&amp;I'!H100</f>
        <v>57759</v>
      </c>
      <c r="I125" s="19">
        <f>'C&amp;I'!I100</f>
        <v>218136</v>
      </c>
      <c r="J125" s="19">
        <f>'C&amp;I'!J100</f>
        <v>266738</v>
      </c>
      <c r="K125" s="19">
        <f>'C&amp;I'!K100</f>
        <v>83168</v>
      </c>
      <c r="L125" s="19">
        <f>'C&amp;I'!L100</f>
        <v>256360</v>
      </c>
      <c r="M125" s="74"/>
      <c r="N125" s="26"/>
    </row>
    <row r="126" spans="1:14" ht="12.75">
      <c r="A126" s="21" t="s">
        <v>321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>
        <f>'P4P '!D50</f>
        <v>105152</v>
      </c>
      <c r="L126" s="19">
        <f>'P4P '!E50</f>
        <v>270852</v>
      </c>
      <c r="M126" s="74"/>
      <c r="N126" s="26"/>
    </row>
    <row r="127" spans="1:14" ht="12.75">
      <c r="A127" s="21" t="s">
        <v>322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>
        <f>'P4P NC'!B50</f>
        <v>0</v>
      </c>
      <c r="L127" s="19">
        <f>'P4P NC'!C50</f>
        <v>7716</v>
      </c>
      <c r="M127" s="74"/>
      <c r="N127" s="26"/>
    </row>
    <row r="128" spans="1:14" ht="12.75">
      <c r="A128" s="21" t="s">
        <v>246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>
        <f>'Direct Install'!D47</f>
        <v>5011</v>
      </c>
      <c r="L128" s="19">
        <f>'Direct Install'!E47</f>
        <v>59801</v>
      </c>
      <c r="M128" s="74"/>
      <c r="N128" s="26"/>
    </row>
    <row r="129" spans="1:14" ht="12.75">
      <c r="A129" s="120" t="s">
        <v>216</v>
      </c>
      <c r="B129" s="19"/>
      <c r="C129" s="19"/>
      <c r="D129" s="19"/>
      <c r="E129" s="19"/>
      <c r="F129" s="19"/>
      <c r="G129" s="19"/>
      <c r="H129" s="19">
        <f>CHP!H41</f>
        <v>603845</v>
      </c>
      <c r="I129" s="19">
        <f>CHP!I41</f>
        <v>1254210</v>
      </c>
      <c r="J129" s="19">
        <f>CHP!J41</f>
        <v>962446</v>
      </c>
      <c r="K129" s="19">
        <f>CHP!K41</f>
        <v>235419</v>
      </c>
      <c r="L129" s="19">
        <f>CHP!L41</f>
        <v>5202</v>
      </c>
      <c r="M129" s="74"/>
      <c r="N129" s="26"/>
    </row>
    <row r="130" spans="1:14" ht="12.75">
      <c r="A130" s="32" t="s">
        <v>231</v>
      </c>
      <c r="B130" s="42">
        <f>SUM(B124:B129)</f>
        <v>100752</v>
      </c>
      <c r="C130" s="42">
        <f aca="true" t="shared" si="20" ref="C130:I130">SUM(C124:C129)</f>
        <v>648652</v>
      </c>
      <c r="D130" s="42">
        <f t="shared" si="20"/>
        <v>633942</v>
      </c>
      <c r="E130" s="42">
        <f t="shared" si="20"/>
        <v>284322</v>
      </c>
      <c r="F130" s="42">
        <f t="shared" si="20"/>
        <v>717895</v>
      </c>
      <c r="G130" s="42">
        <f t="shared" si="20"/>
        <v>689799</v>
      </c>
      <c r="H130" s="42">
        <f t="shared" si="20"/>
        <v>817199</v>
      </c>
      <c r="I130" s="42">
        <f t="shared" si="20"/>
        <v>1785074</v>
      </c>
      <c r="J130" s="42">
        <f>SUM(J124:J129)</f>
        <v>1471033</v>
      </c>
      <c r="K130" s="42">
        <f>SUM(K124:K129)</f>
        <v>619615</v>
      </c>
      <c r="L130" s="42">
        <f>SUM(L124:L129)</f>
        <v>674807</v>
      </c>
      <c r="M130" s="74"/>
      <c r="N130" s="74"/>
    </row>
    <row r="131" spans="1:14" ht="12.75">
      <c r="A131" s="39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26"/>
    </row>
    <row r="132" spans="1:14" ht="12.75">
      <c r="A132" s="39"/>
      <c r="B132" s="51" t="s">
        <v>11</v>
      </c>
      <c r="C132" s="51" t="s">
        <v>11</v>
      </c>
      <c r="D132" s="51" t="s">
        <v>11</v>
      </c>
      <c r="E132" s="51" t="s">
        <v>11</v>
      </c>
      <c r="F132" s="51" t="s">
        <v>11</v>
      </c>
      <c r="G132" s="51" t="s">
        <v>11</v>
      </c>
      <c r="H132" s="51" t="s">
        <v>11</v>
      </c>
      <c r="I132" s="51" t="s">
        <v>11</v>
      </c>
      <c r="J132" s="51" t="s">
        <v>11</v>
      </c>
      <c r="K132" s="51" t="s">
        <v>11</v>
      </c>
      <c r="L132" s="51" t="s">
        <v>11</v>
      </c>
      <c r="M132" s="74"/>
      <c r="N132" s="26"/>
    </row>
    <row r="133" spans="1:14" ht="12.75">
      <c r="A133" s="29" t="s">
        <v>82</v>
      </c>
      <c r="B133" s="19">
        <f>RNC!B37</f>
        <v>6547</v>
      </c>
      <c r="C133" s="19">
        <f>RNC!C37</f>
        <v>31455</v>
      </c>
      <c r="D133" s="19">
        <f>RNC!D37</f>
        <v>39030</v>
      </c>
      <c r="E133" s="19">
        <f>RNC!E37</f>
        <v>10985</v>
      </c>
      <c r="F133" s="19">
        <f>RNC!F37</f>
        <v>42551</v>
      </c>
      <c r="G133" s="19">
        <f>RNC!G37</f>
        <v>54027</v>
      </c>
      <c r="H133" s="19">
        <f>RNC!H37</f>
        <v>18869</v>
      </c>
      <c r="I133" s="19">
        <f>RNC!I37</f>
        <v>24815</v>
      </c>
      <c r="J133" s="19">
        <f>RNC!J37</f>
        <v>10221</v>
      </c>
      <c r="K133" s="19">
        <f>RNC!K37</f>
        <v>8616</v>
      </c>
      <c r="L133" s="19">
        <f>RNC!L37</f>
        <v>4619</v>
      </c>
      <c r="M133" s="74"/>
      <c r="N133" s="26"/>
    </row>
    <row r="134" spans="1:14" ht="12.75">
      <c r="A134" s="29" t="s">
        <v>89</v>
      </c>
      <c r="B134" s="19">
        <f>'C&amp;I'!B88</f>
        <v>0</v>
      </c>
      <c r="C134" s="19">
        <f>'C&amp;I'!C88</f>
        <v>0</v>
      </c>
      <c r="D134" s="19">
        <f>'C&amp;I'!D88</f>
        <v>0</v>
      </c>
      <c r="E134" s="19">
        <f>'C&amp;I'!E88</f>
        <v>0</v>
      </c>
      <c r="F134" s="19">
        <f>'C&amp;I'!F88</f>
        <v>22225</v>
      </c>
      <c r="G134" s="19">
        <f>'C&amp;I'!G88</f>
        <v>10038</v>
      </c>
      <c r="H134" s="19">
        <f>'C&amp;I'!H88</f>
        <v>24173</v>
      </c>
      <c r="I134" s="19">
        <f>'C&amp;I'!I88</f>
        <v>18996</v>
      </c>
      <c r="J134" s="19">
        <f>'C&amp;I'!J88</f>
        <v>25536</v>
      </c>
      <c r="K134" s="19">
        <f>'C&amp;I'!K88</f>
        <v>19714</v>
      </c>
      <c r="L134" s="19">
        <f>'C&amp;I'!L88</f>
        <v>121819</v>
      </c>
      <c r="M134" s="74"/>
      <c r="N134" s="26"/>
    </row>
    <row r="135" spans="1:14" ht="12.75">
      <c r="A135" s="21" t="s">
        <v>321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>
        <f>'P4P '!E46</f>
        <v>10469</v>
      </c>
      <c r="M135" s="122"/>
      <c r="N135" s="26"/>
    </row>
    <row r="136" spans="1:14" ht="12.75">
      <c r="A136" s="21" t="s">
        <v>322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>
        <f>'P4P NC'!C46</f>
        <v>1288</v>
      </c>
      <c r="M136" s="122"/>
      <c r="N136" s="26"/>
    </row>
    <row r="137" spans="1:14" ht="12.75">
      <c r="A137" s="21" t="s">
        <v>246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>
        <f>'Direct Install'!D43</f>
        <v>3753</v>
      </c>
      <c r="L137" s="80">
        <f>'Direct Install'!E43</f>
        <v>6497</v>
      </c>
      <c r="M137" s="122"/>
      <c r="N137" s="26"/>
    </row>
    <row r="138" spans="1:14" ht="12.75">
      <c r="A138" s="32" t="s">
        <v>389</v>
      </c>
      <c r="B138" s="209">
        <f>SUM(B133:B137)</f>
        <v>6547</v>
      </c>
      <c r="C138" s="209">
        <f aca="true" t="shared" si="21" ref="C138:K138">SUM(C133:C137)</f>
        <v>31455</v>
      </c>
      <c r="D138" s="209">
        <f t="shared" si="21"/>
        <v>39030</v>
      </c>
      <c r="E138" s="209">
        <f t="shared" si="21"/>
        <v>10985</v>
      </c>
      <c r="F138" s="209">
        <f t="shared" si="21"/>
        <v>64776</v>
      </c>
      <c r="G138" s="209">
        <f t="shared" si="21"/>
        <v>64065</v>
      </c>
      <c r="H138" s="209">
        <f t="shared" si="21"/>
        <v>43042</v>
      </c>
      <c r="I138" s="209">
        <f t="shared" si="21"/>
        <v>43811</v>
      </c>
      <c r="J138" s="209">
        <f t="shared" si="21"/>
        <v>35757</v>
      </c>
      <c r="K138" s="209">
        <f t="shared" si="21"/>
        <v>32083</v>
      </c>
      <c r="L138" s="209">
        <f>SUM(L133:L137)</f>
        <v>144692</v>
      </c>
      <c r="M138" s="122"/>
      <c r="N138" s="26"/>
    </row>
    <row r="139" spans="1:14" ht="12.75">
      <c r="A139" s="26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26"/>
    </row>
    <row r="140" spans="1:14" ht="12.75">
      <c r="A140" s="5" t="s">
        <v>217</v>
      </c>
      <c r="B140" s="28" t="s">
        <v>29</v>
      </c>
      <c r="C140" s="28" t="s">
        <v>29</v>
      </c>
      <c r="D140" s="28" t="s">
        <v>29</v>
      </c>
      <c r="E140" s="28" t="s">
        <v>29</v>
      </c>
      <c r="F140" s="28" t="s">
        <v>29</v>
      </c>
      <c r="G140" s="28" t="s">
        <v>29</v>
      </c>
      <c r="H140" s="28" t="s">
        <v>29</v>
      </c>
      <c r="I140" s="28" t="s">
        <v>29</v>
      </c>
      <c r="J140" s="28" t="s">
        <v>29</v>
      </c>
      <c r="K140" s="28" t="s">
        <v>29</v>
      </c>
      <c r="L140" s="28" t="s">
        <v>29</v>
      </c>
      <c r="M140" s="26"/>
      <c r="N140" s="26"/>
    </row>
    <row r="141" spans="1:14" ht="12.75">
      <c r="A141" s="24" t="s">
        <v>150</v>
      </c>
      <c r="B141" s="24"/>
      <c r="C141" s="24"/>
      <c r="D141" s="24"/>
      <c r="E141" s="24"/>
      <c r="F141" s="19"/>
      <c r="G141" s="19">
        <f>CHP!G59</f>
        <v>729628</v>
      </c>
      <c r="H141" s="19">
        <f>CHP!H59</f>
        <v>105252</v>
      </c>
      <c r="I141" s="19">
        <f>CHP!I59</f>
        <v>90800</v>
      </c>
      <c r="J141" s="19">
        <f>CHP!J59</f>
        <v>123895</v>
      </c>
      <c r="K141" s="19">
        <f>CHP!K59</f>
        <v>41718</v>
      </c>
      <c r="L141" s="19">
        <f>CHP!L59</f>
        <v>2455</v>
      </c>
      <c r="M141" s="26"/>
      <c r="N141" s="26"/>
    </row>
    <row r="142" spans="1:14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12.75">
      <c r="A143" s="33" t="s">
        <v>218</v>
      </c>
      <c r="B143" s="51" t="s">
        <v>11</v>
      </c>
      <c r="C143" s="51" t="s">
        <v>11</v>
      </c>
      <c r="D143" s="51" t="s">
        <v>11</v>
      </c>
      <c r="E143" s="51" t="s">
        <v>11</v>
      </c>
      <c r="F143" s="51" t="s">
        <v>11</v>
      </c>
      <c r="G143" s="51" t="s">
        <v>11</v>
      </c>
      <c r="H143" s="51" t="s">
        <v>11</v>
      </c>
      <c r="I143" s="51" t="s">
        <v>11</v>
      </c>
      <c r="J143" s="51" t="s">
        <v>11</v>
      </c>
      <c r="K143" s="51" t="s">
        <v>11</v>
      </c>
      <c r="L143" s="51" t="s">
        <v>11</v>
      </c>
      <c r="M143" s="26"/>
      <c r="N143" s="26"/>
    </row>
    <row r="144" spans="1:14" ht="12.75">
      <c r="A144" s="24" t="s">
        <v>150</v>
      </c>
      <c r="B144" s="30"/>
      <c r="C144" s="30"/>
      <c r="D144" s="30"/>
      <c r="E144" s="30"/>
      <c r="F144" s="30">
        <f>CHP!F65</f>
        <v>2668</v>
      </c>
      <c r="G144" s="30">
        <f>CHP!G65</f>
        <v>0</v>
      </c>
      <c r="H144" s="30">
        <f>CHP!H65</f>
        <v>13685</v>
      </c>
      <c r="I144" s="30">
        <f>CHP!I65</f>
        <v>11365</v>
      </c>
      <c r="J144" s="30">
        <f>CHP!J65</f>
        <v>16367</v>
      </c>
      <c r="K144" s="30">
        <f>CHP!K65</f>
        <v>5970</v>
      </c>
      <c r="L144" s="30">
        <f>CHP!L65</f>
        <v>300</v>
      </c>
      <c r="M144" s="26"/>
      <c r="N144" s="26"/>
    </row>
    <row r="145" spans="1:14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3" ht="12.75">
      <c r="A146" s="5" t="s">
        <v>163</v>
      </c>
      <c r="B146" s="28" t="s">
        <v>29</v>
      </c>
      <c r="C146" s="28" t="s">
        <v>29</v>
      </c>
      <c r="D146" s="28" t="s">
        <v>29</v>
      </c>
      <c r="E146" s="28" t="s">
        <v>29</v>
      </c>
      <c r="F146" s="28" t="s">
        <v>29</v>
      </c>
      <c r="G146" s="28" t="s">
        <v>29</v>
      </c>
      <c r="H146" s="28" t="s">
        <v>29</v>
      </c>
      <c r="I146" s="28" t="s">
        <v>29</v>
      </c>
      <c r="J146" s="28" t="s">
        <v>29</v>
      </c>
      <c r="K146" s="28" t="s">
        <v>29</v>
      </c>
      <c r="L146" s="28" t="s">
        <v>29</v>
      </c>
      <c r="M146" s="51"/>
    </row>
    <row r="147" spans="1:13" ht="12.75">
      <c r="A147" s="24" t="s">
        <v>91</v>
      </c>
      <c r="B147" s="24"/>
      <c r="C147" s="24"/>
      <c r="D147" s="24"/>
      <c r="E147" s="24"/>
      <c r="F147" s="19">
        <f>CORE!F32</f>
        <v>83601</v>
      </c>
      <c r="G147" s="19">
        <f>CORE!G32</f>
        <v>35316</v>
      </c>
      <c r="H147" s="19">
        <f>CORE!H32</f>
        <v>25757</v>
      </c>
      <c r="I147" s="19">
        <f>CORE!I32</f>
        <v>64262</v>
      </c>
      <c r="J147" s="19">
        <f>CORE!J32</f>
        <v>48452</v>
      </c>
      <c r="K147" s="19">
        <f>CORE!K32</f>
        <v>16435</v>
      </c>
      <c r="L147" s="19">
        <f>CORE!L32</f>
        <v>5239</v>
      </c>
      <c r="M147" s="26"/>
    </row>
    <row r="148" spans="1:13" ht="12.75">
      <c r="A148" s="24" t="s">
        <v>271</v>
      </c>
      <c r="B148" s="24"/>
      <c r="C148" s="24"/>
      <c r="D148" s="24"/>
      <c r="E148" s="24"/>
      <c r="F148" s="19"/>
      <c r="G148" s="19"/>
      <c r="H148" s="19"/>
      <c r="I148" s="19"/>
      <c r="J148" s="19">
        <f>REIP!B30</f>
        <v>25440</v>
      </c>
      <c r="K148" s="19">
        <f>REIP!C30</f>
        <v>33278</v>
      </c>
      <c r="L148" s="19">
        <f>REIP!D30</f>
        <v>7043</v>
      </c>
      <c r="M148" s="26"/>
    </row>
    <row r="149" spans="1:13" ht="12.75">
      <c r="A149" s="24" t="s">
        <v>212</v>
      </c>
      <c r="B149" s="24"/>
      <c r="C149" s="24"/>
      <c r="D149" s="24"/>
      <c r="E149" s="24"/>
      <c r="F149" s="19"/>
      <c r="G149" s="19"/>
      <c r="H149" s="19"/>
      <c r="I149" s="19"/>
      <c r="J149" s="19">
        <f>REC!D22</f>
        <v>65002</v>
      </c>
      <c r="K149" s="19">
        <f>REC!E22</f>
        <v>212449</v>
      </c>
      <c r="L149" s="19">
        <f>REC!F22</f>
        <v>694020</v>
      </c>
      <c r="M149" s="26"/>
    </row>
    <row r="150" spans="1:13" ht="12.75">
      <c r="A150" s="24" t="s">
        <v>272</v>
      </c>
      <c r="B150" s="24"/>
      <c r="C150" s="24"/>
      <c r="D150" s="24"/>
      <c r="E150" s="24"/>
      <c r="F150" s="19"/>
      <c r="G150" s="19"/>
      <c r="H150" s="19"/>
      <c r="I150" s="19"/>
      <c r="J150" s="19">
        <v>0</v>
      </c>
      <c r="K150" s="19">
        <v>0</v>
      </c>
      <c r="L150" s="19">
        <v>0</v>
      </c>
      <c r="M150" s="26"/>
    </row>
    <row r="151" spans="1:13" ht="12.75">
      <c r="A151" s="20" t="s">
        <v>343</v>
      </c>
      <c r="B151" s="24"/>
      <c r="C151" s="24"/>
      <c r="D151" s="24"/>
      <c r="E151" s="24"/>
      <c r="F151" s="19"/>
      <c r="G151" s="19"/>
      <c r="H151" s="19"/>
      <c r="I151" s="19"/>
      <c r="J151" s="19">
        <f>'RE Grid Connected'!B27</f>
        <v>0</v>
      </c>
      <c r="K151" s="19">
        <f>'RE Grid Connected'!C27</f>
        <v>34156</v>
      </c>
      <c r="L151" s="19">
        <f>'RE Grid Connected'!D27</f>
        <v>23926</v>
      </c>
      <c r="M151" s="26"/>
    </row>
    <row r="152" spans="1:13" ht="12.75">
      <c r="A152" s="24" t="s">
        <v>141</v>
      </c>
      <c r="B152" s="24"/>
      <c r="C152" s="24"/>
      <c r="D152" s="24"/>
      <c r="E152" s="24"/>
      <c r="F152" s="19">
        <f>'RE Grants and Financing'!F29</f>
        <v>12516</v>
      </c>
      <c r="G152" s="19">
        <f>'RE Grants and Financing'!G45</f>
        <v>39593</v>
      </c>
      <c r="H152" s="19">
        <f>'RE Grants and Financing'!H45</f>
        <v>54712</v>
      </c>
      <c r="I152" s="19">
        <f>'RE Grants and Financing'!I45</f>
        <v>8712</v>
      </c>
      <c r="J152" s="19">
        <v>0</v>
      </c>
      <c r="K152" s="19">
        <v>0</v>
      </c>
      <c r="L152" s="19">
        <v>0</v>
      </c>
      <c r="M152" s="26"/>
    </row>
    <row r="153" spans="1:13" ht="12.75">
      <c r="A153" s="14" t="s">
        <v>1</v>
      </c>
      <c r="B153" s="24"/>
      <c r="C153" s="24"/>
      <c r="D153" s="24"/>
      <c r="E153" s="24"/>
      <c r="F153" s="19">
        <f aca="true" t="shared" si="22" ref="F153:K153">SUM(F147:F152)</f>
        <v>96117</v>
      </c>
      <c r="G153" s="19">
        <f t="shared" si="22"/>
        <v>74909</v>
      </c>
      <c r="H153" s="19">
        <f t="shared" si="22"/>
        <v>80469</v>
      </c>
      <c r="I153" s="19">
        <f t="shared" si="22"/>
        <v>72974</v>
      </c>
      <c r="J153" s="19">
        <f t="shared" si="22"/>
        <v>138894</v>
      </c>
      <c r="K153" s="19">
        <f t="shared" si="22"/>
        <v>296318</v>
      </c>
      <c r="L153" s="19">
        <f>SUM(L147:L152)</f>
        <v>730228</v>
      </c>
      <c r="M153" s="26"/>
    </row>
    <row r="154" ht="12.75">
      <c r="M154" s="26"/>
    </row>
    <row r="155" spans="1:13" ht="12.75">
      <c r="A155" s="33" t="s">
        <v>109</v>
      </c>
      <c r="B155" s="51" t="s">
        <v>11</v>
      </c>
      <c r="C155" s="51" t="s">
        <v>11</v>
      </c>
      <c r="D155" s="51" t="s">
        <v>11</v>
      </c>
      <c r="E155" s="51" t="s">
        <v>11</v>
      </c>
      <c r="F155" s="51" t="s">
        <v>11</v>
      </c>
      <c r="G155" s="51" t="s">
        <v>11</v>
      </c>
      <c r="H155" s="51" t="s">
        <v>11</v>
      </c>
      <c r="I155" s="51" t="s">
        <v>11</v>
      </c>
      <c r="J155" s="51" t="s">
        <v>11</v>
      </c>
      <c r="K155" s="51" t="s">
        <v>11</v>
      </c>
      <c r="L155" s="51" t="s">
        <v>11</v>
      </c>
      <c r="M155" s="51"/>
    </row>
    <row r="156" spans="1:13" ht="12.75">
      <c r="A156" s="24" t="s">
        <v>91</v>
      </c>
      <c r="B156" s="30"/>
      <c r="C156" s="30"/>
      <c r="D156" s="30"/>
      <c r="E156" s="30"/>
      <c r="F156" s="30">
        <f>CORE!F36</f>
        <v>38148</v>
      </c>
      <c r="G156" s="30">
        <f>CORE!G36</f>
        <v>29430</v>
      </c>
      <c r="H156" s="30">
        <f>CORE!H36</f>
        <v>21464</v>
      </c>
      <c r="I156" s="30">
        <f>CORE!I36</f>
        <v>53552</v>
      </c>
      <c r="J156" s="30">
        <f>CORE!J36</f>
        <v>40376</v>
      </c>
      <c r="K156" s="30">
        <f>CORE!K36</f>
        <v>13696</v>
      </c>
      <c r="L156" s="30">
        <f>CORE!L36</f>
        <v>4366</v>
      </c>
      <c r="M156" s="40"/>
    </row>
    <row r="157" spans="1:13" ht="12.75">
      <c r="A157" s="24" t="s">
        <v>271</v>
      </c>
      <c r="B157" s="30"/>
      <c r="C157" s="30"/>
      <c r="D157" s="30"/>
      <c r="E157" s="30"/>
      <c r="F157" s="30"/>
      <c r="G157" s="30"/>
      <c r="H157" s="30"/>
      <c r="I157" s="30"/>
      <c r="J157" s="19">
        <f>REIP!B34</f>
        <v>21200</v>
      </c>
      <c r="K157" s="19">
        <f>REIP!C34</f>
        <v>27731</v>
      </c>
      <c r="L157" s="19">
        <f>REIP!D34</f>
        <v>5869</v>
      </c>
      <c r="M157" s="40"/>
    </row>
    <row r="158" spans="1:13" ht="12.75">
      <c r="A158" s="24" t="s">
        <v>212</v>
      </c>
      <c r="B158" s="30"/>
      <c r="C158" s="30"/>
      <c r="D158" s="30"/>
      <c r="E158" s="30"/>
      <c r="F158" s="30"/>
      <c r="G158" s="30"/>
      <c r="H158" s="30"/>
      <c r="I158" s="30"/>
      <c r="J158" s="30">
        <f>REC!D26</f>
        <v>54168</v>
      </c>
      <c r="K158" s="30">
        <f>REC!E26</f>
        <v>177040</v>
      </c>
      <c r="L158" s="30">
        <f>REC!F26</f>
        <v>578350</v>
      </c>
      <c r="M158" s="40"/>
    </row>
    <row r="159" spans="1:13" ht="12.75">
      <c r="A159" s="20" t="s">
        <v>343</v>
      </c>
      <c r="B159" s="30"/>
      <c r="C159" s="30"/>
      <c r="D159" s="30"/>
      <c r="E159" s="30"/>
      <c r="F159" s="30"/>
      <c r="G159" s="30"/>
      <c r="H159" s="30"/>
      <c r="I159" s="30"/>
      <c r="J159" s="30">
        <f>'RE Grid Connected'!B31</f>
        <v>0</v>
      </c>
      <c r="K159" s="30">
        <f>'RE Grid Connected'!C31</f>
        <v>8000</v>
      </c>
      <c r="L159" s="30">
        <f>'RE Grid Connected'!D31</f>
        <v>6500</v>
      </c>
      <c r="M159" s="40"/>
    </row>
    <row r="160" spans="1:13" ht="12.75">
      <c r="A160" s="24" t="s">
        <v>141</v>
      </c>
      <c r="B160" s="30"/>
      <c r="C160" s="30"/>
      <c r="D160" s="30"/>
      <c r="E160" s="30"/>
      <c r="F160" s="30">
        <f>'RE Grants and Financing'!F41</f>
        <v>1600</v>
      </c>
      <c r="G160" s="30">
        <f>'RE Grants and Financing'!G48</f>
        <v>6150</v>
      </c>
      <c r="H160" s="30">
        <f>'RE Grants and Financing'!H48</f>
        <v>7700</v>
      </c>
      <c r="I160" s="30">
        <f>'RE Grants and Financing'!I48</f>
        <v>1500</v>
      </c>
      <c r="J160" s="30">
        <f>'RE Grants and Financing'!J48</f>
        <v>0</v>
      </c>
      <c r="K160" s="30">
        <f>'RE Grants and Financing'!K48</f>
        <v>0</v>
      </c>
      <c r="L160" s="30">
        <f>'RE Grants and Financing'!L48</f>
        <v>0</v>
      </c>
      <c r="M160" s="40"/>
    </row>
    <row r="161" spans="1:13" ht="12.75">
      <c r="A161" s="14" t="s">
        <v>1</v>
      </c>
      <c r="B161" s="30"/>
      <c r="C161" s="30"/>
      <c r="D161" s="30"/>
      <c r="E161" s="30"/>
      <c r="F161" s="30">
        <f aca="true" t="shared" si="23" ref="F161:K161">SUM(F156:F160)</f>
        <v>39748</v>
      </c>
      <c r="G161" s="30">
        <f t="shared" si="23"/>
        <v>35580</v>
      </c>
      <c r="H161" s="30">
        <f t="shared" si="23"/>
        <v>29164</v>
      </c>
      <c r="I161" s="30">
        <f t="shared" si="23"/>
        <v>55052</v>
      </c>
      <c r="J161" s="30">
        <f t="shared" si="23"/>
        <v>115744</v>
      </c>
      <c r="K161" s="30">
        <f t="shared" si="23"/>
        <v>226467</v>
      </c>
      <c r="L161" s="30">
        <f>SUM(L156:L160)</f>
        <v>595085</v>
      </c>
      <c r="M161" s="40"/>
    </row>
  </sheetData>
  <sheetProtection/>
  <printOptions/>
  <pageMargins left="0.75" right="0.75" top="1" bottom="1" header="0.5" footer="0.5"/>
  <pageSetup horizontalDpi="600" verticalDpi="600" orientation="landscape" scale="66" r:id="rId1"/>
  <rowBreaks count="2" manualBreakCount="2">
    <brk id="57" max="11" man="1"/>
    <brk id="11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99"/>
  <sheetViews>
    <sheetView zoomScaleSheetLayoutView="100" zoomScalePageLayoutView="0" workbookViewId="0" topLeftCell="A1">
      <selection activeCell="M65" sqref="M65"/>
    </sheetView>
  </sheetViews>
  <sheetFormatPr defaultColWidth="9.140625" defaultRowHeight="12.75"/>
  <cols>
    <col min="1" max="1" width="32.57421875" style="0" customWidth="1"/>
    <col min="2" max="12" width="10.7109375" style="0" customWidth="1"/>
    <col min="13" max="13" width="11.28125" style="0" customWidth="1"/>
    <col min="14" max="15" width="10.140625" style="0" bestFit="1" customWidth="1"/>
  </cols>
  <sheetData>
    <row r="1" ht="12.75">
      <c r="A1" s="1" t="s">
        <v>120</v>
      </c>
    </row>
    <row r="2" spans="2:13" ht="51">
      <c r="B2" s="126">
        <v>2001</v>
      </c>
      <c r="C2" s="126">
        <v>2002</v>
      </c>
      <c r="D2" s="126">
        <v>2003</v>
      </c>
      <c r="E2" s="126">
        <v>2004</v>
      </c>
      <c r="F2" s="126">
        <v>2005</v>
      </c>
      <c r="G2" s="126">
        <v>2006</v>
      </c>
      <c r="H2" s="126">
        <v>2007</v>
      </c>
      <c r="I2" s="126">
        <v>2008</v>
      </c>
      <c r="J2" s="126">
        <v>2009</v>
      </c>
      <c r="K2" s="126">
        <v>2010</v>
      </c>
      <c r="L2" s="126">
        <v>2011</v>
      </c>
      <c r="M2" s="101" t="s">
        <v>276</v>
      </c>
    </row>
    <row r="3" spans="1:13" ht="12.75">
      <c r="A3" s="1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3" ht="12.75">
      <c r="B4" s="28" t="s">
        <v>29</v>
      </c>
      <c r="C4" s="28" t="s">
        <v>29</v>
      </c>
      <c r="D4" s="28" t="s">
        <v>29</v>
      </c>
      <c r="E4" s="28" t="s">
        <v>29</v>
      </c>
      <c r="F4" s="28" t="s">
        <v>29</v>
      </c>
      <c r="G4" s="28" t="s">
        <v>29</v>
      </c>
      <c r="H4" s="28" t="s">
        <v>29</v>
      </c>
      <c r="I4" s="28" t="s">
        <v>29</v>
      </c>
      <c r="J4" s="28" t="s">
        <v>29</v>
      </c>
      <c r="K4" s="28" t="s">
        <v>29</v>
      </c>
      <c r="L4" s="28" t="s">
        <v>29</v>
      </c>
      <c r="M4" s="28" t="s">
        <v>29</v>
      </c>
    </row>
    <row r="5" spans="1:13" ht="12.75">
      <c r="A5" s="29" t="s">
        <v>81</v>
      </c>
      <c r="B5" s="13">
        <f>'Res HVAC'!B25</f>
        <v>183354</v>
      </c>
      <c r="C5" s="13">
        <f>'Res HVAC'!C25</f>
        <v>235546</v>
      </c>
      <c r="D5" s="13">
        <f>'Res HVAC'!D25</f>
        <v>219320</v>
      </c>
      <c r="E5" s="13">
        <f>'Res HVAC'!E25</f>
        <v>232484</v>
      </c>
      <c r="F5" s="13">
        <f>'Res HVAC'!F25</f>
        <v>224957</v>
      </c>
      <c r="G5" s="13">
        <f>'Res HVAC'!G25</f>
        <v>173181</v>
      </c>
      <c r="H5" s="13">
        <f>'Res HVAC'!H25</f>
        <v>199843</v>
      </c>
      <c r="I5" s="13">
        <f>'Res HVAC'!I25</f>
        <v>83068</v>
      </c>
      <c r="J5" s="13">
        <f>'Res HVAC'!J25</f>
        <v>83807</v>
      </c>
      <c r="K5" s="13">
        <f>'Res HVAC'!K25</f>
        <v>135866</v>
      </c>
      <c r="L5" s="13">
        <f>'Res HVAC'!L25</f>
        <v>210355</v>
      </c>
      <c r="M5" s="13">
        <f>SUM(B5:L5)</f>
        <v>1981781</v>
      </c>
    </row>
    <row r="6" spans="1:13" ht="12.75">
      <c r="A6" s="29" t="s">
        <v>82</v>
      </c>
      <c r="B6" s="13">
        <f>RNC!B23</f>
        <v>2376</v>
      </c>
      <c r="C6" s="13">
        <f>RNC!C23</f>
        <v>65231</v>
      </c>
      <c r="D6" s="13">
        <f>RNC!D23</f>
        <v>95460</v>
      </c>
      <c r="E6" s="13">
        <f>RNC!E23</f>
        <v>91026</v>
      </c>
      <c r="F6" s="13">
        <f>RNC!F23</f>
        <v>122461</v>
      </c>
      <c r="G6" s="13">
        <f>RNC!G23</f>
        <v>93829</v>
      </c>
      <c r="H6" s="13">
        <f>RNC!H23</f>
        <v>107137</v>
      </c>
      <c r="I6" s="13">
        <f>RNC!I23</f>
        <v>66860</v>
      </c>
      <c r="J6" s="13">
        <f>RNC!J23</f>
        <v>53040</v>
      </c>
      <c r="K6" s="13">
        <f>RNC!K23</f>
        <v>87580</v>
      </c>
      <c r="L6" s="13">
        <f>RNC!L23</f>
        <v>91240</v>
      </c>
      <c r="M6" s="13">
        <f>SUM(B6:L6)</f>
        <v>876240</v>
      </c>
    </row>
    <row r="7" spans="1:13" ht="12.75">
      <c r="A7" s="29" t="s">
        <v>83</v>
      </c>
      <c r="B7" s="19"/>
      <c r="C7" s="19"/>
      <c r="D7" s="19"/>
      <c r="E7" s="19"/>
      <c r="F7" s="19"/>
      <c r="G7" s="19"/>
      <c r="H7" s="13"/>
      <c r="I7" s="13"/>
      <c r="J7" s="13"/>
      <c r="K7" s="13"/>
      <c r="L7" s="65"/>
      <c r="M7" s="19"/>
    </row>
    <row r="8" spans="1:19" ht="12.75">
      <c r="A8" s="29" t="s">
        <v>84</v>
      </c>
      <c r="B8" s="13">
        <f>'Energy Star'!B60</f>
        <v>0</v>
      </c>
      <c r="C8" s="13">
        <f>'Energy Star'!C60</f>
        <v>0</v>
      </c>
      <c r="D8" s="13">
        <f>'Energy Star'!D60</f>
        <v>14318</v>
      </c>
      <c r="E8" s="13">
        <f>'Energy Star'!E60</f>
        <v>13773</v>
      </c>
      <c r="F8" s="13">
        <f>'Energy Star'!F60</f>
        <v>9208</v>
      </c>
      <c r="G8" s="13">
        <f>'Energy Star'!G60</f>
        <v>5418</v>
      </c>
      <c r="H8" s="13">
        <f>'Energy Star'!H60</f>
        <v>7672</v>
      </c>
      <c r="I8" s="13">
        <f>'Energy Star'!I60</f>
        <v>7722</v>
      </c>
      <c r="J8" s="13">
        <f>'Energy Star'!J60</f>
        <v>4246</v>
      </c>
      <c r="K8" s="13">
        <f>'Energy Star'!K60</f>
        <v>6386</v>
      </c>
      <c r="L8" s="65">
        <f>'Energy Star'!L60</f>
        <v>129.7</v>
      </c>
      <c r="M8" s="13">
        <f aca="true" t="shared" si="0" ref="M8:M17">SUM(B8:L8)</f>
        <v>68872.7</v>
      </c>
      <c r="N8" s="187"/>
      <c r="O8" s="187"/>
      <c r="P8" s="187"/>
      <c r="Q8" s="187"/>
      <c r="R8" s="187"/>
      <c r="S8" s="187"/>
    </row>
    <row r="9" spans="1:19" ht="12.75">
      <c r="A9" s="29" t="s">
        <v>85</v>
      </c>
      <c r="B9" s="13">
        <f>'Energy Star'!B59</f>
        <v>0</v>
      </c>
      <c r="C9" s="13">
        <f>'Energy Star'!C59</f>
        <v>0</v>
      </c>
      <c r="D9" s="13">
        <f>'Energy Star'!D59</f>
        <v>359018</v>
      </c>
      <c r="E9" s="13">
        <f>'Energy Star'!E59</f>
        <v>790151</v>
      </c>
      <c r="F9" s="13">
        <f>'Energy Star'!F59</f>
        <v>528787</v>
      </c>
      <c r="G9" s="13">
        <f>'Energy Star'!G59</f>
        <v>0</v>
      </c>
      <c r="H9" s="13">
        <f>'Energy Star'!H59</f>
        <v>742908</v>
      </c>
      <c r="I9" s="13">
        <f>'Energy Star'!I59</f>
        <v>1368138</v>
      </c>
      <c r="J9" s="13">
        <f>'Energy Star'!J59</f>
        <v>2217915</v>
      </c>
      <c r="K9" s="13">
        <f>'Energy Star'!K59</f>
        <v>1131306</v>
      </c>
      <c r="L9" s="65">
        <f>'Energy Star'!L59</f>
        <v>1461053.1</v>
      </c>
      <c r="M9" s="13">
        <f t="shared" si="0"/>
        <v>8599276.1</v>
      </c>
      <c r="N9" s="190"/>
      <c r="O9" s="187"/>
      <c r="P9" s="187"/>
      <c r="Q9" s="187"/>
      <c r="R9" s="187"/>
      <c r="S9" s="187"/>
    </row>
    <row r="10" spans="1:14" ht="12.75">
      <c r="A10" s="21" t="s">
        <v>255</v>
      </c>
      <c r="B10" s="13"/>
      <c r="C10" s="13"/>
      <c r="D10" s="13"/>
      <c r="E10" s="13"/>
      <c r="F10" s="13"/>
      <c r="G10" s="13"/>
      <c r="H10" s="13"/>
      <c r="I10" s="13">
        <f>'Energy Star'!I61</f>
        <v>42549</v>
      </c>
      <c r="J10" s="13">
        <f>'Energy Star'!J61</f>
        <v>64961</v>
      </c>
      <c r="K10" s="13">
        <f>'Energy Star'!K61</f>
        <v>74979</v>
      </c>
      <c r="L10" s="65">
        <f>'Energy Star'!L61</f>
        <v>75176.9</v>
      </c>
      <c r="M10" s="13">
        <f t="shared" si="0"/>
        <v>257665.9</v>
      </c>
      <c r="N10" s="25"/>
    </row>
    <row r="11" spans="1:14" ht="12.75">
      <c r="A11" s="21" t="s">
        <v>252</v>
      </c>
      <c r="B11" s="13"/>
      <c r="C11" s="13"/>
      <c r="D11" s="13"/>
      <c r="E11" s="13"/>
      <c r="F11" s="13"/>
      <c r="G11" s="13"/>
      <c r="H11" s="13"/>
      <c r="I11" s="13">
        <f>'Energy Star'!I62</f>
        <v>3820</v>
      </c>
      <c r="J11" s="13">
        <f>'Energy Star'!J62</f>
        <v>6261</v>
      </c>
      <c r="K11" s="13">
        <f>'Energy Star'!K62</f>
        <v>4554</v>
      </c>
      <c r="L11" s="65">
        <f>'Energy Star'!L62</f>
        <v>307.7</v>
      </c>
      <c r="M11" s="13">
        <f t="shared" si="0"/>
        <v>14942.7</v>
      </c>
      <c r="N11" s="25"/>
    </row>
    <row r="12" spans="1:14" ht="12.75">
      <c r="A12" s="21" t="s">
        <v>270</v>
      </c>
      <c r="B12" s="13"/>
      <c r="C12" s="13"/>
      <c r="D12" s="13"/>
      <c r="E12" s="13"/>
      <c r="F12" s="13"/>
      <c r="G12" s="13"/>
      <c r="H12" s="13"/>
      <c r="I12" s="13"/>
      <c r="J12" s="13">
        <f>'Energy Star'!J63</f>
        <v>44319</v>
      </c>
      <c r="K12" s="13">
        <f>'Energy Star'!K63</f>
        <v>123909.4</v>
      </c>
      <c r="L12" s="65">
        <f>'Energy Star'!L63</f>
        <v>124487.2</v>
      </c>
      <c r="M12" s="13">
        <f t="shared" si="0"/>
        <v>292715.6</v>
      </c>
      <c r="N12" s="25"/>
    </row>
    <row r="13" spans="1:14" ht="12.75">
      <c r="A13" s="21" t="s">
        <v>344</v>
      </c>
      <c r="B13" s="13"/>
      <c r="C13" s="13"/>
      <c r="D13" s="13"/>
      <c r="E13" s="13"/>
      <c r="F13" s="13"/>
      <c r="G13" s="13"/>
      <c r="H13" s="13"/>
      <c r="I13" s="13"/>
      <c r="J13" s="13"/>
      <c r="K13" s="13">
        <f>'Energy Star'!K64</f>
        <v>30564.8</v>
      </c>
      <c r="L13" s="65">
        <f>'Energy Star'!L64</f>
        <v>35317.7</v>
      </c>
      <c r="M13" s="13">
        <f t="shared" si="0"/>
        <v>65882.5</v>
      </c>
      <c r="N13" s="25"/>
    </row>
    <row r="14" spans="1:14" ht="12.75">
      <c r="A14" s="21" t="s">
        <v>393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65">
        <f>'Energy Star'!L65</f>
        <v>8769.9</v>
      </c>
      <c r="M14" s="13">
        <f t="shared" si="0"/>
        <v>8769.9</v>
      </c>
      <c r="N14" s="25"/>
    </row>
    <row r="15" spans="1:15" ht="12.75">
      <c r="A15" s="21" t="s">
        <v>394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65">
        <f>'Energy Star'!L66</f>
        <v>1535.1</v>
      </c>
      <c r="M15" s="13">
        <f t="shared" si="0"/>
        <v>1535.1</v>
      </c>
      <c r="N15" s="25"/>
      <c r="O15" s="25"/>
    </row>
    <row r="16" spans="1:14" ht="12.75">
      <c r="A16" s="29" t="s">
        <v>204</v>
      </c>
      <c r="B16" s="13"/>
      <c r="C16" s="13"/>
      <c r="D16" s="13"/>
      <c r="E16" s="13"/>
      <c r="F16" s="13"/>
      <c r="G16" s="13">
        <f>'Home Perf'!B20</f>
        <v>26</v>
      </c>
      <c r="H16" s="13">
        <f>'Home Perf'!C20</f>
        <v>442</v>
      </c>
      <c r="I16" s="13">
        <f>'Home Perf'!D20</f>
        <v>1456</v>
      </c>
      <c r="J16" s="13">
        <f>'Home Perf'!E20</f>
        <v>18378</v>
      </c>
      <c r="K16" s="13">
        <f>'Home Perf'!F20</f>
        <v>20889</v>
      </c>
      <c r="L16" s="65">
        <f>'Home Perf'!G20</f>
        <v>38314</v>
      </c>
      <c r="M16" s="13">
        <f t="shared" si="0"/>
        <v>79505</v>
      </c>
      <c r="N16" s="25"/>
    </row>
    <row r="17" spans="1:14" ht="12.75">
      <c r="A17" s="32" t="s">
        <v>88</v>
      </c>
      <c r="B17" s="43">
        <f>SUM(B5:B16)</f>
        <v>185730</v>
      </c>
      <c r="C17" s="43">
        <f aca="true" t="shared" si="1" ref="C17:J17">SUM(C5:C16)</f>
        <v>300777</v>
      </c>
      <c r="D17" s="43">
        <f t="shared" si="1"/>
        <v>688116</v>
      </c>
      <c r="E17" s="43">
        <f t="shared" si="1"/>
        <v>1127434</v>
      </c>
      <c r="F17" s="43">
        <f t="shared" si="1"/>
        <v>885413</v>
      </c>
      <c r="G17" s="43">
        <f t="shared" si="1"/>
        <v>272454</v>
      </c>
      <c r="H17" s="43">
        <f t="shared" si="1"/>
        <v>1058002</v>
      </c>
      <c r="I17" s="43">
        <f t="shared" si="1"/>
        <v>1573613</v>
      </c>
      <c r="J17" s="43">
        <f t="shared" si="1"/>
        <v>2492927</v>
      </c>
      <c r="K17" s="43">
        <f>SUM(K5:K16)</f>
        <v>1616034.2</v>
      </c>
      <c r="L17" s="43">
        <f>SUM(L5:L16)</f>
        <v>2046686.2999999998</v>
      </c>
      <c r="M17" s="43">
        <f t="shared" si="0"/>
        <v>12247186.5</v>
      </c>
      <c r="N17" s="25"/>
    </row>
    <row r="18" spans="1:14" ht="12.75">
      <c r="A18" s="3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25"/>
    </row>
    <row r="19" spans="1:14" ht="12.75">
      <c r="A19" s="54" t="s">
        <v>87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25"/>
    </row>
    <row r="20" spans="1:14" ht="12.75">
      <c r="A20" s="120" t="s">
        <v>275</v>
      </c>
      <c r="B20" s="43">
        <f>'Low-income'!B31</f>
        <v>147716</v>
      </c>
      <c r="C20" s="43">
        <f>'Low-income'!C31</f>
        <v>83203</v>
      </c>
      <c r="D20" s="43">
        <f>'Low-income'!D31</f>
        <v>106522</v>
      </c>
      <c r="E20" s="43">
        <f>'Low-income'!E31</f>
        <v>119538</v>
      </c>
      <c r="F20" s="43">
        <f>'Low-income'!F31</f>
        <v>93966</v>
      </c>
      <c r="G20" s="43">
        <f>'Low-income'!G31</f>
        <v>177208</v>
      </c>
      <c r="H20" s="43">
        <f>'Low-income'!H31</f>
        <v>191930</v>
      </c>
      <c r="I20" s="43">
        <f>'Low-income'!I31</f>
        <v>66525</v>
      </c>
      <c r="J20" s="43">
        <f>'Low-income'!J31</f>
        <v>68712</v>
      </c>
      <c r="K20" s="43">
        <f>'Low-income'!K31</f>
        <v>64804</v>
      </c>
      <c r="L20" s="43">
        <f>'Low-income'!L31</f>
        <v>89465</v>
      </c>
      <c r="M20" s="43">
        <f>SUM(B20:L20)</f>
        <v>1209589</v>
      </c>
      <c r="N20" s="25"/>
    </row>
    <row r="21" spans="1:14" ht="12.75">
      <c r="A21" s="3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25"/>
    </row>
    <row r="22" spans="1:14" ht="12.75">
      <c r="A22" s="68" t="s">
        <v>147</v>
      </c>
      <c r="B22" s="13"/>
      <c r="C22" s="13"/>
      <c r="D22" s="13"/>
      <c r="E22" s="13"/>
      <c r="F22" s="13">
        <f>'C&amp;I'!F51</f>
        <v>207769</v>
      </c>
      <c r="G22" s="13">
        <f>'C&amp;I'!G51</f>
        <v>260265</v>
      </c>
      <c r="H22" s="13">
        <f>'C&amp;I'!H51</f>
        <v>101184</v>
      </c>
      <c r="I22" s="13">
        <f>'C&amp;I'!I51</f>
        <v>109975</v>
      </c>
      <c r="J22" s="13">
        <f>'C&amp;I'!J51</f>
        <v>225004</v>
      </c>
      <c r="K22" s="13">
        <f>'C&amp;I'!K51</f>
        <v>108815</v>
      </c>
      <c r="L22" s="13">
        <f>'C&amp;I'!L51</f>
        <v>264120</v>
      </c>
      <c r="M22" s="13">
        <f aca="true" t="shared" si="2" ref="M22:M32">SUM(B22:L22)</f>
        <v>1277132</v>
      </c>
      <c r="N22" s="25"/>
    </row>
    <row r="23" spans="1:14" ht="12.75">
      <c r="A23" s="16" t="s">
        <v>148</v>
      </c>
      <c r="B23" s="13"/>
      <c r="C23" s="13"/>
      <c r="D23" s="13"/>
      <c r="E23" s="13"/>
      <c r="F23" s="13">
        <f>'C&amp;I'!F52</f>
        <v>1812265</v>
      </c>
      <c r="G23" s="13">
        <f>'C&amp;I'!G52</f>
        <v>1172904</v>
      </c>
      <c r="H23" s="13">
        <f>'C&amp;I'!H52</f>
        <v>1252717</v>
      </c>
      <c r="I23" s="13">
        <f>'C&amp;I'!I52</f>
        <v>1349840</v>
      </c>
      <c r="J23" s="13">
        <f>'C&amp;I'!J52</f>
        <v>1141755</v>
      </c>
      <c r="K23" s="13">
        <f>'C&amp;I'!K52</f>
        <v>1516908</v>
      </c>
      <c r="L23" s="13">
        <f>'C&amp;I'!L52</f>
        <v>1642577</v>
      </c>
      <c r="M23" s="13">
        <f t="shared" si="2"/>
        <v>9888966</v>
      </c>
      <c r="N23" s="25"/>
    </row>
    <row r="24" spans="1:14" ht="12.75">
      <c r="A24" s="16" t="s">
        <v>149</v>
      </c>
      <c r="B24" s="13"/>
      <c r="C24" s="13"/>
      <c r="D24" s="13"/>
      <c r="E24" s="13"/>
      <c r="F24" s="13">
        <f>'C&amp;I'!F53</f>
        <v>203738</v>
      </c>
      <c r="G24" s="13">
        <f>'C&amp;I'!G53</f>
        <v>42480</v>
      </c>
      <c r="H24" s="13">
        <f>'C&amp;I'!H53</f>
        <v>31536</v>
      </c>
      <c r="I24" s="13">
        <f>'C&amp;I'!I53</f>
        <v>46637</v>
      </c>
      <c r="J24" s="13">
        <f>'C&amp;I'!J53</f>
        <v>43977</v>
      </c>
      <c r="K24" s="13">
        <f>'C&amp;I'!K53</f>
        <v>0</v>
      </c>
      <c r="L24" s="13">
        <f>'C&amp;I'!L53</f>
        <v>0</v>
      </c>
      <c r="M24" s="13">
        <f t="shared" si="2"/>
        <v>368368</v>
      </c>
      <c r="N24" s="25"/>
    </row>
    <row r="25" spans="1:14" ht="12.75">
      <c r="A25" s="21" t="s">
        <v>321</v>
      </c>
      <c r="B25" s="13"/>
      <c r="C25" s="13"/>
      <c r="D25" s="13"/>
      <c r="E25" s="13"/>
      <c r="F25" s="13"/>
      <c r="G25" s="13"/>
      <c r="H25" s="13"/>
      <c r="I25" s="13"/>
      <c r="J25" s="13"/>
      <c r="K25" s="13">
        <f>'P4P '!D25</f>
        <v>8757</v>
      </c>
      <c r="L25" s="65">
        <f>'P4P '!E25</f>
        <v>216562</v>
      </c>
      <c r="M25" s="13">
        <f t="shared" si="2"/>
        <v>225319</v>
      </c>
      <c r="N25" s="25"/>
    </row>
    <row r="26" spans="1:14" ht="12.75">
      <c r="A26" s="21" t="s">
        <v>322</v>
      </c>
      <c r="B26" s="13"/>
      <c r="C26" s="13"/>
      <c r="D26" s="13"/>
      <c r="E26" s="13"/>
      <c r="F26" s="13"/>
      <c r="G26" s="13"/>
      <c r="H26" s="13"/>
      <c r="I26" s="13"/>
      <c r="J26" s="13"/>
      <c r="K26" s="13">
        <f>'P4P NC'!B25</f>
        <v>0</v>
      </c>
      <c r="L26" s="65">
        <f>'P4P NC'!C25</f>
        <v>0</v>
      </c>
      <c r="M26" s="13">
        <f t="shared" si="2"/>
        <v>0</v>
      </c>
      <c r="N26" s="25"/>
    </row>
    <row r="27" spans="1:14" ht="12.75">
      <c r="A27" s="21" t="s">
        <v>246</v>
      </c>
      <c r="B27" s="13"/>
      <c r="C27" s="13"/>
      <c r="D27" s="13"/>
      <c r="E27" s="13"/>
      <c r="F27" s="13"/>
      <c r="G27" s="13"/>
      <c r="H27" s="13"/>
      <c r="I27" s="13"/>
      <c r="J27" s="13"/>
      <c r="K27" s="13">
        <f>'Direct Install'!D22</f>
        <v>75032</v>
      </c>
      <c r="L27" s="13">
        <f>'Direct Install'!E22</f>
        <v>621575</v>
      </c>
      <c r="M27" s="13">
        <f t="shared" si="2"/>
        <v>696607</v>
      </c>
      <c r="N27" s="25"/>
    </row>
    <row r="28" spans="1:14" ht="12.75">
      <c r="A28" s="21" t="s">
        <v>59</v>
      </c>
      <c r="B28" s="13"/>
      <c r="C28" s="13"/>
      <c r="D28" s="13"/>
      <c r="E28" s="13"/>
      <c r="F28" s="13"/>
      <c r="G28" s="13"/>
      <c r="H28" s="13"/>
      <c r="I28" s="13">
        <f>CHP!I23</f>
        <v>2119</v>
      </c>
      <c r="J28" s="13">
        <f>CHP!J23</f>
        <v>0</v>
      </c>
      <c r="K28" s="13">
        <f>CHP!K23</f>
        <v>24001</v>
      </c>
      <c r="L28" s="13">
        <f>CHP!L23</f>
        <v>0</v>
      </c>
      <c r="M28" s="13">
        <f t="shared" si="2"/>
        <v>26120</v>
      </c>
      <c r="N28" s="25"/>
    </row>
    <row r="29" spans="1:13" ht="12.75">
      <c r="A29" s="70" t="s">
        <v>157</v>
      </c>
      <c r="B29" s="43">
        <f>'C&amp;I'!B54</f>
        <v>464149</v>
      </c>
      <c r="C29" s="43">
        <f>'C&amp;I'!C54</f>
        <v>2164648</v>
      </c>
      <c r="D29" s="43">
        <f>'C&amp;I'!D54</f>
        <v>2944525</v>
      </c>
      <c r="E29" s="43">
        <f>'C&amp;I'!E54</f>
        <v>3061799</v>
      </c>
      <c r="F29" s="43">
        <f aca="true" t="shared" si="3" ref="F29:K29">SUM(F22:F28)</f>
        <v>2223772</v>
      </c>
      <c r="G29" s="43">
        <f t="shared" si="3"/>
        <v>1475649</v>
      </c>
      <c r="H29" s="43">
        <f t="shared" si="3"/>
        <v>1385437</v>
      </c>
      <c r="I29" s="43">
        <f t="shared" si="3"/>
        <v>1508571</v>
      </c>
      <c r="J29" s="43">
        <f t="shared" si="3"/>
        <v>1410736</v>
      </c>
      <c r="K29" s="43">
        <f t="shared" si="3"/>
        <v>1733513</v>
      </c>
      <c r="L29" s="43">
        <f>SUM(L22:L28)</f>
        <v>2744834</v>
      </c>
      <c r="M29" s="43">
        <f t="shared" si="2"/>
        <v>21117633</v>
      </c>
    </row>
    <row r="30" spans="1:13" ht="12.75">
      <c r="A30" s="29" t="s">
        <v>158</v>
      </c>
      <c r="B30" s="13"/>
      <c r="C30" s="13"/>
      <c r="D30" s="13"/>
      <c r="E30" s="13"/>
      <c r="F30" s="13">
        <v>279403</v>
      </c>
      <c r="G30" s="13">
        <f>'Cool Cities'!E21</f>
        <v>10479</v>
      </c>
      <c r="H30" s="13">
        <f>'Cool Cities'!F21</f>
        <v>10334</v>
      </c>
      <c r="I30" s="13">
        <f>'Cool Cities'!G21</f>
        <v>11570</v>
      </c>
      <c r="J30" s="13">
        <f>'Cool Cities'!H21</f>
        <v>14106</v>
      </c>
      <c r="K30" s="13"/>
      <c r="L30" s="13"/>
      <c r="M30" s="13">
        <f t="shared" si="2"/>
        <v>325892</v>
      </c>
    </row>
    <row r="31" spans="1:13" ht="12.75">
      <c r="A31" s="70" t="s">
        <v>164</v>
      </c>
      <c r="B31" s="43">
        <f aca="true" t="shared" si="4" ref="B31:G31">B30+B29</f>
        <v>464149</v>
      </c>
      <c r="C31" s="43">
        <f t="shared" si="4"/>
        <v>2164648</v>
      </c>
      <c r="D31" s="43">
        <f t="shared" si="4"/>
        <v>2944525</v>
      </c>
      <c r="E31" s="43">
        <f t="shared" si="4"/>
        <v>3061799</v>
      </c>
      <c r="F31" s="43">
        <f t="shared" si="4"/>
        <v>2503175</v>
      </c>
      <c r="G31" s="43">
        <f t="shared" si="4"/>
        <v>1486128</v>
      </c>
      <c r="H31" s="43">
        <f>H30+H29</f>
        <v>1395771</v>
      </c>
      <c r="I31" s="43">
        <f>I30+I29</f>
        <v>1520141</v>
      </c>
      <c r="J31" s="43">
        <f>J30+J29</f>
        <v>1424842</v>
      </c>
      <c r="K31" s="43">
        <f>K30+K29</f>
        <v>1733513</v>
      </c>
      <c r="L31" s="43">
        <f>L30+L29</f>
        <v>2744834</v>
      </c>
      <c r="M31" s="43">
        <f t="shared" si="2"/>
        <v>21443525</v>
      </c>
    </row>
    <row r="32" spans="1:14" ht="12.75">
      <c r="A32" s="32" t="s">
        <v>90</v>
      </c>
      <c r="B32" s="43">
        <f>B31+B20+B17</f>
        <v>797595</v>
      </c>
      <c r="C32" s="43">
        <f aca="true" t="shared" si="5" ref="C32:J32">C31+C20+C17</f>
        <v>2548628</v>
      </c>
      <c r="D32" s="43">
        <f t="shared" si="5"/>
        <v>3739163</v>
      </c>
      <c r="E32" s="43">
        <f t="shared" si="5"/>
        <v>4308771</v>
      </c>
      <c r="F32" s="43">
        <f t="shared" si="5"/>
        <v>3482554</v>
      </c>
      <c r="G32" s="43">
        <f t="shared" si="5"/>
        <v>1935790</v>
      </c>
      <c r="H32" s="43">
        <f t="shared" si="5"/>
        <v>2645703</v>
      </c>
      <c r="I32" s="43">
        <f t="shared" si="5"/>
        <v>3160279</v>
      </c>
      <c r="J32" s="43">
        <f t="shared" si="5"/>
        <v>3986481</v>
      </c>
      <c r="K32" s="43">
        <f>K31+K20+K17</f>
        <v>3414351.2</v>
      </c>
      <c r="L32" s="43">
        <f>L31+L20+L17</f>
        <v>4880985.3</v>
      </c>
      <c r="M32" s="43">
        <f t="shared" si="2"/>
        <v>34900300.5</v>
      </c>
      <c r="N32" s="25"/>
    </row>
    <row r="33" spans="8:12" ht="12.75">
      <c r="H33" s="3"/>
      <c r="I33" s="3"/>
      <c r="J33" s="3"/>
      <c r="K33" s="3"/>
      <c r="L33" s="3"/>
    </row>
    <row r="34" spans="2:13" ht="12.75">
      <c r="B34" s="28" t="s">
        <v>13</v>
      </c>
      <c r="C34" s="28" t="s">
        <v>13</v>
      </c>
      <c r="D34" s="28" t="s">
        <v>13</v>
      </c>
      <c r="E34" s="28" t="s">
        <v>13</v>
      </c>
      <c r="F34" s="28" t="s">
        <v>13</v>
      </c>
      <c r="G34" s="28" t="s">
        <v>13</v>
      </c>
      <c r="H34" s="28" t="s">
        <v>13</v>
      </c>
      <c r="I34" s="28" t="s">
        <v>13</v>
      </c>
      <c r="J34" s="28" t="s">
        <v>13</v>
      </c>
      <c r="K34" s="28" t="s">
        <v>13</v>
      </c>
      <c r="L34" s="28" t="s">
        <v>13</v>
      </c>
      <c r="M34" s="28" t="s">
        <v>13</v>
      </c>
    </row>
    <row r="35" spans="1:15" ht="12.75">
      <c r="A35" s="29" t="s">
        <v>81</v>
      </c>
      <c r="B35" s="13">
        <f>'Res HVAC'!B32</f>
        <v>2344252</v>
      </c>
      <c r="C35" s="13">
        <f>'Res HVAC'!C32</f>
        <v>2886917</v>
      </c>
      <c r="D35" s="13">
        <f>'Res HVAC'!D32</f>
        <v>2172633</v>
      </c>
      <c r="E35" s="13">
        <f>'Res HVAC'!E32</f>
        <v>2431125</v>
      </c>
      <c r="F35" s="13">
        <f>'Res HVAC'!F32</f>
        <v>2493812</v>
      </c>
      <c r="G35" s="13">
        <f>'Res HVAC'!G32</f>
        <v>3095022</v>
      </c>
      <c r="H35" s="13">
        <f>'Res HVAC'!H32</f>
        <v>3830587</v>
      </c>
      <c r="I35" s="13">
        <f>'Res HVAC'!I32</f>
        <v>3285309</v>
      </c>
      <c r="J35" s="13">
        <f>'Res HVAC'!J32</f>
        <v>3952255</v>
      </c>
      <c r="K35" s="13">
        <f>'Res HVAC'!K32</f>
        <v>5096054</v>
      </c>
      <c r="L35" s="13">
        <f>'Res HVAC'!L32</f>
        <v>6779179</v>
      </c>
      <c r="M35" s="13">
        <f>SUM(B35:L35)</f>
        <v>38367145</v>
      </c>
      <c r="N35" s="25"/>
      <c r="O35" s="25"/>
    </row>
    <row r="36" spans="1:13" ht="12.75">
      <c r="A36" s="29" t="s">
        <v>82</v>
      </c>
      <c r="B36" s="13">
        <f>RNC!B30</f>
        <v>7120</v>
      </c>
      <c r="C36" s="13">
        <f>RNC!C30</f>
        <v>1672762</v>
      </c>
      <c r="D36" s="13">
        <f>RNC!D30</f>
        <v>2738286</v>
      </c>
      <c r="E36" s="13">
        <f>RNC!E30</f>
        <v>3673856</v>
      </c>
      <c r="F36" s="13">
        <f>RNC!F30</f>
        <v>4791352</v>
      </c>
      <c r="G36" s="13">
        <f>RNC!G30</f>
        <v>2191094</v>
      </c>
      <c r="H36" s="13">
        <f>RNC!H30</f>
        <v>1937986</v>
      </c>
      <c r="I36" s="13">
        <f>RNC!I30</f>
        <v>2184460</v>
      </c>
      <c r="J36" s="13">
        <f>RNC!J30</f>
        <v>1535940</v>
      </c>
      <c r="K36" s="13">
        <f>RNC!K30</f>
        <v>1583560</v>
      </c>
      <c r="L36" s="13">
        <f>RNC!L30</f>
        <v>1214660</v>
      </c>
      <c r="M36" s="13">
        <f>SUM(B36:L36)</f>
        <v>23531076</v>
      </c>
    </row>
    <row r="37" spans="1:13" ht="12.75">
      <c r="A37" s="29" t="s">
        <v>83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f>'Energy Star'!H91</f>
        <v>19430</v>
      </c>
      <c r="I37" s="13">
        <f>'Energy Star'!I91</f>
        <v>300087</v>
      </c>
      <c r="J37" s="13">
        <f>'Energy Star'!J91</f>
        <v>456858</v>
      </c>
      <c r="K37" s="13">
        <f>'Energy Star'!K91</f>
        <v>530793</v>
      </c>
      <c r="L37" s="13">
        <f>'Energy Star'!L91</f>
        <v>538665</v>
      </c>
      <c r="M37" s="13">
        <f>SUM(B37:L37)</f>
        <v>1845833</v>
      </c>
    </row>
    <row r="38" spans="1:13" ht="12.75">
      <c r="A38" s="29" t="s">
        <v>204</v>
      </c>
      <c r="B38" s="13"/>
      <c r="C38" s="13"/>
      <c r="D38" s="13"/>
      <c r="E38" s="13"/>
      <c r="F38" s="13"/>
      <c r="G38" s="13">
        <f>'Home Perf'!B30</f>
        <v>2152</v>
      </c>
      <c r="H38" s="13">
        <f>'Home Perf'!C30</f>
        <v>19299</v>
      </c>
      <c r="I38" s="13">
        <f>'Home Perf'!D30</f>
        <v>88013</v>
      </c>
      <c r="J38" s="13">
        <f>'Home Perf'!E30</f>
        <v>537652</v>
      </c>
      <c r="K38" s="13">
        <f>'Home Perf'!F30</f>
        <v>1635192</v>
      </c>
      <c r="L38" s="13">
        <f>'Home Perf'!G30</f>
        <v>2058386.84</v>
      </c>
      <c r="M38" s="13">
        <f>SUM(B38:L38)</f>
        <v>4340694.84</v>
      </c>
    </row>
    <row r="39" spans="1:14" ht="12.75">
      <c r="A39" s="32" t="s">
        <v>88</v>
      </c>
      <c r="B39" s="42">
        <f aca="true" t="shared" si="6" ref="B39:J39">SUM(B35:B38)</f>
        <v>2351372</v>
      </c>
      <c r="C39" s="42">
        <f t="shared" si="6"/>
        <v>4559679</v>
      </c>
      <c r="D39" s="42">
        <f t="shared" si="6"/>
        <v>4910919</v>
      </c>
      <c r="E39" s="42">
        <f t="shared" si="6"/>
        <v>6104981</v>
      </c>
      <c r="F39" s="42">
        <f t="shared" si="6"/>
        <v>7285164</v>
      </c>
      <c r="G39" s="42">
        <f t="shared" si="6"/>
        <v>5288268</v>
      </c>
      <c r="H39" s="43">
        <f t="shared" si="6"/>
        <v>5807302</v>
      </c>
      <c r="I39" s="43">
        <f t="shared" si="6"/>
        <v>5857869</v>
      </c>
      <c r="J39" s="43">
        <f t="shared" si="6"/>
        <v>6482705</v>
      </c>
      <c r="K39" s="43">
        <f>SUM(K35:K38)</f>
        <v>8845599</v>
      </c>
      <c r="L39" s="43">
        <f>SUM(L35:L38)</f>
        <v>10590890.84</v>
      </c>
      <c r="M39" s="43">
        <f>SUM(B39:L39)</f>
        <v>68084748.84</v>
      </c>
      <c r="N39" s="25"/>
    </row>
    <row r="40" spans="1:14" ht="12.75">
      <c r="A40" s="32"/>
      <c r="B40" s="42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25"/>
    </row>
    <row r="41" spans="1:14" ht="12.75">
      <c r="A41" s="54" t="s">
        <v>87</v>
      </c>
      <c r="B41" s="42"/>
      <c r="C41" s="42"/>
      <c r="D41" s="42"/>
      <c r="E41" s="42"/>
      <c r="F41" s="42"/>
      <c r="G41" s="42"/>
      <c r="H41" s="43"/>
      <c r="I41" s="43"/>
      <c r="J41" s="43"/>
      <c r="K41" s="43"/>
      <c r="L41" s="43"/>
      <c r="M41" s="43"/>
      <c r="N41" s="25"/>
    </row>
    <row r="42" spans="1:16" ht="12.75">
      <c r="A42" s="120" t="s">
        <v>275</v>
      </c>
      <c r="B42" s="43">
        <f>'Low-income'!B38</f>
        <v>1835511</v>
      </c>
      <c r="C42" s="43">
        <f>'Low-income'!C38</f>
        <v>1470460</v>
      </c>
      <c r="D42" s="43">
        <f>'Low-income'!D38</f>
        <v>1284711</v>
      </c>
      <c r="E42" s="43">
        <f>'Low-income'!E38</f>
        <v>1183165</v>
      </c>
      <c r="F42" s="43">
        <f>'Low-income'!F38</f>
        <v>955990</v>
      </c>
      <c r="G42" s="43">
        <f>'Low-income'!G38</f>
        <v>703101</v>
      </c>
      <c r="H42" s="43">
        <f>'Low-income'!H38</f>
        <v>932511</v>
      </c>
      <c r="I42" s="43">
        <f>'Low-income'!I38</f>
        <v>1054201</v>
      </c>
      <c r="J42" s="43">
        <f>'Low-income'!J38</f>
        <v>1105591</v>
      </c>
      <c r="K42" s="210">
        <f>'Low-income'!K38</f>
        <v>883182</v>
      </c>
      <c r="L42" s="210">
        <f>'Low-income'!L38</f>
        <v>1264890</v>
      </c>
      <c r="M42" s="210">
        <f>SUM(B42:L42)</f>
        <v>12673313</v>
      </c>
      <c r="N42" s="190"/>
      <c r="O42" s="187"/>
      <c r="P42" s="187"/>
    </row>
    <row r="43" spans="1:16" ht="12.75">
      <c r="A43" s="32"/>
      <c r="B43" s="42"/>
      <c r="C43" s="42"/>
      <c r="D43" s="42"/>
      <c r="E43" s="42"/>
      <c r="F43" s="42"/>
      <c r="G43" s="42"/>
      <c r="H43" s="43"/>
      <c r="I43" s="43"/>
      <c r="J43" s="43"/>
      <c r="K43" s="210"/>
      <c r="L43" s="210"/>
      <c r="M43" s="210"/>
      <c r="N43" s="190"/>
      <c r="O43" s="187"/>
      <c r="P43" s="187"/>
    </row>
    <row r="44" spans="1:16" ht="12.75">
      <c r="A44" s="68" t="s">
        <v>147</v>
      </c>
      <c r="B44" s="19"/>
      <c r="C44" s="19"/>
      <c r="D44" s="19"/>
      <c r="E44" s="19"/>
      <c r="F44" s="19">
        <f>'C&amp;I'!F70</f>
        <v>242356</v>
      </c>
      <c r="G44" s="19">
        <f>'C&amp;I'!G70</f>
        <v>44603</v>
      </c>
      <c r="H44" s="13">
        <f>'C&amp;I'!H70</f>
        <v>99355</v>
      </c>
      <c r="I44" s="13">
        <f>'C&amp;I'!I70</f>
        <v>230222</v>
      </c>
      <c r="J44" s="13">
        <f>'C&amp;I'!J70</f>
        <v>13529</v>
      </c>
      <c r="K44" s="65">
        <f>'C&amp;I'!K70</f>
        <v>1891984</v>
      </c>
      <c r="L44" s="65">
        <f>'C&amp;I'!L70</f>
        <v>67666</v>
      </c>
      <c r="M44" s="65">
        <f aca="true" t="shared" si="7" ref="M44:M52">SUM(B44:L44)</f>
        <v>2589715</v>
      </c>
      <c r="N44" s="190"/>
      <c r="O44" s="187"/>
      <c r="P44" s="187"/>
    </row>
    <row r="45" spans="1:16" ht="12.75">
      <c r="A45" s="16" t="s">
        <v>148</v>
      </c>
      <c r="B45" s="19"/>
      <c r="C45" s="19"/>
      <c r="D45" s="19"/>
      <c r="E45" s="19"/>
      <c r="F45" s="19">
        <f>'C&amp;I'!F71</f>
        <v>3162275</v>
      </c>
      <c r="G45" s="19">
        <f>'C&amp;I'!G71</f>
        <v>2681281</v>
      </c>
      <c r="H45" s="13">
        <f>'C&amp;I'!H71</f>
        <v>535493</v>
      </c>
      <c r="I45" s="13">
        <f>'C&amp;I'!I71</f>
        <v>675862</v>
      </c>
      <c r="J45" s="13">
        <f>'C&amp;I'!J71</f>
        <v>628140</v>
      </c>
      <c r="K45" s="65">
        <f>'C&amp;I'!K71</f>
        <v>2723921</v>
      </c>
      <c r="L45" s="65">
        <f>'C&amp;I'!L71</f>
        <v>1026019</v>
      </c>
      <c r="M45" s="65">
        <f t="shared" si="7"/>
        <v>11432991</v>
      </c>
      <c r="N45" s="190"/>
      <c r="O45" s="187"/>
      <c r="P45" s="187"/>
    </row>
    <row r="46" spans="1:16" ht="12.75">
      <c r="A46" s="16" t="s">
        <v>149</v>
      </c>
      <c r="B46" s="19"/>
      <c r="C46" s="19"/>
      <c r="D46" s="19"/>
      <c r="E46" s="19"/>
      <c r="F46" s="19">
        <f>'C&amp;I'!F72</f>
        <v>31615</v>
      </c>
      <c r="G46" s="19">
        <f>'C&amp;I'!G72</f>
        <v>419977</v>
      </c>
      <c r="H46" s="13">
        <f>'C&amp;I'!H72</f>
        <v>44563</v>
      </c>
      <c r="I46" s="13">
        <f>'C&amp;I'!I72</f>
        <v>127836</v>
      </c>
      <c r="J46" s="13">
        <f>'C&amp;I'!J72</f>
        <v>175841</v>
      </c>
      <c r="K46" s="65"/>
      <c r="L46" s="65"/>
      <c r="M46" s="65">
        <f t="shared" si="7"/>
        <v>799832</v>
      </c>
      <c r="N46" s="202"/>
      <c r="O46" s="187"/>
      <c r="P46" s="187"/>
    </row>
    <row r="47" spans="1:16" ht="12.75">
      <c r="A47" s="21" t="s">
        <v>321</v>
      </c>
      <c r="B47" s="19"/>
      <c r="C47" s="19"/>
      <c r="D47" s="19"/>
      <c r="E47" s="19"/>
      <c r="F47" s="19"/>
      <c r="G47" s="19"/>
      <c r="H47" s="13"/>
      <c r="I47" s="13"/>
      <c r="J47" s="13"/>
      <c r="K47" s="65">
        <f>'P4P '!D35</f>
        <v>0</v>
      </c>
      <c r="L47" s="65">
        <f>'P4P '!E35</f>
        <v>527074</v>
      </c>
      <c r="M47" s="65">
        <f t="shared" si="7"/>
        <v>527074</v>
      </c>
      <c r="N47" s="190"/>
      <c r="O47" s="187"/>
      <c r="P47" s="187"/>
    </row>
    <row r="48" spans="1:16" ht="12.75">
      <c r="A48" s="21" t="s">
        <v>322</v>
      </c>
      <c r="B48" s="19"/>
      <c r="C48" s="19"/>
      <c r="D48" s="19"/>
      <c r="E48" s="19"/>
      <c r="F48" s="19"/>
      <c r="G48" s="19"/>
      <c r="H48" s="13"/>
      <c r="I48" s="13"/>
      <c r="J48" s="13"/>
      <c r="K48" s="65">
        <f>'P4P NC'!B35</f>
        <v>0</v>
      </c>
      <c r="L48" s="65">
        <f>'P4P NC'!C35</f>
        <v>0</v>
      </c>
      <c r="M48" s="65">
        <f t="shared" si="7"/>
        <v>0</v>
      </c>
      <c r="N48" s="190"/>
      <c r="O48" s="187"/>
      <c r="P48" s="187"/>
    </row>
    <row r="49" spans="1:16" ht="12.75">
      <c r="A49" s="21" t="s">
        <v>246</v>
      </c>
      <c r="B49" s="19"/>
      <c r="C49" s="19"/>
      <c r="D49" s="19"/>
      <c r="E49" s="19"/>
      <c r="F49" s="19"/>
      <c r="G49" s="19"/>
      <c r="H49" s="13"/>
      <c r="I49" s="13"/>
      <c r="J49" s="13"/>
      <c r="K49" s="65">
        <f>'Direct Install'!D32</f>
        <v>67968</v>
      </c>
      <c r="L49" s="65">
        <f>'Direct Install'!E32</f>
        <v>1016634</v>
      </c>
      <c r="M49" s="65">
        <f t="shared" si="7"/>
        <v>1084602</v>
      </c>
      <c r="N49" s="190"/>
      <c r="O49" s="187"/>
      <c r="P49" s="187"/>
    </row>
    <row r="50" spans="1:16" ht="12.75">
      <c r="A50" s="20" t="s">
        <v>216</v>
      </c>
      <c r="B50" s="42"/>
      <c r="C50" s="42"/>
      <c r="D50" s="42"/>
      <c r="E50" s="42"/>
      <c r="F50" s="42"/>
      <c r="G50" s="42"/>
      <c r="H50" s="92">
        <f>CHP!H37</f>
        <v>6313260</v>
      </c>
      <c r="I50" s="92">
        <f>CHP!I37</f>
        <v>625236</v>
      </c>
      <c r="J50" s="92">
        <f>CHP!J37</f>
        <v>2118252</v>
      </c>
      <c r="K50" s="95">
        <f>CHP!K37</f>
        <v>2063074</v>
      </c>
      <c r="L50" s="95">
        <f>CHP!L37</f>
        <v>0</v>
      </c>
      <c r="M50" s="65">
        <f t="shared" si="7"/>
        <v>11119822</v>
      </c>
      <c r="N50" s="190"/>
      <c r="O50" s="187"/>
      <c r="P50" s="187"/>
    </row>
    <row r="51" spans="1:16" ht="12.75">
      <c r="A51" s="70" t="s">
        <v>157</v>
      </c>
      <c r="B51" s="43">
        <f>'C&amp;I'!B73</f>
        <v>616099</v>
      </c>
      <c r="C51" s="43">
        <f>'C&amp;I'!C73</f>
        <v>502563</v>
      </c>
      <c r="D51" s="43">
        <f>'C&amp;I'!D73</f>
        <v>1510800</v>
      </c>
      <c r="E51" s="43">
        <f>'C&amp;I'!E73</f>
        <v>819655</v>
      </c>
      <c r="F51" s="43">
        <f aca="true" t="shared" si="8" ref="F51:K51">SUM(F44:F50)</f>
        <v>3436246</v>
      </c>
      <c r="G51" s="43">
        <f t="shared" si="8"/>
        <v>3145861</v>
      </c>
      <c r="H51" s="43">
        <f t="shared" si="8"/>
        <v>6992671</v>
      </c>
      <c r="I51" s="43">
        <f t="shared" si="8"/>
        <v>1659156</v>
      </c>
      <c r="J51" s="43">
        <f t="shared" si="8"/>
        <v>2935762</v>
      </c>
      <c r="K51" s="210">
        <f t="shared" si="8"/>
        <v>6746947</v>
      </c>
      <c r="L51" s="210">
        <f>SUM(L44:L50)</f>
        <v>2637393</v>
      </c>
      <c r="M51" s="210">
        <f t="shared" si="7"/>
        <v>31003153</v>
      </c>
      <c r="N51" s="190"/>
      <c r="O51" s="187"/>
      <c r="P51" s="187"/>
    </row>
    <row r="52" spans="1:16" ht="12.75">
      <c r="A52" s="32" t="s">
        <v>90</v>
      </c>
      <c r="B52" s="42">
        <f>B51+B42+B39</f>
        <v>4802982</v>
      </c>
      <c r="C52" s="42">
        <f aca="true" t="shared" si="9" ref="C52:K52">C51+C42+C39</f>
        <v>6532702</v>
      </c>
      <c r="D52" s="42">
        <f t="shared" si="9"/>
        <v>7706430</v>
      </c>
      <c r="E52" s="42">
        <f t="shared" si="9"/>
        <v>8107801</v>
      </c>
      <c r="F52" s="42">
        <f t="shared" si="9"/>
        <v>11677400</v>
      </c>
      <c r="G52" s="42">
        <f t="shared" si="9"/>
        <v>9137230</v>
      </c>
      <c r="H52" s="42">
        <f t="shared" si="9"/>
        <v>13732484</v>
      </c>
      <c r="I52" s="42">
        <f t="shared" si="9"/>
        <v>8571226</v>
      </c>
      <c r="J52" s="42">
        <f t="shared" si="9"/>
        <v>10524058</v>
      </c>
      <c r="K52" s="210">
        <f t="shared" si="9"/>
        <v>16475728</v>
      </c>
      <c r="L52" s="210">
        <f>L51+L42+L39</f>
        <v>14493173.84</v>
      </c>
      <c r="M52" s="210">
        <f t="shared" si="7"/>
        <v>111761214.84</v>
      </c>
      <c r="N52" s="211"/>
      <c r="O52" s="202" t="s">
        <v>103</v>
      </c>
      <c r="P52" s="187"/>
    </row>
    <row r="53" spans="1:16" ht="12.75">
      <c r="A53" s="33"/>
      <c r="B53" s="99"/>
      <c r="C53" s="99"/>
      <c r="D53" s="99"/>
      <c r="E53" s="99"/>
      <c r="F53" s="99"/>
      <c r="G53" s="99"/>
      <c r="H53" s="99"/>
      <c r="I53" s="99"/>
      <c r="J53" s="99"/>
      <c r="K53" s="212"/>
      <c r="L53" s="212"/>
      <c r="M53" s="212"/>
      <c r="N53" s="187"/>
      <c r="O53" s="187"/>
      <c r="P53" s="187"/>
    </row>
    <row r="54" spans="2:16" ht="12.75">
      <c r="B54" s="27">
        <v>2001</v>
      </c>
      <c r="C54" s="27">
        <v>2002</v>
      </c>
      <c r="D54" s="27">
        <v>2003</v>
      </c>
      <c r="E54" s="27">
        <v>2004</v>
      </c>
      <c r="F54" s="27">
        <v>2005</v>
      </c>
      <c r="G54" s="27">
        <v>2006</v>
      </c>
      <c r="H54" s="27">
        <v>2007</v>
      </c>
      <c r="I54" s="27">
        <v>2008</v>
      </c>
      <c r="J54" s="27">
        <v>2009</v>
      </c>
      <c r="K54" s="203">
        <v>2010</v>
      </c>
      <c r="L54" s="203">
        <v>2011</v>
      </c>
      <c r="M54" s="203" t="s">
        <v>1</v>
      </c>
      <c r="N54" s="187"/>
      <c r="O54" s="187"/>
      <c r="P54" s="187"/>
    </row>
    <row r="55" spans="1:16" ht="12.75">
      <c r="A55" s="33" t="s">
        <v>110</v>
      </c>
      <c r="B55" s="40"/>
      <c r="C55" s="40"/>
      <c r="D55" s="40"/>
      <c r="E55" s="40"/>
      <c r="F55" s="40"/>
      <c r="G55" s="40"/>
      <c r="H55" s="50"/>
      <c r="I55" s="50"/>
      <c r="J55" s="50"/>
      <c r="K55" s="69"/>
      <c r="L55" s="69"/>
      <c r="M55" s="194"/>
      <c r="N55" s="187"/>
      <c r="O55" s="187"/>
      <c r="P55" s="187"/>
    </row>
    <row r="56" spans="1:16" ht="12.75">
      <c r="A56" s="33"/>
      <c r="B56" s="51" t="s">
        <v>29</v>
      </c>
      <c r="C56" s="51" t="s">
        <v>29</v>
      </c>
      <c r="D56" s="51" t="s">
        <v>29</v>
      </c>
      <c r="E56" s="51" t="s">
        <v>29</v>
      </c>
      <c r="F56" s="51" t="s">
        <v>29</v>
      </c>
      <c r="G56" s="51" t="s">
        <v>29</v>
      </c>
      <c r="H56" s="28" t="s">
        <v>29</v>
      </c>
      <c r="I56" s="28" t="s">
        <v>29</v>
      </c>
      <c r="J56" s="28" t="s">
        <v>29</v>
      </c>
      <c r="K56" s="204" t="s">
        <v>29</v>
      </c>
      <c r="L56" s="204" t="s">
        <v>29</v>
      </c>
      <c r="M56" s="109" t="s">
        <v>29</v>
      </c>
      <c r="N56" s="187"/>
      <c r="O56" s="187"/>
      <c r="P56" s="187"/>
    </row>
    <row r="57" spans="1:16" ht="12.75">
      <c r="A57" s="24" t="s">
        <v>91</v>
      </c>
      <c r="B57" s="30">
        <f>CORE!B21</f>
        <v>173</v>
      </c>
      <c r="C57" s="30">
        <f>CORE!C21</f>
        <v>56330</v>
      </c>
      <c r="D57" s="30">
        <f>CORE!D21</f>
        <v>109981</v>
      </c>
      <c r="E57" s="30">
        <f>CORE!E21</f>
        <v>82996</v>
      </c>
      <c r="F57" s="30">
        <f>CORE!F21</f>
        <v>351179</v>
      </c>
      <c r="G57" s="30">
        <f>CORE!G21</f>
        <v>449400</v>
      </c>
      <c r="H57" s="13">
        <f>CORE!H21</f>
        <v>487379</v>
      </c>
      <c r="I57" s="13">
        <f>CORE!I21</f>
        <v>354528</v>
      </c>
      <c r="J57" s="13">
        <f>CORE!J21</f>
        <v>308648</v>
      </c>
      <c r="K57" s="65">
        <f>CORE!K21</f>
        <v>363625</v>
      </c>
      <c r="L57" s="65">
        <f>CORE!L21</f>
        <v>139211</v>
      </c>
      <c r="M57" s="95">
        <f aca="true" t="shared" si="10" ref="M57:M62">SUM(B57:L57)</f>
        <v>2703450</v>
      </c>
      <c r="N57" s="190"/>
      <c r="O57" s="187"/>
      <c r="P57" s="187"/>
    </row>
    <row r="58" spans="1:16" ht="12.75">
      <c r="A58" s="24" t="s">
        <v>271</v>
      </c>
      <c r="B58" s="30"/>
      <c r="C58" s="30"/>
      <c r="D58" s="30"/>
      <c r="E58" s="30"/>
      <c r="F58" s="30"/>
      <c r="G58" s="30"/>
      <c r="H58" s="13"/>
      <c r="I58" s="13"/>
      <c r="J58" s="13">
        <f>REIP!B19</f>
        <v>51565</v>
      </c>
      <c r="K58" s="65">
        <f>REIP!C19</f>
        <v>387059</v>
      </c>
      <c r="L58" s="65">
        <f>REIP!D19</f>
        <v>428211</v>
      </c>
      <c r="M58" s="95">
        <f t="shared" si="10"/>
        <v>866835</v>
      </c>
      <c r="N58" s="190"/>
      <c r="O58" s="187"/>
      <c r="P58" s="187"/>
    </row>
    <row r="59" spans="1:16" ht="12.75">
      <c r="A59" s="24" t="s">
        <v>212</v>
      </c>
      <c r="B59" s="30"/>
      <c r="C59" s="30"/>
      <c r="D59" s="30"/>
      <c r="E59" s="30"/>
      <c r="F59" s="30"/>
      <c r="G59" s="30"/>
      <c r="H59" s="13">
        <f>REC!B15</f>
        <v>312</v>
      </c>
      <c r="I59" s="13">
        <f>REC!C15</f>
        <v>202392</v>
      </c>
      <c r="J59" s="13">
        <f>REC!D15</f>
        <v>822467</v>
      </c>
      <c r="K59" s="65">
        <f>REC!E15</f>
        <v>3498394</v>
      </c>
      <c r="L59" s="65">
        <f>REC!F15</f>
        <v>7073890</v>
      </c>
      <c r="M59" s="95">
        <f t="shared" si="10"/>
        <v>11597455</v>
      </c>
      <c r="N59" s="190"/>
      <c r="O59" s="187"/>
      <c r="P59" s="187"/>
    </row>
    <row r="60" spans="1:16" ht="12.75">
      <c r="A60" s="20" t="s">
        <v>343</v>
      </c>
      <c r="B60" s="30"/>
      <c r="C60" s="30"/>
      <c r="D60" s="30"/>
      <c r="E60" s="30"/>
      <c r="F60" s="30"/>
      <c r="G60" s="30"/>
      <c r="H60" s="13"/>
      <c r="I60" s="13"/>
      <c r="J60" s="13">
        <f>'RE Grid Connected'!B19</f>
        <v>0</v>
      </c>
      <c r="K60" s="65">
        <f>'RE Grid Connected'!C19</f>
        <v>0</v>
      </c>
      <c r="L60" s="65">
        <f>'RE Grid Connected'!D19</f>
        <v>0</v>
      </c>
      <c r="M60" s="95">
        <f t="shared" si="10"/>
        <v>0</v>
      </c>
      <c r="N60" s="190"/>
      <c r="O60" s="187"/>
      <c r="P60" s="187"/>
    </row>
    <row r="61" spans="1:16" ht="12.75">
      <c r="A61" s="24" t="s">
        <v>141</v>
      </c>
      <c r="B61" s="30">
        <v>0</v>
      </c>
      <c r="C61" s="30">
        <v>0</v>
      </c>
      <c r="D61" s="30">
        <v>0</v>
      </c>
      <c r="E61" s="30">
        <f>'RE Grants and Financing'!E35</f>
        <v>0</v>
      </c>
      <c r="F61" s="30">
        <f>'RE Grants and Financing'!F35</f>
        <v>187740</v>
      </c>
      <c r="G61" s="30">
        <f>'RE Grants and Financing'!G35</f>
        <v>0</v>
      </c>
      <c r="H61" s="13">
        <f>'RE Grants and Financing'!H35</f>
        <v>478464</v>
      </c>
      <c r="I61" s="13">
        <f>'RE Grants and Financing'!I35</f>
        <v>1438040</v>
      </c>
      <c r="J61" s="13">
        <f>'RE Grants and Financing'!J35</f>
        <v>174240</v>
      </c>
      <c r="K61" s="65">
        <f>'RE Grants and Financing'!K35</f>
        <v>602055</v>
      </c>
      <c r="L61" s="65"/>
      <c r="M61" s="95">
        <f t="shared" si="10"/>
        <v>2880539</v>
      </c>
      <c r="N61" s="202"/>
      <c r="O61" s="187"/>
      <c r="P61" s="187"/>
    </row>
    <row r="62" spans="1:16" ht="12.75">
      <c r="A62" s="14" t="s">
        <v>1</v>
      </c>
      <c r="B62" s="30">
        <f aca="true" t="shared" si="11" ref="B62:G62">SUM(B57:B61)</f>
        <v>173</v>
      </c>
      <c r="C62" s="30">
        <f t="shared" si="11"/>
        <v>56330</v>
      </c>
      <c r="D62" s="30">
        <f t="shared" si="11"/>
        <v>109981</v>
      </c>
      <c r="E62" s="30">
        <f t="shared" si="11"/>
        <v>82996</v>
      </c>
      <c r="F62" s="30">
        <f t="shared" si="11"/>
        <v>538919</v>
      </c>
      <c r="G62" s="30">
        <f t="shared" si="11"/>
        <v>449400</v>
      </c>
      <c r="H62" s="13">
        <f>SUM(H57:H61)</f>
        <v>966155</v>
      </c>
      <c r="I62" s="13">
        <f>SUM(I57:I61)</f>
        <v>1994960</v>
      </c>
      <c r="J62" s="13">
        <f>SUM(J57:J61)</f>
        <v>1356920</v>
      </c>
      <c r="K62" s="65">
        <f>SUM(K57:K61)</f>
        <v>4851133</v>
      </c>
      <c r="L62" s="65">
        <f>SUM(L57:L61)</f>
        <v>7641312</v>
      </c>
      <c r="M62" s="95">
        <f t="shared" si="10"/>
        <v>18048279</v>
      </c>
      <c r="N62" s="190"/>
      <c r="O62" s="187"/>
      <c r="P62" s="187"/>
    </row>
    <row r="63" spans="1:16" ht="12.75">
      <c r="A63" s="33"/>
      <c r="B63" s="40"/>
      <c r="C63" s="40"/>
      <c r="D63" s="40"/>
      <c r="E63" s="40"/>
      <c r="F63" s="40"/>
      <c r="G63" s="40"/>
      <c r="H63" s="50"/>
      <c r="I63" s="50"/>
      <c r="J63" s="50"/>
      <c r="K63" s="69"/>
      <c r="L63" s="69"/>
      <c r="M63" s="194"/>
      <c r="N63" s="190"/>
      <c r="O63" s="187"/>
      <c r="P63" s="187"/>
    </row>
    <row r="64" spans="1:16" ht="12.75">
      <c r="A64" s="33" t="s">
        <v>188</v>
      </c>
      <c r="B64" s="51" t="s">
        <v>29</v>
      </c>
      <c r="C64" s="51" t="s">
        <v>29</v>
      </c>
      <c r="D64" s="51" t="s">
        <v>29</v>
      </c>
      <c r="E64" s="51" t="s">
        <v>29</v>
      </c>
      <c r="F64" s="51" t="s">
        <v>29</v>
      </c>
      <c r="G64" s="51" t="s">
        <v>29</v>
      </c>
      <c r="H64" s="51" t="s">
        <v>29</v>
      </c>
      <c r="I64" s="51" t="s">
        <v>29</v>
      </c>
      <c r="J64" s="51" t="s">
        <v>29</v>
      </c>
      <c r="K64" s="204" t="s">
        <v>29</v>
      </c>
      <c r="L64" s="204" t="s">
        <v>29</v>
      </c>
      <c r="M64" s="109" t="s">
        <v>29</v>
      </c>
      <c r="N64" s="190"/>
      <c r="O64" s="187"/>
      <c r="P64" s="187"/>
    </row>
    <row r="65" spans="1:14" ht="12.75">
      <c r="A65" s="24" t="s">
        <v>59</v>
      </c>
      <c r="B65" s="30">
        <f>CHP!B52</f>
        <v>0</v>
      </c>
      <c r="C65" s="30">
        <f>CHP!C52</f>
        <v>0</v>
      </c>
      <c r="D65" s="30">
        <f>CHP!D52</f>
        <v>0</v>
      </c>
      <c r="E65" s="30">
        <f>CHP!E52</f>
        <v>0</v>
      </c>
      <c r="F65" s="30">
        <f>CHP!F52</f>
        <v>11498</v>
      </c>
      <c r="G65" s="30">
        <f>CHP!G52</f>
        <v>112759</v>
      </c>
      <c r="H65" s="13">
        <f>CHP!H52</f>
        <v>1225505</v>
      </c>
      <c r="I65" s="13">
        <f>CHP!I52</f>
        <v>109364</v>
      </c>
      <c r="J65" s="13">
        <f>CHP!J52</f>
        <v>423802</v>
      </c>
      <c r="K65" s="13">
        <f>CHP!K52</f>
        <v>524075</v>
      </c>
      <c r="L65" s="13">
        <f>CHP!L52</f>
        <v>0</v>
      </c>
      <c r="M65" s="92">
        <f>SUM(B65:L65)</f>
        <v>2407003</v>
      </c>
      <c r="N65" s="25"/>
    </row>
    <row r="66" spans="1:13" ht="12.75">
      <c r="A66" s="33"/>
      <c r="B66" s="40"/>
      <c r="C66" s="40"/>
      <c r="D66" s="40"/>
      <c r="E66" s="40"/>
      <c r="F66" s="40"/>
      <c r="G66" s="40"/>
      <c r="H66" s="50"/>
      <c r="I66" s="50"/>
      <c r="J66" s="50"/>
      <c r="K66" s="50"/>
      <c r="L66" s="50"/>
      <c r="M66" s="40"/>
    </row>
    <row r="67" spans="1:12" ht="15.75">
      <c r="A67" s="66" t="s">
        <v>143</v>
      </c>
      <c r="B67" s="27">
        <v>2001</v>
      </c>
      <c r="C67" s="27">
        <v>2002</v>
      </c>
      <c r="D67" s="27">
        <v>2003</v>
      </c>
      <c r="E67" s="27">
        <v>2004</v>
      </c>
      <c r="F67" s="27">
        <v>2005</v>
      </c>
      <c r="G67" s="27">
        <v>2006</v>
      </c>
      <c r="H67" s="27">
        <v>2007</v>
      </c>
      <c r="I67" s="27">
        <v>2008</v>
      </c>
      <c r="J67" s="27">
        <v>2009</v>
      </c>
      <c r="K67" s="27">
        <v>2010</v>
      </c>
      <c r="L67" s="27">
        <v>2011</v>
      </c>
    </row>
    <row r="68" spans="1:13" ht="12.75">
      <c r="A68" s="1" t="s">
        <v>145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 ht="12.75">
      <c r="B69" s="28" t="s">
        <v>29</v>
      </c>
      <c r="C69" s="28" t="s">
        <v>29</v>
      </c>
      <c r="D69" s="28" t="s">
        <v>29</v>
      </c>
      <c r="E69" s="28" t="s">
        <v>29</v>
      </c>
      <c r="F69" s="28" t="s">
        <v>29</v>
      </c>
      <c r="G69" s="28" t="s">
        <v>29</v>
      </c>
      <c r="H69" s="28" t="s">
        <v>29</v>
      </c>
      <c r="I69" s="28" t="s">
        <v>29</v>
      </c>
      <c r="J69" s="28" t="s">
        <v>29</v>
      </c>
      <c r="K69" s="28" t="s">
        <v>29</v>
      </c>
      <c r="L69" s="28" t="s">
        <v>29</v>
      </c>
      <c r="M69" s="51"/>
    </row>
    <row r="70" spans="1:13" ht="12.75">
      <c r="A70" s="29" t="s">
        <v>82</v>
      </c>
      <c r="B70" s="30">
        <f>RNC!B34</f>
        <v>131481</v>
      </c>
      <c r="C70" s="30">
        <f>RNC!C34</f>
        <v>504649</v>
      </c>
      <c r="D70" s="30">
        <f>RNC!D34</f>
        <v>440776</v>
      </c>
      <c r="E70" s="30">
        <f>RNC!E34</f>
        <v>79079</v>
      </c>
      <c r="F70" s="30">
        <f>RNC!F34</f>
        <v>365223</v>
      </c>
      <c r="G70" s="30">
        <f>RNC!G34</f>
        <v>347822</v>
      </c>
      <c r="H70" s="13">
        <f>RNC!H34</f>
        <v>165060</v>
      </c>
      <c r="I70" s="13">
        <f>RNC!I34</f>
        <v>223740</v>
      </c>
      <c r="J70" s="13">
        <f>RNC!J34</f>
        <v>92158</v>
      </c>
      <c r="K70" s="13">
        <f>RNC!K34</f>
        <v>77682</v>
      </c>
      <c r="L70" s="13">
        <f>RNC!L34</f>
        <v>41646</v>
      </c>
      <c r="M70" s="40"/>
    </row>
    <row r="71" spans="1:13" ht="12.75">
      <c r="A71" s="29" t="s">
        <v>89</v>
      </c>
      <c r="B71" s="30">
        <f>'C&amp;I'!B94</f>
        <v>937582</v>
      </c>
      <c r="C71" s="30">
        <f>'C&amp;I'!C94</f>
        <v>654800</v>
      </c>
      <c r="D71" s="30">
        <f>'C&amp;I'!D94</f>
        <v>2441633</v>
      </c>
      <c r="E71" s="30">
        <f>'C&amp;I'!E94</f>
        <v>1682736</v>
      </c>
      <c r="F71" s="30">
        <f>'C&amp;I'!F94</f>
        <v>1641228</v>
      </c>
      <c r="G71" s="30">
        <f>'C&amp;I'!G94</f>
        <v>674115</v>
      </c>
      <c r="H71" s="13">
        <f>'C&amp;I'!H94</f>
        <v>2563547</v>
      </c>
      <c r="I71" s="13">
        <f>'C&amp;I'!I94</f>
        <v>877194</v>
      </c>
      <c r="J71" s="13">
        <f>'C&amp;I'!J94</f>
        <v>1761322</v>
      </c>
      <c r="K71" s="13">
        <f>'C&amp;I'!K94</f>
        <v>1519290</v>
      </c>
      <c r="L71" s="13">
        <f>'C&amp;I'!L94</f>
        <v>2260079</v>
      </c>
      <c r="M71" s="40"/>
    </row>
    <row r="72" spans="1:13" ht="12.75">
      <c r="A72" s="21" t="s">
        <v>321</v>
      </c>
      <c r="B72" s="30"/>
      <c r="C72" s="30"/>
      <c r="D72" s="30"/>
      <c r="E72" s="30"/>
      <c r="F72" s="30"/>
      <c r="G72" s="30"/>
      <c r="H72" s="13"/>
      <c r="I72" s="13"/>
      <c r="J72" s="13"/>
      <c r="K72" s="13">
        <f>'P4P '!D43</f>
        <v>0</v>
      </c>
      <c r="L72" s="13">
        <f>'P4P '!E43</f>
        <v>847665</v>
      </c>
      <c r="M72" s="40"/>
    </row>
    <row r="73" spans="1:13" ht="12.75">
      <c r="A73" s="21" t="s">
        <v>322</v>
      </c>
      <c r="B73" s="30"/>
      <c r="C73" s="30"/>
      <c r="D73" s="30"/>
      <c r="E73" s="30"/>
      <c r="F73" s="30"/>
      <c r="G73" s="30"/>
      <c r="H73" s="13"/>
      <c r="I73" s="13"/>
      <c r="J73" s="13"/>
      <c r="K73" s="13">
        <f>'P4P NC'!B43</f>
        <v>0</v>
      </c>
      <c r="L73" s="13">
        <f>'P4P NC'!C43</f>
        <v>112356</v>
      </c>
      <c r="M73" s="40"/>
    </row>
    <row r="74" spans="1:13" ht="12.75">
      <c r="A74" s="21" t="s">
        <v>246</v>
      </c>
      <c r="B74" s="30"/>
      <c r="C74" s="30"/>
      <c r="D74" s="30"/>
      <c r="E74" s="30"/>
      <c r="F74" s="30"/>
      <c r="G74" s="30"/>
      <c r="H74" s="13"/>
      <c r="I74" s="13"/>
      <c r="J74" s="13"/>
      <c r="K74" s="13">
        <f>'Direct Install'!D40</f>
        <v>241683</v>
      </c>
      <c r="L74" s="13">
        <f>'Direct Install'!E40</f>
        <v>398064</v>
      </c>
      <c r="M74" s="40"/>
    </row>
    <row r="75" spans="1:13" ht="12.75">
      <c r="A75" s="24" t="s">
        <v>59</v>
      </c>
      <c r="B75" s="30"/>
      <c r="C75" s="30"/>
      <c r="D75" s="30"/>
      <c r="E75" s="30"/>
      <c r="F75" s="30"/>
      <c r="G75" s="30"/>
      <c r="H75" s="13"/>
      <c r="I75" s="13"/>
      <c r="J75" s="13">
        <f>CHP!J30</f>
        <v>4245</v>
      </c>
      <c r="K75" s="13">
        <f>CHP!K30</f>
        <v>0</v>
      </c>
      <c r="L75" s="13">
        <f>CHP!L30</f>
        <v>0</v>
      </c>
      <c r="M75" s="40"/>
    </row>
    <row r="76" spans="1:14" ht="12.75">
      <c r="A76" s="32" t="s">
        <v>107</v>
      </c>
      <c r="B76" s="67">
        <f>SUM(B70:B75)</f>
        <v>1069063</v>
      </c>
      <c r="C76" s="67">
        <f aca="true" t="shared" si="12" ref="C76:J76">SUM(C70:C75)</f>
        <v>1159449</v>
      </c>
      <c r="D76" s="67">
        <f t="shared" si="12"/>
        <v>2882409</v>
      </c>
      <c r="E76" s="67">
        <f t="shared" si="12"/>
        <v>1761815</v>
      </c>
      <c r="F76" s="67">
        <f t="shared" si="12"/>
        <v>2006451</v>
      </c>
      <c r="G76" s="67">
        <f t="shared" si="12"/>
        <v>1021937</v>
      </c>
      <c r="H76" s="67">
        <f t="shared" si="12"/>
        <v>2728607</v>
      </c>
      <c r="I76" s="67">
        <f t="shared" si="12"/>
        <v>1100934</v>
      </c>
      <c r="J76" s="67">
        <f t="shared" si="12"/>
        <v>1857725</v>
      </c>
      <c r="K76" s="92">
        <f>SUM(K70:K75)</f>
        <v>1838655</v>
      </c>
      <c r="L76" s="92">
        <f>SUM(L70:L75)</f>
        <v>3659810</v>
      </c>
      <c r="M76" s="72"/>
      <c r="N76" s="25"/>
    </row>
    <row r="77" spans="1:14" ht="12.75">
      <c r="A77" s="39"/>
      <c r="B77" s="72"/>
      <c r="C77" s="72"/>
      <c r="D77" s="72"/>
      <c r="E77" s="72"/>
      <c r="F77" s="72"/>
      <c r="G77" s="72"/>
      <c r="H77" s="105"/>
      <c r="I77" s="105"/>
      <c r="J77" s="105"/>
      <c r="K77" s="105"/>
      <c r="L77" s="105"/>
      <c r="M77" s="72"/>
      <c r="N77" s="25"/>
    </row>
    <row r="78" spans="1:14" ht="12.75">
      <c r="A78" s="32" t="s">
        <v>59</v>
      </c>
      <c r="B78" s="67">
        <f>CHP!B62</f>
        <v>0</v>
      </c>
      <c r="C78" s="67">
        <f>CHP!C62</f>
        <v>0</v>
      </c>
      <c r="D78" s="67">
        <f>CHP!D62</f>
        <v>0</v>
      </c>
      <c r="E78" s="67">
        <f>CHP!E62</f>
        <v>0</v>
      </c>
      <c r="F78" s="67">
        <f>CHP!F62</f>
        <v>199875</v>
      </c>
      <c r="G78" s="67">
        <f>CHP!G62</f>
        <v>0</v>
      </c>
      <c r="H78" s="67">
        <f>CHP!H62</f>
        <v>1263019</v>
      </c>
      <c r="I78" s="67">
        <f>CHP!I62</f>
        <v>3705353</v>
      </c>
      <c r="J78" s="67">
        <f>CHP!J62</f>
        <v>1486741</v>
      </c>
      <c r="K78" s="67">
        <f>CHP!K62</f>
        <v>500620</v>
      </c>
      <c r="L78" s="67">
        <f>CHP!L62</f>
        <v>29465</v>
      </c>
      <c r="M78" s="72"/>
      <c r="N78" s="25"/>
    </row>
    <row r="79" spans="1:13" ht="12.75">
      <c r="A79" s="39"/>
      <c r="B79" s="40"/>
      <c r="C79" s="40"/>
      <c r="D79" s="40"/>
      <c r="E79" s="40"/>
      <c r="F79" s="40"/>
      <c r="G79" s="40"/>
      <c r="H79" s="50"/>
      <c r="I79" s="50"/>
      <c r="J79" s="50"/>
      <c r="K79" s="50"/>
      <c r="L79" s="50"/>
      <c r="M79" s="40"/>
    </row>
    <row r="80" spans="2:13" ht="12.75">
      <c r="B80" s="28" t="s">
        <v>13</v>
      </c>
      <c r="C80" s="28" t="s">
        <v>13</v>
      </c>
      <c r="D80" s="28" t="s">
        <v>13</v>
      </c>
      <c r="E80" s="28" t="s">
        <v>13</v>
      </c>
      <c r="F80" s="28" t="s">
        <v>13</v>
      </c>
      <c r="G80" s="28" t="s">
        <v>13</v>
      </c>
      <c r="H80" s="28" t="s">
        <v>13</v>
      </c>
      <c r="I80" s="28" t="s">
        <v>13</v>
      </c>
      <c r="J80" s="28" t="s">
        <v>13</v>
      </c>
      <c r="K80" s="28" t="s">
        <v>13</v>
      </c>
      <c r="L80" s="28" t="s">
        <v>13</v>
      </c>
      <c r="M80" s="51"/>
    </row>
    <row r="81" spans="1:13" ht="12.75">
      <c r="A81" s="29" t="s">
        <v>82</v>
      </c>
      <c r="B81" s="19">
        <f>RNC!B41</f>
        <v>2015046</v>
      </c>
      <c r="C81" s="19">
        <f>RNC!C41</f>
        <v>12337003</v>
      </c>
      <c r="D81" s="19">
        <f>RNC!D41</f>
        <v>12126506</v>
      </c>
      <c r="E81" s="19">
        <f>RNC!E41</f>
        <v>2824084</v>
      </c>
      <c r="F81" s="19">
        <f>RNC!F41</f>
        <v>11008888</v>
      </c>
      <c r="G81" s="19">
        <f>RNC!G41</f>
        <v>5939348</v>
      </c>
      <c r="H81" s="13">
        <f>RNC!H41</f>
        <v>3111900</v>
      </c>
      <c r="I81" s="13">
        <f>RNC!I41</f>
        <v>6254560</v>
      </c>
      <c r="J81" s="13">
        <f>RNC!J41</f>
        <v>4836980</v>
      </c>
      <c r="K81" s="13">
        <f>RNC!K41</f>
        <v>3817300</v>
      </c>
      <c r="L81" s="13">
        <f>RNC!L41</f>
        <v>1497520</v>
      </c>
      <c r="M81" s="74"/>
    </row>
    <row r="82" spans="1:13" ht="12.75">
      <c r="A82" s="29" t="s">
        <v>89</v>
      </c>
      <c r="B82" s="19">
        <f>'C&amp;I'!B106</f>
        <v>0</v>
      </c>
      <c r="C82" s="19">
        <f>'C&amp;I'!C106</f>
        <v>477024</v>
      </c>
      <c r="D82" s="19">
        <f>'C&amp;I'!D106</f>
        <v>416360</v>
      </c>
      <c r="E82" s="19">
        <f>'C&amp;I'!E106</f>
        <v>2302770</v>
      </c>
      <c r="F82" s="19">
        <f>'C&amp;I'!F106</f>
        <v>2626526</v>
      </c>
      <c r="G82" s="19">
        <f>'C&amp;I'!G106</f>
        <v>893280</v>
      </c>
      <c r="H82" s="13">
        <f>'C&amp;I'!H106</f>
        <v>878576</v>
      </c>
      <c r="I82" s="13">
        <f>'C&amp;I'!I106</f>
        <v>1490894</v>
      </c>
      <c r="J82" s="13">
        <f>'C&amp;I'!J106</f>
        <v>4272952</v>
      </c>
      <c r="K82" s="13">
        <f>'C&amp;I'!K106</f>
        <v>1473683</v>
      </c>
      <c r="L82" s="13">
        <f>'C&amp;I'!L106</f>
        <v>4897510</v>
      </c>
      <c r="M82" s="74"/>
    </row>
    <row r="83" spans="1:17" ht="12.75">
      <c r="A83" s="21" t="s">
        <v>321</v>
      </c>
      <c r="B83" s="80"/>
      <c r="C83" s="80"/>
      <c r="D83" s="80"/>
      <c r="E83" s="80"/>
      <c r="F83" s="80"/>
      <c r="G83" s="80"/>
      <c r="H83" s="65"/>
      <c r="I83" s="65"/>
      <c r="J83" s="65"/>
      <c r="K83" s="65">
        <f>'P4P '!D53</f>
        <v>1738786</v>
      </c>
      <c r="L83" s="65">
        <f>'P4P '!E53</f>
        <v>4620736</v>
      </c>
      <c r="M83" s="122"/>
      <c r="N83" s="187"/>
      <c r="O83" s="187"/>
      <c r="P83" s="187"/>
      <c r="Q83" s="187"/>
    </row>
    <row r="84" spans="1:17" ht="12.75">
      <c r="A84" s="21" t="s">
        <v>322</v>
      </c>
      <c r="B84" s="80"/>
      <c r="C84" s="80"/>
      <c r="D84" s="80"/>
      <c r="E84" s="80"/>
      <c r="F84" s="80"/>
      <c r="G84" s="80"/>
      <c r="H84" s="65"/>
      <c r="I84" s="65"/>
      <c r="J84" s="65"/>
      <c r="K84" s="65">
        <f>'P4P NC'!B53</f>
        <v>0</v>
      </c>
      <c r="L84" s="65">
        <f>'P4P NC'!C53</f>
        <v>223315</v>
      </c>
      <c r="M84" s="122"/>
      <c r="N84" s="187"/>
      <c r="O84" s="187"/>
      <c r="P84" s="187"/>
      <c r="Q84" s="187"/>
    </row>
    <row r="85" spans="1:17" ht="12.75">
      <c r="A85" s="21" t="s">
        <v>246</v>
      </c>
      <c r="B85" s="80"/>
      <c r="C85" s="80"/>
      <c r="D85" s="80"/>
      <c r="E85" s="80"/>
      <c r="F85" s="80"/>
      <c r="G85" s="80"/>
      <c r="H85" s="65"/>
      <c r="I85" s="65"/>
      <c r="J85" s="65"/>
      <c r="K85" s="65">
        <f>'Direct Install'!D50</f>
        <v>76641</v>
      </c>
      <c r="L85" s="65">
        <f>'Direct Install'!E50</f>
        <v>970820</v>
      </c>
      <c r="M85" s="122"/>
      <c r="N85" s="187"/>
      <c r="O85" s="187"/>
      <c r="P85" s="187"/>
      <c r="Q85" s="187"/>
    </row>
    <row r="86" spans="1:17" ht="12.75">
      <c r="A86" s="32" t="s">
        <v>106</v>
      </c>
      <c r="B86" s="213">
        <f>SUM(B81:B85)</f>
        <v>2015046</v>
      </c>
      <c r="C86" s="213">
        <f aca="true" t="shared" si="13" ref="C86:L86">SUM(C81:C85)</f>
        <v>12814027</v>
      </c>
      <c r="D86" s="213">
        <f t="shared" si="13"/>
        <v>12542866</v>
      </c>
      <c r="E86" s="213">
        <f t="shared" si="13"/>
        <v>5126854</v>
      </c>
      <c r="F86" s="213">
        <f t="shared" si="13"/>
        <v>13635414</v>
      </c>
      <c r="G86" s="213">
        <f t="shared" si="13"/>
        <v>6832628</v>
      </c>
      <c r="H86" s="213">
        <f t="shared" si="13"/>
        <v>3990476</v>
      </c>
      <c r="I86" s="213">
        <f t="shared" si="13"/>
        <v>7745454</v>
      </c>
      <c r="J86" s="213">
        <f t="shared" si="13"/>
        <v>9109932</v>
      </c>
      <c r="K86" s="213">
        <f t="shared" si="13"/>
        <v>7106410</v>
      </c>
      <c r="L86" s="213">
        <f t="shared" si="13"/>
        <v>12209901</v>
      </c>
      <c r="M86" s="214"/>
      <c r="N86" s="190"/>
      <c r="O86" s="187"/>
      <c r="P86" s="187"/>
      <c r="Q86" s="187"/>
    </row>
    <row r="87" spans="1:17" ht="12.75">
      <c r="A87" s="14" t="s">
        <v>216</v>
      </c>
      <c r="B87" s="80"/>
      <c r="C87" s="80"/>
      <c r="D87" s="80"/>
      <c r="E87" s="80"/>
      <c r="F87" s="80"/>
      <c r="G87" s="80"/>
      <c r="H87" s="65">
        <f>CHP!H44</f>
        <v>7246151</v>
      </c>
      <c r="I87" s="65">
        <f>CHP!I44</f>
        <v>14391686</v>
      </c>
      <c r="J87" s="65">
        <f>CHP!J44</f>
        <v>11549352</v>
      </c>
      <c r="K87" s="65">
        <f>CHP!K44</f>
        <v>2825028</v>
      </c>
      <c r="L87" s="65">
        <f>CHP!L44</f>
        <v>62424</v>
      </c>
      <c r="M87" s="122"/>
      <c r="N87" s="190"/>
      <c r="O87" s="187"/>
      <c r="P87" s="187"/>
      <c r="Q87" s="187"/>
    </row>
    <row r="88" spans="1:17" ht="12.75">
      <c r="A88" s="14" t="s">
        <v>231</v>
      </c>
      <c r="B88" s="209">
        <f>B87+B86</f>
        <v>2015046</v>
      </c>
      <c r="C88" s="209">
        <f aca="true" t="shared" si="14" ref="C88:H88">C87+C86</f>
        <v>12814027</v>
      </c>
      <c r="D88" s="209">
        <f t="shared" si="14"/>
        <v>12542866</v>
      </c>
      <c r="E88" s="209">
        <f t="shared" si="14"/>
        <v>5126854</v>
      </c>
      <c r="F88" s="209">
        <f t="shared" si="14"/>
        <v>13635414</v>
      </c>
      <c r="G88" s="209">
        <f t="shared" si="14"/>
        <v>6832628</v>
      </c>
      <c r="H88" s="209">
        <f t="shared" si="14"/>
        <v>11236627</v>
      </c>
      <c r="I88" s="209">
        <f>I87+I86</f>
        <v>22137140</v>
      </c>
      <c r="J88" s="209">
        <f>J87+J86</f>
        <v>20659284</v>
      </c>
      <c r="K88" s="210">
        <f>K87+K86</f>
        <v>9931438</v>
      </c>
      <c r="L88" s="210">
        <f>L87+L86</f>
        <v>12272325</v>
      </c>
      <c r="M88" s="122"/>
      <c r="N88" s="190"/>
      <c r="O88" s="187"/>
      <c r="P88" s="187"/>
      <c r="Q88" s="187"/>
    </row>
    <row r="89" spans="1:17" ht="12.75">
      <c r="A89" s="39"/>
      <c r="B89" s="122"/>
      <c r="C89" s="122"/>
      <c r="D89" s="122"/>
      <c r="E89" s="122"/>
      <c r="F89" s="122"/>
      <c r="G89" s="122"/>
      <c r="H89" s="69"/>
      <c r="I89" s="69"/>
      <c r="J89" s="69"/>
      <c r="K89" s="69"/>
      <c r="L89" s="69"/>
      <c r="M89" s="122"/>
      <c r="N89" s="190"/>
      <c r="O89" s="187"/>
      <c r="P89" s="187"/>
      <c r="Q89" s="187"/>
    </row>
    <row r="90" spans="1:17" ht="12.75">
      <c r="A90" s="33" t="s">
        <v>110</v>
      </c>
      <c r="B90" s="194"/>
      <c r="C90" s="194"/>
      <c r="D90" s="194"/>
      <c r="E90" s="194"/>
      <c r="F90" s="194"/>
      <c r="G90" s="194"/>
      <c r="H90" s="69"/>
      <c r="I90" s="69"/>
      <c r="J90" s="69"/>
      <c r="K90" s="69"/>
      <c r="L90" s="69"/>
      <c r="M90" s="194"/>
      <c r="N90" s="187"/>
      <c r="O90" s="187"/>
      <c r="P90" s="187"/>
      <c r="Q90" s="187"/>
    </row>
    <row r="91" spans="1:17" ht="12.75">
      <c r="A91" s="33"/>
      <c r="B91" s="109" t="s">
        <v>29</v>
      </c>
      <c r="C91" s="109" t="s">
        <v>29</v>
      </c>
      <c r="D91" s="109" t="s">
        <v>29</v>
      </c>
      <c r="E91" s="109" t="s">
        <v>29</v>
      </c>
      <c r="F91" s="109" t="s">
        <v>29</v>
      </c>
      <c r="G91" s="109" t="s">
        <v>29</v>
      </c>
      <c r="H91" s="204" t="s">
        <v>29</v>
      </c>
      <c r="I91" s="204" t="s">
        <v>29</v>
      </c>
      <c r="J91" s="204" t="s">
        <v>29</v>
      </c>
      <c r="K91" s="204" t="s">
        <v>29</v>
      </c>
      <c r="L91" s="204" t="s">
        <v>29</v>
      </c>
      <c r="M91" s="109"/>
      <c r="N91" s="187"/>
      <c r="O91" s="187"/>
      <c r="P91" s="187"/>
      <c r="Q91" s="187"/>
    </row>
    <row r="92" spans="1:17" ht="12.75">
      <c r="A92" s="24" t="s">
        <v>91</v>
      </c>
      <c r="B92" s="173"/>
      <c r="C92" s="173"/>
      <c r="D92" s="173"/>
      <c r="E92" s="173"/>
      <c r="F92" s="173">
        <f>CORE!F33</f>
        <v>1488376</v>
      </c>
      <c r="G92" s="173">
        <f>CORE!G33</f>
        <v>706325</v>
      </c>
      <c r="H92" s="65">
        <f>CORE!H33</f>
        <v>515130</v>
      </c>
      <c r="I92" s="65">
        <f>CORE!I33</f>
        <v>1285248</v>
      </c>
      <c r="J92" s="65">
        <f>CORE!J33</f>
        <v>969030</v>
      </c>
      <c r="K92" s="65">
        <f>CORE!K33</f>
        <v>328695</v>
      </c>
      <c r="L92" s="65">
        <f>CORE!L33</f>
        <v>104779</v>
      </c>
      <c r="M92" s="194"/>
      <c r="N92" s="187"/>
      <c r="O92" s="187"/>
      <c r="P92" s="187"/>
      <c r="Q92" s="187"/>
    </row>
    <row r="93" spans="1:17" ht="12.75">
      <c r="A93" s="24" t="s">
        <v>271</v>
      </c>
      <c r="B93" s="173"/>
      <c r="C93" s="173"/>
      <c r="D93" s="173"/>
      <c r="E93" s="173"/>
      <c r="F93" s="173"/>
      <c r="G93" s="173"/>
      <c r="H93" s="65"/>
      <c r="I93" s="65"/>
      <c r="J93" s="65">
        <f>REIP!B31</f>
        <v>508800</v>
      </c>
      <c r="K93" s="65">
        <f>REIP!C31</f>
        <v>665554</v>
      </c>
      <c r="L93" s="65">
        <f>REIP!D31</f>
        <v>140862</v>
      </c>
      <c r="M93" s="194"/>
      <c r="N93" s="187"/>
      <c r="O93" s="187"/>
      <c r="P93" s="187"/>
      <c r="Q93" s="187"/>
    </row>
    <row r="94" spans="1:17" ht="12.75">
      <c r="A94" s="24" t="s">
        <v>212</v>
      </c>
      <c r="B94" s="173"/>
      <c r="C94" s="173"/>
      <c r="D94" s="173"/>
      <c r="E94" s="173"/>
      <c r="F94" s="173"/>
      <c r="G94" s="173"/>
      <c r="H94" s="65"/>
      <c r="I94" s="65"/>
      <c r="J94" s="65">
        <f>REC!D23</f>
        <v>1300036</v>
      </c>
      <c r="K94" s="65">
        <f>REC!E23</f>
        <v>4248971</v>
      </c>
      <c r="L94" s="65">
        <f>REC!F23</f>
        <v>13880410</v>
      </c>
      <c r="M94" s="194"/>
      <c r="N94" s="187"/>
      <c r="O94" s="187"/>
      <c r="P94" s="187"/>
      <c r="Q94" s="187"/>
    </row>
    <row r="95" spans="1:17" ht="12.75">
      <c r="A95" s="20" t="s">
        <v>343</v>
      </c>
      <c r="B95" s="173"/>
      <c r="C95" s="173"/>
      <c r="D95" s="173"/>
      <c r="E95" s="173"/>
      <c r="F95" s="173"/>
      <c r="G95" s="173"/>
      <c r="H95" s="65"/>
      <c r="I95" s="65"/>
      <c r="J95" s="65">
        <f>'RE Grid Connected'!B28</f>
        <v>0</v>
      </c>
      <c r="K95" s="65">
        <f>'RE Grid Connected'!C28</f>
        <v>740720</v>
      </c>
      <c r="L95" s="65">
        <f>'RE Grid Connected'!D28</f>
        <v>528530</v>
      </c>
      <c r="M95" s="194"/>
      <c r="N95" s="187"/>
      <c r="O95" s="187"/>
      <c r="P95" s="187"/>
      <c r="Q95" s="187"/>
    </row>
    <row r="96" spans="1:17" ht="12.75">
      <c r="A96" s="24" t="s">
        <v>141</v>
      </c>
      <c r="B96" s="173"/>
      <c r="C96" s="173"/>
      <c r="D96" s="173"/>
      <c r="E96" s="173"/>
      <c r="F96" s="173">
        <f>'RE Grants and Financing'!F35</f>
        <v>187740</v>
      </c>
      <c r="G96" s="173">
        <f>'RE Grants and Financing'!G51</f>
        <v>197965</v>
      </c>
      <c r="H96" s="65">
        <f>'RE Grants and Financing'!H51</f>
        <v>864240</v>
      </c>
      <c r="I96" s="65">
        <f>'RE Grants and Financing'!I51</f>
        <v>174240</v>
      </c>
      <c r="J96" s="65">
        <f>'RE Grants and Financing'!J51</f>
        <v>0</v>
      </c>
      <c r="K96" s="65">
        <f>'RE Grants and Financing'!K51</f>
        <v>0</v>
      </c>
      <c r="L96" s="65"/>
      <c r="M96" s="202"/>
      <c r="N96" s="187"/>
      <c r="O96" s="187"/>
      <c r="P96" s="187"/>
      <c r="Q96" s="187"/>
    </row>
    <row r="97" spans="1:17" ht="12.75">
      <c r="A97" s="14" t="s">
        <v>1</v>
      </c>
      <c r="B97" s="205"/>
      <c r="C97" s="205"/>
      <c r="D97" s="205"/>
      <c r="E97" s="205"/>
      <c r="F97" s="205">
        <f aca="true" t="shared" si="15" ref="F97:K97">SUM(F92:F96)</f>
        <v>1676116</v>
      </c>
      <c r="G97" s="205">
        <f t="shared" si="15"/>
        <v>904290</v>
      </c>
      <c r="H97" s="210">
        <f t="shared" si="15"/>
        <v>1379370</v>
      </c>
      <c r="I97" s="210">
        <f t="shared" si="15"/>
        <v>1459488</v>
      </c>
      <c r="J97" s="210">
        <f t="shared" si="15"/>
        <v>2777866</v>
      </c>
      <c r="K97" s="210">
        <f t="shared" si="15"/>
        <v>5983940</v>
      </c>
      <c r="L97" s="210">
        <f>SUM(L92:L96)</f>
        <v>14654581</v>
      </c>
      <c r="M97" s="194"/>
      <c r="N97" s="190"/>
      <c r="O97" s="187"/>
      <c r="P97" s="187"/>
      <c r="Q97" s="187"/>
    </row>
    <row r="98" spans="2:17" ht="12.75"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90"/>
      <c r="N98" s="187"/>
      <c r="O98" s="187"/>
      <c r="P98" s="187"/>
      <c r="Q98" s="187"/>
    </row>
    <row r="99" spans="2:17" ht="12.75"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</row>
  </sheetData>
  <sheetProtection/>
  <printOptions/>
  <pageMargins left="0.75" right="0.75" top="1" bottom="1" header="0.5" footer="0.5"/>
  <pageSetup horizontalDpi="600" verticalDpi="600" orientation="landscape" scale="67" r:id="rId1"/>
  <rowBreaks count="1" manualBreakCount="1">
    <brk id="5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SheetLayoutView="100" zoomScalePageLayoutView="0" workbookViewId="0" topLeftCell="A1">
      <selection activeCell="I17" sqref="I17:O21"/>
    </sheetView>
  </sheetViews>
  <sheetFormatPr defaultColWidth="9.140625" defaultRowHeight="12.75"/>
  <cols>
    <col min="1" max="1" width="35.7109375" style="0" customWidth="1"/>
    <col min="2" max="13" width="10.7109375" style="0" customWidth="1"/>
    <col min="14" max="14" width="12.00390625" style="0" customWidth="1"/>
    <col min="15" max="15" width="10.140625" style="0" bestFit="1" customWidth="1"/>
  </cols>
  <sheetData>
    <row r="1" ht="12.75">
      <c r="A1" s="1" t="s">
        <v>334</v>
      </c>
    </row>
    <row r="2" ht="15">
      <c r="A2" s="144"/>
    </row>
    <row r="3" spans="1:15" ht="12.75">
      <c r="A3" s="1" t="s">
        <v>223</v>
      </c>
      <c r="B3" s="27">
        <v>2001</v>
      </c>
      <c r="C3" s="27">
        <v>2002</v>
      </c>
      <c r="D3" s="27">
        <v>2003</v>
      </c>
      <c r="E3" s="27">
        <v>2004</v>
      </c>
      <c r="F3" s="27">
        <v>2005</v>
      </c>
      <c r="G3" s="27">
        <v>2006</v>
      </c>
      <c r="H3" s="27">
        <v>2007</v>
      </c>
      <c r="I3" s="27">
        <v>2008</v>
      </c>
      <c r="J3" s="27">
        <v>2009</v>
      </c>
      <c r="K3" s="27">
        <v>2010</v>
      </c>
      <c r="L3" s="27">
        <v>2011</v>
      </c>
      <c r="M3" s="27" t="s">
        <v>1</v>
      </c>
      <c r="N3" s="101"/>
      <c r="O3" s="101"/>
    </row>
    <row r="4" spans="1:13" ht="12.75">
      <c r="A4" s="29" t="s">
        <v>81</v>
      </c>
      <c r="B4" s="30">
        <f>'Res HVAC'!B20</f>
        <v>23388</v>
      </c>
      <c r="C4" s="30">
        <f>'Res HVAC'!C20</f>
        <v>26992</v>
      </c>
      <c r="D4" s="30">
        <f>'Res HVAC'!D20</f>
        <v>24786</v>
      </c>
      <c r="E4" s="30">
        <f>'Res HVAC'!E20</f>
        <v>26345</v>
      </c>
      <c r="F4" s="30">
        <f>'Res HVAC'!F20</f>
        <v>27510</v>
      </c>
      <c r="G4" s="30">
        <f>'Res HVAC'!G20</f>
        <v>26379</v>
      </c>
      <c r="H4" s="30">
        <v>25740</v>
      </c>
      <c r="I4" s="30">
        <f>'Res HVAC'!I20</f>
        <v>24066</v>
      </c>
      <c r="J4" s="30">
        <f>'Res HVAC'!J20</f>
        <v>21282</v>
      </c>
      <c r="K4" s="30">
        <f>'Res HVAC'!K20</f>
        <v>31287</v>
      </c>
      <c r="L4" s="30">
        <f>'Res HVAC'!L20</f>
        <v>39960</v>
      </c>
      <c r="M4" s="30">
        <f>SUM(B4:L4)</f>
        <v>297735</v>
      </c>
    </row>
    <row r="5" spans="1:13" ht="12.75">
      <c r="A5" s="29" t="s">
        <v>82</v>
      </c>
      <c r="B5" s="30">
        <f>RNC!B16</f>
        <v>0</v>
      </c>
      <c r="C5" s="30">
        <f>RNC!C16</f>
        <v>1881</v>
      </c>
      <c r="D5" s="30">
        <f>RNC!D16</f>
        <v>4936</v>
      </c>
      <c r="E5" s="30">
        <f>RNC!E16</f>
        <v>5974</v>
      </c>
      <c r="F5" s="30">
        <f>RNC!F16</f>
        <v>8009</v>
      </c>
      <c r="G5" s="30">
        <f>RNC!G16</f>
        <v>5509</v>
      </c>
      <c r="H5" s="30">
        <f>RNC!H16</f>
        <v>6180</v>
      </c>
      <c r="I5" s="30">
        <f>RNC!I16</f>
        <v>4012</v>
      </c>
      <c r="J5" s="30">
        <f>RNC!J16</f>
        <v>3236</v>
      </c>
      <c r="K5" s="30">
        <f>RNC!K16</f>
        <v>4437</v>
      </c>
      <c r="L5" s="30">
        <f>RNC!L16</f>
        <v>3905</v>
      </c>
      <c r="M5" s="30">
        <f>SUM(B5:L5)</f>
        <v>48079</v>
      </c>
    </row>
    <row r="6" spans="1:13" ht="12.75">
      <c r="A6" s="29" t="s">
        <v>83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>
      <c r="A7" s="29" t="s">
        <v>84</v>
      </c>
      <c r="B7" s="30">
        <f>'Energy Star'!B32</f>
        <v>0</v>
      </c>
      <c r="C7" s="30">
        <f>'Energy Star'!C32</f>
        <v>0</v>
      </c>
      <c r="D7" s="30">
        <f>'Energy Star'!D32</f>
        <v>25387</v>
      </c>
      <c r="E7" s="30">
        <f>'Energy Star'!E32</f>
        <v>24420</v>
      </c>
      <c r="F7" s="30">
        <f>'Energy Star'!F32</f>
        <v>14708</v>
      </c>
      <c r="G7" s="30">
        <f>'Energy Star'!G32</f>
        <v>9607</v>
      </c>
      <c r="H7" s="30">
        <f>'Energy Star'!H32</f>
        <v>13602</v>
      </c>
      <c r="I7" s="30">
        <f>'Energy Star'!I32</f>
        <v>13691</v>
      </c>
      <c r="J7" s="30">
        <f>'Energy Star'!J32</f>
        <v>7528</v>
      </c>
      <c r="K7" s="30">
        <f>'Energy Star'!K32</f>
        <v>11322</v>
      </c>
      <c r="L7" s="30">
        <f>'Energy Star'!L32</f>
        <v>0</v>
      </c>
      <c r="M7" s="30">
        <f aca="true" t="shared" si="0" ref="M7:M23">SUM(B7:L7)</f>
        <v>120265</v>
      </c>
    </row>
    <row r="8" spans="1:13" ht="12.75">
      <c r="A8" s="29" t="s">
        <v>86</v>
      </c>
      <c r="B8" s="30">
        <f>'Energy Star'!B35</f>
        <v>7223</v>
      </c>
      <c r="C8" s="30">
        <f>'Energy Star'!C35</f>
        <v>14678</v>
      </c>
      <c r="D8" s="30">
        <f>'Energy Star'!D35</f>
        <v>8762</v>
      </c>
      <c r="E8" s="30">
        <f>'Energy Star'!E35</f>
        <v>11748</v>
      </c>
      <c r="F8" s="30">
        <f>'Energy Star'!F35</f>
        <v>27870</v>
      </c>
      <c r="G8" s="30">
        <f>'Energy Star'!G35</f>
        <v>19979</v>
      </c>
      <c r="H8" s="30">
        <f>'Energy Star'!H35</f>
        <v>7576</v>
      </c>
      <c r="I8" s="30">
        <f>'Energy Star'!I35</f>
        <v>13464</v>
      </c>
      <c r="J8" s="30">
        <f>'Energy Star'!J35</f>
        <v>5836</v>
      </c>
      <c r="K8" s="30">
        <f>'Energy Star'!K35</f>
        <v>0</v>
      </c>
      <c r="L8" s="30">
        <f>'Energy Star'!L35</f>
        <v>0</v>
      </c>
      <c r="M8" s="30">
        <f t="shared" si="0"/>
        <v>117136</v>
      </c>
    </row>
    <row r="9" spans="1:13" ht="12.75">
      <c r="A9" s="29" t="s">
        <v>235</v>
      </c>
      <c r="B9" s="30"/>
      <c r="C9" s="30"/>
      <c r="D9" s="30"/>
      <c r="E9" s="30"/>
      <c r="F9" s="30"/>
      <c r="G9" s="30"/>
      <c r="H9" s="30">
        <f>'Energy Star'!H33</f>
        <v>1833</v>
      </c>
      <c r="I9" s="30">
        <f>'Energy Star'!I33</f>
        <v>22761</v>
      </c>
      <c r="J9" s="30">
        <f>'Energy Star'!J33</f>
        <v>25424</v>
      </c>
      <c r="K9" s="30">
        <f>'Energy Star'!K33</f>
        <v>28919</v>
      </c>
      <c r="L9" s="30">
        <f>'Energy Star'!L33</f>
        <v>32202</v>
      </c>
      <c r="M9" s="30">
        <f t="shared" si="0"/>
        <v>111139</v>
      </c>
    </row>
    <row r="10" spans="1:13" ht="12.75">
      <c r="A10" s="21" t="s">
        <v>252</v>
      </c>
      <c r="B10" s="30"/>
      <c r="C10" s="30"/>
      <c r="D10" s="30"/>
      <c r="E10" s="30"/>
      <c r="F10" s="30"/>
      <c r="G10" s="30"/>
      <c r="H10" s="30"/>
      <c r="I10" s="30">
        <f>'Energy Star'!I36</f>
        <v>5380</v>
      </c>
      <c r="J10" s="30">
        <f>'Energy Star'!J36</f>
        <v>8017</v>
      </c>
      <c r="K10" s="30">
        <f>'Energy Star'!K36</f>
        <v>5833</v>
      </c>
      <c r="L10" s="30">
        <f>'Energy Star'!L36</f>
        <v>0</v>
      </c>
      <c r="M10" s="30">
        <f t="shared" si="0"/>
        <v>19230</v>
      </c>
    </row>
    <row r="11" spans="1:13" ht="12.75">
      <c r="A11" s="21" t="s">
        <v>270</v>
      </c>
      <c r="B11" s="30"/>
      <c r="C11" s="30"/>
      <c r="D11" s="30"/>
      <c r="E11" s="30"/>
      <c r="F11" s="30"/>
      <c r="G11" s="30"/>
      <c r="H11" s="30"/>
      <c r="I11" s="30"/>
      <c r="J11" s="30"/>
      <c r="K11" s="30">
        <f>'Energy Star'!K37</f>
        <v>16275</v>
      </c>
      <c r="L11" s="30">
        <f>'Energy Star'!L37</f>
        <v>15769</v>
      </c>
      <c r="M11" s="30">
        <f t="shared" si="0"/>
        <v>32044</v>
      </c>
    </row>
    <row r="12" spans="1:13" ht="12.75">
      <c r="A12" s="21" t="s">
        <v>344</v>
      </c>
      <c r="B12" s="30"/>
      <c r="C12" s="30"/>
      <c r="D12" s="30"/>
      <c r="E12" s="30"/>
      <c r="F12" s="30"/>
      <c r="G12" s="30"/>
      <c r="H12" s="30"/>
      <c r="I12" s="30"/>
      <c r="J12" s="30"/>
      <c r="K12" s="30">
        <f>'Energy Star'!K38</f>
        <v>42942</v>
      </c>
      <c r="L12" s="30">
        <f>'Energy Star'!L38</f>
        <v>93930</v>
      </c>
      <c r="M12" s="30">
        <f t="shared" si="0"/>
        <v>136872</v>
      </c>
    </row>
    <row r="13" spans="1:13" ht="12.75">
      <c r="A13" s="29" t="s">
        <v>204</v>
      </c>
      <c r="B13" s="30"/>
      <c r="C13" s="30"/>
      <c r="D13" s="30"/>
      <c r="E13" s="30"/>
      <c r="F13" s="30"/>
      <c r="G13" s="30">
        <f>'Home Perf'!B13</f>
        <v>3</v>
      </c>
      <c r="H13" s="30">
        <f>'Home Perf'!C13</f>
        <v>20</v>
      </c>
      <c r="I13" s="30">
        <f>'Home Perf'!D13</f>
        <v>163</v>
      </c>
      <c r="J13" s="30">
        <f>'Home Perf'!E13</f>
        <v>3310</v>
      </c>
      <c r="K13" s="30">
        <f>'Home Perf'!F13</f>
        <v>3245</v>
      </c>
      <c r="L13" s="30">
        <f>'Home Perf'!G13</f>
        <v>2584</v>
      </c>
      <c r="M13" s="30">
        <f t="shared" si="0"/>
        <v>9325</v>
      </c>
    </row>
    <row r="14" spans="1:13" ht="12.75">
      <c r="A14" s="29" t="s">
        <v>87</v>
      </c>
      <c r="B14" s="30">
        <f>'Low-income'!B26</f>
        <v>5848</v>
      </c>
      <c r="C14" s="30">
        <f>'Low-income'!C26</f>
        <v>5937</v>
      </c>
      <c r="D14" s="30">
        <f>'Low-income'!D26</f>
        <v>6661</v>
      </c>
      <c r="E14" s="30">
        <f>'Low-income'!E26</f>
        <v>6706</v>
      </c>
      <c r="F14" s="30">
        <f>'Low-income'!F26</f>
        <v>6403</v>
      </c>
      <c r="G14" s="30">
        <f>'Low-income'!G26</f>
        <v>8552</v>
      </c>
      <c r="H14" s="30">
        <f>'Low-income'!H26</f>
        <v>8484</v>
      </c>
      <c r="I14" s="30">
        <f>'Low-income'!I26</f>
        <v>7239</v>
      </c>
      <c r="J14" s="30">
        <f>'Low-income'!J26</f>
        <v>7779</v>
      </c>
      <c r="K14" s="30">
        <f>'Low-income'!K26</f>
        <v>6814</v>
      </c>
      <c r="L14" s="30">
        <f>'Low-income'!L26</f>
        <v>7054</v>
      </c>
      <c r="M14" s="30">
        <f t="shared" si="0"/>
        <v>77477</v>
      </c>
    </row>
    <row r="15" spans="1:13" ht="12.75">
      <c r="A15" s="29" t="s">
        <v>182</v>
      </c>
      <c r="B15" s="30"/>
      <c r="C15" s="30"/>
      <c r="D15" s="30"/>
      <c r="E15" s="30"/>
      <c r="F15" s="30"/>
      <c r="G15" s="30"/>
      <c r="H15" s="30">
        <v>15917</v>
      </c>
      <c r="I15" s="30">
        <v>0</v>
      </c>
      <c r="J15" s="30">
        <v>0</v>
      </c>
      <c r="K15" s="30">
        <v>0</v>
      </c>
      <c r="L15" s="30">
        <v>0</v>
      </c>
      <c r="M15" s="30">
        <f t="shared" si="0"/>
        <v>15917</v>
      </c>
    </row>
    <row r="16" spans="1:16" ht="12.75">
      <c r="A16" s="32" t="s">
        <v>88</v>
      </c>
      <c r="B16" s="41">
        <f aca="true" t="shared" si="1" ref="B16:G16">SUM(B4:B14)</f>
        <v>36459</v>
      </c>
      <c r="C16" s="41">
        <f t="shared" si="1"/>
        <v>49488</v>
      </c>
      <c r="D16" s="41">
        <f t="shared" si="1"/>
        <v>70532</v>
      </c>
      <c r="E16" s="41">
        <f t="shared" si="1"/>
        <v>75193</v>
      </c>
      <c r="F16" s="205">
        <f t="shared" si="1"/>
        <v>84500</v>
      </c>
      <c r="G16" s="205">
        <f t="shared" si="1"/>
        <v>70029</v>
      </c>
      <c r="H16" s="205">
        <f>SUM(H4:H15)</f>
        <v>79352</v>
      </c>
      <c r="I16" s="205">
        <f>SUM(I4:I15)</f>
        <v>90776</v>
      </c>
      <c r="J16" s="205">
        <f>SUM(J4:J15)</f>
        <v>82412</v>
      </c>
      <c r="K16" s="205">
        <f>SUM(K4:K15)</f>
        <v>151074</v>
      </c>
      <c r="L16" s="205">
        <f>SUM(L4:L15)</f>
        <v>195404</v>
      </c>
      <c r="M16" s="205">
        <f t="shared" si="0"/>
        <v>985219</v>
      </c>
      <c r="N16" s="211"/>
      <c r="O16" s="211"/>
      <c r="P16" s="187"/>
    </row>
    <row r="17" spans="1:16" ht="12.75">
      <c r="A17" s="29" t="s">
        <v>293</v>
      </c>
      <c r="B17" s="67">
        <f>'C&amp;I'!B34</f>
        <v>1650</v>
      </c>
      <c r="C17" s="67">
        <f>'C&amp;I'!C34</f>
        <v>9163</v>
      </c>
      <c r="D17" s="67">
        <f>'C&amp;I'!D34</f>
        <v>4209</v>
      </c>
      <c r="E17" s="67">
        <f>'C&amp;I'!E34</f>
        <v>3983</v>
      </c>
      <c r="F17" s="174">
        <f>'C&amp;I'!F34</f>
        <v>2387</v>
      </c>
      <c r="G17" s="174">
        <f>'C&amp;I'!G34</f>
        <v>2094</v>
      </c>
      <c r="H17" s="174">
        <f>'C&amp;I'!H34</f>
        <v>1297</v>
      </c>
      <c r="I17" s="174">
        <f>'C&amp;I'!I34</f>
        <v>1401</v>
      </c>
      <c r="J17" s="174">
        <f>'C&amp;I'!J34</f>
        <v>1607</v>
      </c>
      <c r="K17" s="174">
        <f>'C&amp;I'!K34</f>
        <v>1985</v>
      </c>
      <c r="L17" s="174">
        <f>'C&amp;I'!L34</f>
        <v>1854</v>
      </c>
      <c r="M17" s="173">
        <f t="shared" si="0"/>
        <v>31630</v>
      </c>
      <c r="N17" s="187"/>
      <c r="O17" s="187"/>
      <c r="P17" s="187"/>
    </row>
    <row r="18" spans="1:16" ht="12.75">
      <c r="A18" s="29" t="s">
        <v>291</v>
      </c>
      <c r="B18" s="41"/>
      <c r="C18" s="41"/>
      <c r="D18" s="41"/>
      <c r="E18" s="41"/>
      <c r="F18" s="205"/>
      <c r="G18" s="205"/>
      <c r="H18" s="205"/>
      <c r="I18" s="174">
        <f>lgea!B12</f>
        <v>30</v>
      </c>
      <c r="J18" s="174">
        <f>lgea!C12</f>
        <v>352</v>
      </c>
      <c r="K18" s="174">
        <f>lgea!D12</f>
        <v>965</v>
      </c>
      <c r="L18" s="174">
        <f>lgea!E12</f>
        <v>358</v>
      </c>
      <c r="M18" s="173">
        <f t="shared" si="0"/>
        <v>1705</v>
      </c>
      <c r="N18" s="187"/>
      <c r="O18" s="187"/>
      <c r="P18" s="187"/>
    </row>
    <row r="19" spans="1:16" ht="12.75">
      <c r="A19" s="29" t="s">
        <v>96</v>
      </c>
      <c r="B19" s="41"/>
      <c r="C19" s="41"/>
      <c r="D19" s="41"/>
      <c r="E19" s="41"/>
      <c r="F19" s="205" t="s">
        <v>103</v>
      </c>
      <c r="G19" s="205"/>
      <c r="H19" s="205"/>
      <c r="I19" s="174">
        <f>'P4P '!B12</f>
        <v>0</v>
      </c>
      <c r="J19" s="174">
        <f>'P4P '!C12</f>
        <v>4</v>
      </c>
      <c r="K19" s="174">
        <f>'P4P '!D12</f>
        <v>24</v>
      </c>
      <c r="L19" s="174">
        <f>'P4P '!E12</f>
        <v>51</v>
      </c>
      <c r="M19" s="173">
        <f t="shared" si="0"/>
        <v>79</v>
      </c>
      <c r="N19" s="202"/>
      <c r="O19" s="187"/>
      <c r="P19" s="187"/>
    </row>
    <row r="20" spans="1:16" ht="12.75">
      <c r="A20" s="29" t="s">
        <v>324</v>
      </c>
      <c r="B20" s="41"/>
      <c r="C20" s="41"/>
      <c r="D20" s="41"/>
      <c r="E20" s="41"/>
      <c r="F20" s="205"/>
      <c r="G20" s="205"/>
      <c r="H20" s="205"/>
      <c r="I20" s="205"/>
      <c r="J20" s="174"/>
      <c r="K20" s="174">
        <f>'P4P NC'!B12</f>
        <v>0</v>
      </c>
      <c r="L20" s="174">
        <f>'P4P NC'!C12</f>
        <v>6</v>
      </c>
      <c r="M20" s="173">
        <f t="shared" si="0"/>
        <v>6</v>
      </c>
      <c r="N20" s="202"/>
      <c r="O20" s="187"/>
      <c r="P20" s="187"/>
    </row>
    <row r="21" spans="1:16" ht="12.75">
      <c r="A21" s="29" t="s">
        <v>246</v>
      </c>
      <c r="B21" s="41"/>
      <c r="C21" s="41"/>
      <c r="D21" s="41"/>
      <c r="E21" s="41"/>
      <c r="F21" s="205"/>
      <c r="G21" s="205"/>
      <c r="H21" s="205"/>
      <c r="I21" s="205"/>
      <c r="J21" s="174"/>
      <c r="K21" s="174">
        <f>'Direct Install'!D12</f>
        <v>162</v>
      </c>
      <c r="L21" s="174">
        <f>'Direct Install'!E12</f>
        <v>1325</v>
      </c>
      <c r="M21" s="173">
        <f t="shared" si="0"/>
        <v>1487</v>
      </c>
      <c r="N21" s="187"/>
      <c r="O21" s="187"/>
      <c r="P21" s="187"/>
    </row>
    <row r="22" spans="1:16" ht="12.75">
      <c r="A22" s="32" t="s">
        <v>292</v>
      </c>
      <c r="B22" s="41">
        <f>SUM(B17:B20)</f>
        <v>1650</v>
      </c>
      <c r="C22" s="41">
        <f>SUM(C17:C20)</f>
        <v>9163</v>
      </c>
      <c r="D22" s="41">
        <f>SUM(D17:D20)</f>
        <v>4209</v>
      </c>
      <c r="E22" s="41">
        <f>SUM(E17:E20)</f>
        <v>3983</v>
      </c>
      <c r="F22" s="205">
        <f>SUM(F17:F21)</f>
        <v>2387</v>
      </c>
      <c r="G22" s="205">
        <f aca="true" t="shared" si="2" ref="G22:L22">SUM(G17:G21)</f>
        <v>2094</v>
      </c>
      <c r="H22" s="205">
        <f t="shared" si="2"/>
        <v>1297</v>
      </c>
      <c r="I22" s="205">
        <f t="shared" si="2"/>
        <v>1431</v>
      </c>
      <c r="J22" s="205">
        <f t="shared" si="2"/>
        <v>1963</v>
      </c>
      <c r="K22" s="205">
        <f t="shared" si="2"/>
        <v>3136</v>
      </c>
      <c r="L22" s="205">
        <f t="shared" si="2"/>
        <v>3594</v>
      </c>
      <c r="M22" s="205">
        <f t="shared" si="0"/>
        <v>34907</v>
      </c>
      <c r="N22" s="215"/>
      <c r="O22" s="187"/>
      <c r="P22" s="187"/>
    </row>
    <row r="23" spans="1:16" ht="12.75">
      <c r="A23" s="32" t="s">
        <v>90</v>
      </c>
      <c r="B23" s="41">
        <f>B22+B16</f>
        <v>38109</v>
      </c>
      <c r="C23" s="41">
        <f aca="true" t="shared" si="3" ref="C23:J23">C22+C16</f>
        <v>58651</v>
      </c>
      <c r="D23" s="41">
        <f t="shared" si="3"/>
        <v>74741</v>
      </c>
      <c r="E23" s="41">
        <f t="shared" si="3"/>
        <v>79176</v>
      </c>
      <c r="F23" s="205">
        <f t="shared" si="3"/>
        <v>86887</v>
      </c>
      <c r="G23" s="205">
        <f t="shared" si="3"/>
        <v>72123</v>
      </c>
      <c r="H23" s="205">
        <f t="shared" si="3"/>
        <v>80649</v>
      </c>
      <c r="I23" s="205">
        <f t="shared" si="3"/>
        <v>92207</v>
      </c>
      <c r="J23" s="205">
        <f t="shared" si="3"/>
        <v>84375</v>
      </c>
      <c r="K23" s="205">
        <f>K22+K16</f>
        <v>154210</v>
      </c>
      <c r="L23" s="205">
        <f>L22+L16</f>
        <v>198998</v>
      </c>
      <c r="M23" s="205">
        <f t="shared" si="0"/>
        <v>1020126</v>
      </c>
      <c r="N23" s="190"/>
      <c r="O23" s="187"/>
      <c r="P23" s="187"/>
    </row>
    <row r="24" spans="2:16" ht="12.75">
      <c r="B24" s="128"/>
      <c r="C24" s="128"/>
      <c r="D24" s="128"/>
      <c r="E24" s="128"/>
      <c r="F24" s="189"/>
      <c r="G24" s="189"/>
      <c r="H24" s="189"/>
      <c r="I24" s="189"/>
      <c r="J24" s="189"/>
      <c r="K24" s="189"/>
      <c r="L24" s="189"/>
      <c r="M24" s="189"/>
      <c r="N24" s="187"/>
      <c r="O24" s="187"/>
      <c r="P24" s="187"/>
    </row>
    <row r="25" spans="1:16" ht="12.75">
      <c r="A25" s="14" t="s">
        <v>221</v>
      </c>
      <c r="B25" s="67">
        <f>CHP!B13</f>
        <v>0</v>
      </c>
      <c r="C25" s="67">
        <f>CHP!C13</f>
        <v>0</v>
      </c>
      <c r="D25" s="67">
        <f>CHP!D13</f>
        <v>0</v>
      </c>
      <c r="E25" s="67">
        <f>CHP!E13</f>
        <v>0</v>
      </c>
      <c r="F25" s="174">
        <f>CHP!F13</f>
        <v>2</v>
      </c>
      <c r="G25" s="174">
        <f>CHP!G13</f>
        <v>4</v>
      </c>
      <c r="H25" s="174">
        <f>CHP!H13</f>
        <v>5</v>
      </c>
      <c r="I25" s="174">
        <f>CHP!I13</f>
        <v>4</v>
      </c>
      <c r="J25" s="174">
        <f>CHP!J13</f>
        <v>1</v>
      </c>
      <c r="K25" s="174">
        <f>CHP!K13</f>
        <v>6</v>
      </c>
      <c r="L25" s="174">
        <f>CHP!L13</f>
        <v>0</v>
      </c>
      <c r="M25" s="173">
        <f>SUM(B25:L25)</f>
        <v>22</v>
      </c>
      <c r="N25" s="190"/>
      <c r="O25" s="187"/>
      <c r="P25" s="187"/>
    </row>
    <row r="26" spans="6:16" ht="12.75">
      <c r="F26" s="187"/>
      <c r="G26" s="187"/>
      <c r="H26" s="197"/>
      <c r="I26" s="197"/>
      <c r="J26" s="197"/>
      <c r="K26" s="197"/>
      <c r="L26" s="197"/>
      <c r="M26" s="187"/>
      <c r="N26" s="187"/>
      <c r="O26" s="187"/>
      <c r="P26" s="187"/>
    </row>
    <row r="27" spans="1:16" ht="12.75">
      <c r="A27" s="33" t="s">
        <v>222</v>
      </c>
      <c r="B27" s="27">
        <v>2001</v>
      </c>
      <c r="C27" s="27">
        <v>2002</v>
      </c>
      <c r="D27" s="27">
        <v>2003</v>
      </c>
      <c r="E27" s="27">
        <v>2004</v>
      </c>
      <c r="F27" s="203">
        <v>2005</v>
      </c>
      <c r="G27" s="203">
        <v>2006</v>
      </c>
      <c r="H27" s="203">
        <v>2007</v>
      </c>
      <c r="I27" s="203">
        <v>2008</v>
      </c>
      <c r="J27" s="203">
        <v>2009</v>
      </c>
      <c r="K27" s="203">
        <v>2010</v>
      </c>
      <c r="L27" s="203">
        <v>2011</v>
      </c>
      <c r="M27" s="203" t="s">
        <v>1</v>
      </c>
      <c r="N27" s="187"/>
      <c r="O27" s="187"/>
      <c r="P27" s="187"/>
    </row>
    <row r="28" spans="1:16" ht="12.75">
      <c r="A28" s="24" t="s">
        <v>91</v>
      </c>
      <c r="B28" s="30">
        <f>CORE!B14</f>
        <v>6</v>
      </c>
      <c r="C28" s="30">
        <f>CORE!C14</f>
        <v>46</v>
      </c>
      <c r="D28" s="30">
        <f>CORE!D14</f>
        <v>58</v>
      </c>
      <c r="E28" s="30">
        <f>CORE!E14</f>
        <v>284</v>
      </c>
      <c r="F28" s="173">
        <f>CORE!F14</f>
        <v>496</v>
      </c>
      <c r="G28" s="173">
        <f>CORE!G14</f>
        <v>1005</v>
      </c>
      <c r="H28" s="173">
        <v>832</v>
      </c>
      <c r="I28" s="173">
        <f>CORE!I14</f>
        <v>827</v>
      </c>
      <c r="J28" s="173">
        <f>CORE!J14</f>
        <v>509</v>
      </c>
      <c r="K28" s="173">
        <f>CORE!K14</f>
        <v>341</v>
      </c>
      <c r="L28" s="173">
        <f>CORE!L14</f>
        <v>64</v>
      </c>
      <c r="M28" s="173">
        <f aca="true" t="shared" si="4" ref="M28:M40">SUM(B28:L28)</f>
        <v>4468</v>
      </c>
      <c r="N28" s="190"/>
      <c r="O28" s="187"/>
      <c r="P28" s="187"/>
    </row>
    <row r="29" spans="1:16" ht="12.75">
      <c r="A29" s="24" t="s">
        <v>271</v>
      </c>
      <c r="B29" s="30"/>
      <c r="C29" s="30"/>
      <c r="D29" s="30"/>
      <c r="E29" s="30"/>
      <c r="F29" s="173"/>
      <c r="G29" s="173"/>
      <c r="H29" s="173"/>
      <c r="I29" s="173"/>
      <c r="J29" s="173">
        <f>REIP!B12</f>
        <v>263</v>
      </c>
      <c r="K29" s="173">
        <f>REIP!C12</f>
        <v>1506</v>
      </c>
      <c r="L29" s="173">
        <f>REIP!D12</f>
        <v>1703</v>
      </c>
      <c r="M29" s="173">
        <f t="shared" si="4"/>
        <v>3472</v>
      </c>
      <c r="N29" s="190"/>
      <c r="O29" s="187"/>
      <c r="P29" s="187"/>
    </row>
    <row r="30" spans="1:16" ht="12.75">
      <c r="A30" s="24" t="s">
        <v>141</v>
      </c>
      <c r="B30" s="30">
        <f>'RE Grants and Financing'!B24</f>
        <v>0</v>
      </c>
      <c r="C30" s="30">
        <f>'RE Grants and Financing'!C24</f>
        <v>0</v>
      </c>
      <c r="D30" s="30">
        <f>'RE Grants and Financing'!D24</f>
        <v>0</v>
      </c>
      <c r="E30" s="30">
        <f>'RE Grants and Financing'!E24</f>
        <v>0</v>
      </c>
      <c r="F30" s="173">
        <f>'RE Grants and Financing'!F24</f>
        <v>1</v>
      </c>
      <c r="G30" s="173">
        <f>'RE Grants and Financing'!G24</f>
        <v>0</v>
      </c>
      <c r="H30" s="173">
        <f>'RE Grants and Financing'!H24</f>
        <v>3</v>
      </c>
      <c r="I30" s="173">
        <f>'RE Grants and Financing'!I24</f>
        <v>1</v>
      </c>
      <c r="J30" s="173">
        <f>'RE Grants and Financing'!J24</f>
        <v>1</v>
      </c>
      <c r="K30" s="173">
        <f>'RE Grants and Financing'!K24</f>
        <v>1</v>
      </c>
      <c r="L30" s="173"/>
      <c r="M30" s="173">
        <f t="shared" si="4"/>
        <v>7</v>
      </c>
      <c r="N30" s="187"/>
      <c r="O30" s="187"/>
      <c r="P30" s="187"/>
    </row>
    <row r="31" spans="1:16" ht="12.75">
      <c r="A31" s="24" t="s">
        <v>230</v>
      </c>
      <c r="B31" s="30">
        <f>'RE Business Venture Fin'!B14</f>
        <v>0</v>
      </c>
      <c r="C31" s="30">
        <f>'RE Business Venture Fin'!C14</f>
        <v>0</v>
      </c>
      <c r="D31" s="30">
        <f>'RE Business Venture Fin'!D14</f>
        <v>10</v>
      </c>
      <c r="E31" s="30">
        <f>'RE Business Venture Fin'!E14</f>
        <v>0</v>
      </c>
      <c r="F31" s="173">
        <f>'RE Business Venture Fin'!F14</f>
        <v>5</v>
      </c>
      <c r="G31" s="173">
        <f>'RE Business Venture Fin'!G14</f>
        <v>4</v>
      </c>
      <c r="H31" s="173">
        <f>'RE Business Venture Fin'!H14</f>
        <v>1</v>
      </c>
      <c r="I31" s="173">
        <f>'RE Business Venture Fin'!I14</f>
        <v>1</v>
      </c>
      <c r="J31" s="173">
        <f>'RE Business Venture Fin'!J14</f>
        <v>1</v>
      </c>
      <c r="K31" s="173">
        <f>'RE Business Venture Fin'!K14</f>
        <v>1</v>
      </c>
      <c r="L31" s="173"/>
      <c r="M31" s="173">
        <f t="shared" si="4"/>
        <v>23</v>
      </c>
      <c r="N31" s="187"/>
      <c r="O31" s="187"/>
      <c r="P31" s="187"/>
    </row>
    <row r="32" spans="1:16" ht="12.75">
      <c r="A32" s="24" t="s">
        <v>260</v>
      </c>
      <c r="B32" s="30"/>
      <c r="C32" s="30"/>
      <c r="D32" s="30"/>
      <c r="E32" s="30"/>
      <c r="F32" s="173"/>
      <c r="G32" s="173"/>
      <c r="H32" s="173">
        <f>REC!B10</f>
        <v>2</v>
      </c>
      <c r="I32" s="173">
        <f>REC!C10</f>
        <v>1023</v>
      </c>
      <c r="J32" s="173">
        <f>REC!D10</f>
        <v>101</v>
      </c>
      <c r="K32" s="173">
        <f>REC!E10</f>
        <v>589</v>
      </c>
      <c r="L32" s="173">
        <f>REC!F10</f>
        <v>4356</v>
      </c>
      <c r="M32" s="173">
        <f t="shared" si="4"/>
        <v>6071</v>
      </c>
      <c r="N32" s="187"/>
      <c r="O32" s="187"/>
      <c r="P32" s="187"/>
    </row>
    <row r="33" spans="1:16" ht="12.75">
      <c r="A33" s="24" t="s">
        <v>295</v>
      </c>
      <c r="B33" s="30"/>
      <c r="C33" s="30"/>
      <c r="D33" s="30"/>
      <c r="E33" s="30"/>
      <c r="F33" s="173"/>
      <c r="G33" s="173"/>
      <c r="H33" s="173"/>
      <c r="I33" s="173"/>
      <c r="J33" s="173">
        <f>EDA!B12</f>
        <v>0</v>
      </c>
      <c r="K33" s="173">
        <f>EDA!C12</f>
        <v>1</v>
      </c>
      <c r="L33" s="173">
        <f>EDA!D12</f>
        <v>3</v>
      </c>
      <c r="M33" s="173">
        <f t="shared" si="4"/>
        <v>4</v>
      </c>
      <c r="N33" s="202"/>
      <c r="O33" s="187"/>
      <c r="P33" s="187"/>
    </row>
    <row r="34" spans="1:16" ht="12.75">
      <c r="A34" s="24" t="s">
        <v>296</v>
      </c>
      <c r="B34" s="30"/>
      <c r="C34" s="30"/>
      <c r="D34" s="30"/>
      <c r="E34" s="30"/>
      <c r="F34" s="173"/>
      <c r="G34" s="173"/>
      <c r="H34" s="173"/>
      <c r="I34" s="173"/>
      <c r="J34" s="173">
        <f>'Edison Inn CEF'!B12</f>
        <v>0</v>
      </c>
      <c r="K34" s="173">
        <f>'Edison Inn CEF'!C12</f>
        <v>0</v>
      </c>
      <c r="L34" s="173">
        <f>'Edison Inn CEF'!D12</f>
        <v>1</v>
      </c>
      <c r="M34" s="173">
        <f t="shared" si="4"/>
        <v>1</v>
      </c>
      <c r="N34" s="187"/>
      <c r="O34" s="187"/>
      <c r="P34" s="187"/>
    </row>
    <row r="35" spans="1:16" ht="12.75">
      <c r="A35" s="14" t="s">
        <v>1</v>
      </c>
      <c r="B35" s="30">
        <f>SUM(B28:B32)</f>
        <v>6</v>
      </c>
      <c r="C35" s="30">
        <f>SUM(C28:C32)</f>
        <v>46</v>
      </c>
      <c r="D35" s="30">
        <f>SUM(D28:D32)</f>
        <v>68</v>
      </c>
      <c r="E35" s="30">
        <f>SUM(E28:E32)</f>
        <v>284</v>
      </c>
      <c r="F35" s="205">
        <f>SUM(F28:F34)</f>
        <v>502</v>
      </c>
      <c r="G35" s="205">
        <f aca="true" t="shared" si="5" ref="G35:L35">SUM(G28:G34)</f>
        <v>1009</v>
      </c>
      <c r="H35" s="205">
        <f t="shared" si="5"/>
        <v>838</v>
      </c>
      <c r="I35" s="205">
        <f t="shared" si="5"/>
        <v>1852</v>
      </c>
      <c r="J35" s="205">
        <f t="shared" si="5"/>
        <v>875</v>
      </c>
      <c r="K35" s="205">
        <f t="shared" si="5"/>
        <v>2439</v>
      </c>
      <c r="L35" s="205">
        <f t="shared" si="5"/>
        <v>6127</v>
      </c>
      <c r="M35" s="205">
        <f t="shared" si="4"/>
        <v>14046</v>
      </c>
      <c r="N35" s="215"/>
      <c r="O35" s="187"/>
      <c r="P35" s="187"/>
    </row>
    <row r="36" spans="1:16" ht="12.75">
      <c r="A36" s="24" t="s">
        <v>195</v>
      </c>
      <c r="B36" s="30"/>
      <c r="C36" s="30"/>
      <c r="D36" s="30"/>
      <c r="E36" s="30"/>
      <c r="F36" s="173">
        <f>'Clean Power Choice'!B8</f>
        <v>0</v>
      </c>
      <c r="G36" s="173">
        <f>'Clean Power Choice'!C8</f>
        <v>8867</v>
      </c>
      <c r="H36" s="173">
        <f>'Clean Power Choice'!D8</f>
        <v>13473</v>
      </c>
      <c r="I36" s="173">
        <f>'Clean Power Choice'!E8</f>
        <v>14456</v>
      </c>
      <c r="J36" s="173">
        <f>'Clean Power Choice'!F8</f>
        <v>14135</v>
      </c>
      <c r="K36" s="173">
        <f>'Clean Power Choice'!G8</f>
        <v>8933</v>
      </c>
      <c r="L36" s="173">
        <f>'Clean Power Choice'!H8</f>
        <v>10388</v>
      </c>
      <c r="M36" s="173">
        <f>L36</f>
        <v>10388</v>
      </c>
      <c r="N36" s="215" t="s">
        <v>395</v>
      </c>
      <c r="O36" s="187"/>
      <c r="P36" s="187"/>
    </row>
    <row r="37" spans="1:16" s="1" customFormat="1" ht="12.75">
      <c r="A37" s="14" t="s">
        <v>227</v>
      </c>
      <c r="B37" s="41">
        <f>B36+B35</f>
        <v>6</v>
      </c>
      <c r="C37" s="41">
        <f aca="true" t="shared" si="6" ref="C37:I37">C36+C35</f>
        <v>46</v>
      </c>
      <c r="D37" s="41">
        <f t="shared" si="6"/>
        <v>68</v>
      </c>
      <c r="E37" s="41">
        <f t="shared" si="6"/>
        <v>284</v>
      </c>
      <c r="F37" s="205">
        <f t="shared" si="6"/>
        <v>502</v>
      </c>
      <c r="G37" s="205">
        <f t="shared" si="6"/>
        <v>9876</v>
      </c>
      <c r="H37" s="205">
        <f t="shared" si="6"/>
        <v>14311</v>
      </c>
      <c r="I37" s="205">
        <f t="shared" si="6"/>
        <v>16308</v>
      </c>
      <c r="J37" s="205">
        <f>J36+J35</f>
        <v>15010</v>
      </c>
      <c r="K37" s="205">
        <f>K36+K35</f>
        <v>11372</v>
      </c>
      <c r="L37" s="205">
        <f>L36+L35</f>
        <v>16515</v>
      </c>
      <c r="M37" s="205">
        <f>M35+M36</f>
        <v>24434</v>
      </c>
      <c r="N37" s="215"/>
      <c r="O37" s="216"/>
      <c r="P37" s="216"/>
    </row>
    <row r="38" spans="1:16" ht="12.75">
      <c r="A38" s="33"/>
      <c r="B38" s="40"/>
      <c r="C38" s="40"/>
      <c r="D38" s="40"/>
      <c r="E38" s="40"/>
      <c r="F38" s="194"/>
      <c r="G38" s="194"/>
      <c r="H38" s="69"/>
      <c r="I38" s="69"/>
      <c r="J38" s="69"/>
      <c r="K38" s="69"/>
      <c r="L38" s="69"/>
      <c r="M38" s="173">
        <f t="shared" si="4"/>
        <v>0</v>
      </c>
      <c r="N38" s="190"/>
      <c r="O38" s="187"/>
      <c r="P38" s="187"/>
    </row>
    <row r="39" spans="1:16" ht="12.75">
      <c r="A39" s="29" t="s">
        <v>226</v>
      </c>
      <c r="B39" s="30">
        <f>'Energy Star'!B42</f>
        <v>0</v>
      </c>
      <c r="C39" s="30">
        <f>'Energy Star'!C42</f>
        <v>0</v>
      </c>
      <c r="D39" s="30">
        <f>'Energy Star'!D42</f>
        <v>1496339</v>
      </c>
      <c r="E39" s="30">
        <f>'Energy Star'!E42</f>
        <v>2014151</v>
      </c>
      <c r="F39" s="173">
        <f>'Energy Star'!F42</f>
        <v>1238074</v>
      </c>
      <c r="G39" s="173">
        <f>'Energy Star'!G42</f>
        <v>0</v>
      </c>
      <c r="H39" s="173">
        <f>'Energy Star'!H42</f>
        <v>3162034</v>
      </c>
      <c r="I39" s="173">
        <f>'Energy Star'!I42</f>
        <v>4399641</v>
      </c>
      <c r="J39" s="173">
        <f>'Energy Star'!J42</f>
        <v>6643677</v>
      </c>
      <c r="K39" s="173">
        <f>'Energy Star'!K42</f>
        <v>3986463</v>
      </c>
      <c r="L39" s="173">
        <f>'Energy Star'!L42</f>
        <v>5269102</v>
      </c>
      <c r="M39" s="173">
        <f t="shared" si="4"/>
        <v>28209481</v>
      </c>
      <c r="N39" s="190"/>
      <c r="O39" s="187"/>
      <c r="P39" s="187"/>
    </row>
    <row r="40" spans="1:16" ht="12.75">
      <c r="A40" s="29" t="s">
        <v>158</v>
      </c>
      <c r="B40" s="30">
        <v>0</v>
      </c>
      <c r="C40" s="30">
        <v>0</v>
      </c>
      <c r="D40" s="30">
        <f>'Cool Cities'!B15</f>
        <v>2216</v>
      </c>
      <c r="E40" s="30">
        <f>'Cool Cities'!C15</f>
        <v>1487</v>
      </c>
      <c r="F40" s="173">
        <f>'Cool Cities'!D15</f>
        <v>4850</v>
      </c>
      <c r="G40" s="173">
        <f>'Cool Cities'!E15</f>
        <v>2004</v>
      </c>
      <c r="H40" s="173">
        <f>'Cool Cities'!F15</f>
        <v>1978</v>
      </c>
      <c r="I40" s="173">
        <f>'Cool Cities'!G15</f>
        <v>8982</v>
      </c>
      <c r="J40" s="173">
        <f>'Cool Cities'!H15</f>
        <v>11256</v>
      </c>
      <c r="K40" s="173"/>
      <c r="L40" s="173"/>
      <c r="M40" s="173">
        <f t="shared" si="4"/>
        <v>32773</v>
      </c>
      <c r="N40" s="190"/>
      <c r="O40" s="187"/>
      <c r="P40" s="187"/>
    </row>
    <row r="41" spans="1:16" ht="12.75">
      <c r="A41" s="102"/>
      <c r="B41" s="50"/>
      <c r="C41" s="50"/>
      <c r="D41" s="50"/>
      <c r="E41" s="50"/>
      <c r="F41" s="69"/>
      <c r="G41" s="69"/>
      <c r="H41" s="69"/>
      <c r="I41" s="69"/>
      <c r="J41" s="69"/>
      <c r="K41" s="69"/>
      <c r="L41" s="69"/>
      <c r="M41" s="69"/>
      <c r="N41" s="190"/>
      <c r="O41" s="187"/>
      <c r="P41" s="187"/>
    </row>
    <row r="42" spans="1:12" ht="15.75">
      <c r="A42" s="66" t="s">
        <v>224</v>
      </c>
      <c r="H42" s="3"/>
      <c r="I42" s="3"/>
      <c r="J42" s="3"/>
      <c r="K42" s="3"/>
      <c r="L42" s="3"/>
    </row>
    <row r="43" spans="1:13" ht="12.75">
      <c r="A43" s="29" t="s">
        <v>82</v>
      </c>
      <c r="B43" s="30">
        <f>RNC!B17</f>
        <v>4553</v>
      </c>
      <c r="C43" s="30">
        <f>RNC!C17</f>
        <v>10490</v>
      </c>
      <c r="D43" s="30">
        <f>RNC!D17</f>
        <v>12168</v>
      </c>
      <c r="E43" s="30">
        <f>RNC!E17</f>
        <v>6526</v>
      </c>
      <c r="F43" s="30">
        <f>RNC!F17</f>
        <v>8337</v>
      </c>
      <c r="G43" s="30">
        <f>RNC!G17</f>
        <v>6808</v>
      </c>
      <c r="H43" s="30">
        <f>RNC!H17</f>
        <v>7137</v>
      </c>
      <c r="I43" s="30">
        <f>RNC!I17</f>
        <v>10170</v>
      </c>
      <c r="J43" s="30">
        <f>RNC!J17</f>
        <v>7865</v>
      </c>
      <c r="K43" s="30">
        <f>RNC!K17</f>
        <v>3647</v>
      </c>
      <c r="L43" s="30">
        <f>RNC!L17</f>
        <v>1893</v>
      </c>
      <c r="M43" s="40"/>
    </row>
    <row r="44" spans="1:13" ht="12.75">
      <c r="A44" s="29" t="s">
        <v>89</v>
      </c>
      <c r="B44" s="30">
        <f>'C&amp;I'!B37</f>
        <v>4205</v>
      </c>
      <c r="C44" s="30">
        <f>'C&amp;I'!C37</f>
        <v>2016</v>
      </c>
      <c r="D44" s="30">
        <f>'C&amp;I'!D37</f>
        <v>2603</v>
      </c>
      <c r="E44" s="30">
        <f>'C&amp;I'!E37</f>
        <v>2707</v>
      </c>
      <c r="F44" s="30">
        <f>'C&amp;I'!F37</f>
        <v>2306</v>
      </c>
      <c r="G44" s="30">
        <f>'C&amp;I'!G37</f>
        <v>1150</v>
      </c>
      <c r="H44" s="30">
        <f>'C&amp;I'!H37</f>
        <v>1026</v>
      </c>
      <c r="I44" s="30">
        <f>'C&amp;I'!I37</f>
        <v>1709</v>
      </c>
      <c r="J44" s="30">
        <f>'C&amp;I'!J37</f>
        <v>2306</v>
      </c>
      <c r="K44" s="30">
        <f>'C&amp;I'!K37</f>
        <v>1993</v>
      </c>
      <c r="L44" s="173">
        <f>'C&amp;I'!L37</f>
        <v>0</v>
      </c>
      <c r="M44" s="169"/>
    </row>
    <row r="45" spans="1:13" ht="12.75">
      <c r="A45" s="29" t="s">
        <v>96</v>
      </c>
      <c r="B45" s="30"/>
      <c r="C45" s="30"/>
      <c r="D45" s="30"/>
      <c r="E45" s="30"/>
      <c r="F45" s="30"/>
      <c r="G45" s="30"/>
      <c r="H45" s="30"/>
      <c r="I45" s="30"/>
      <c r="J45" s="30"/>
      <c r="K45" s="30">
        <f>'P4P '!D17</f>
        <v>121</v>
      </c>
      <c r="L45" s="173">
        <f>'P4P '!E17</f>
        <v>0</v>
      </c>
      <c r="M45" s="40"/>
    </row>
    <row r="46" spans="1:13" ht="12.75">
      <c r="A46" s="29" t="s">
        <v>324</v>
      </c>
      <c r="B46" s="30"/>
      <c r="C46" s="30"/>
      <c r="D46" s="30"/>
      <c r="E46" s="30"/>
      <c r="F46" s="30"/>
      <c r="G46" s="30"/>
      <c r="H46" s="30"/>
      <c r="I46" s="30"/>
      <c r="J46" s="30"/>
      <c r="K46" s="30">
        <f>'P4P NC'!B17</f>
        <v>13</v>
      </c>
      <c r="L46" s="173">
        <f>'P4P NC'!C17</f>
        <v>0</v>
      </c>
      <c r="M46" s="40"/>
    </row>
    <row r="47" spans="1:14" ht="12.75">
      <c r="A47" s="54" t="s">
        <v>1</v>
      </c>
      <c r="B47" s="67">
        <f>SUM(B43:B46)</f>
        <v>8758</v>
      </c>
      <c r="C47" s="67">
        <f aca="true" t="shared" si="7" ref="C47:K47">SUM(C43:C46)</f>
        <v>12506</v>
      </c>
      <c r="D47" s="67">
        <f t="shared" si="7"/>
        <v>14771</v>
      </c>
      <c r="E47" s="67">
        <f t="shared" si="7"/>
        <v>9233</v>
      </c>
      <c r="F47" s="67">
        <f t="shared" si="7"/>
        <v>10643</v>
      </c>
      <c r="G47" s="67">
        <f t="shared" si="7"/>
        <v>7958</v>
      </c>
      <c r="H47" s="67">
        <f t="shared" si="7"/>
        <v>8163</v>
      </c>
      <c r="I47" s="67">
        <f t="shared" si="7"/>
        <v>11879</v>
      </c>
      <c r="J47" s="67">
        <f t="shared" si="7"/>
        <v>10171</v>
      </c>
      <c r="K47" s="67">
        <f t="shared" si="7"/>
        <v>5774</v>
      </c>
      <c r="L47" s="67">
        <f>SUM(L43:L46)</f>
        <v>1893</v>
      </c>
      <c r="M47" s="72"/>
      <c r="N47" s="25"/>
    </row>
    <row r="48" spans="1:13" ht="12.75">
      <c r="A48" s="39"/>
      <c r="B48" s="40"/>
      <c r="C48" s="40"/>
      <c r="D48" s="40"/>
      <c r="E48" s="40"/>
      <c r="F48" s="40"/>
      <c r="G48" s="40"/>
      <c r="H48" s="50"/>
      <c r="I48" s="50"/>
      <c r="J48" s="50"/>
      <c r="K48" s="50"/>
      <c r="L48" s="50"/>
      <c r="M48" s="40"/>
    </row>
    <row r="49" spans="1:13" ht="12.75">
      <c r="A49" s="14" t="s">
        <v>111</v>
      </c>
      <c r="B49" s="30">
        <f>CORE!B15</f>
        <v>45</v>
      </c>
      <c r="C49" s="30">
        <f>CORE!C15</f>
        <v>59</v>
      </c>
      <c r="D49" s="30">
        <f>CORE!D15</f>
        <v>226</v>
      </c>
      <c r="E49" s="30">
        <f>CORE!E15</f>
        <v>587</v>
      </c>
      <c r="F49" s="30">
        <f>CORE!F15</f>
        <v>1182</v>
      </c>
      <c r="G49" s="30">
        <f>CORE!G15</f>
        <v>565</v>
      </c>
      <c r="H49" s="30">
        <f>CORE!H15</f>
        <v>1070</v>
      </c>
      <c r="I49" s="30">
        <f>CORE!I15</f>
        <v>1047</v>
      </c>
      <c r="J49" s="30">
        <f>CORE!J15</f>
        <v>665</v>
      </c>
      <c r="K49" s="30">
        <f>CORE!K15</f>
        <v>101</v>
      </c>
      <c r="L49" s="30">
        <f>CORE!L15</f>
        <v>0</v>
      </c>
      <c r="M49" s="40"/>
    </row>
    <row r="50" spans="1:12" ht="12.75">
      <c r="A50" s="14" t="s">
        <v>225</v>
      </c>
      <c r="B50" s="19">
        <f>CHP!B16</f>
        <v>0</v>
      </c>
      <c r="C50" s="19">
        <f>CHP!C16</f>
        <v>0</v>
      </c>
      <c r="D50" s="19">
        <f>CHP!D16</f>
        <v>0</v>
      </c>
      <c r="E50" s="19">
        <f>CHP!E16</f>
        <v>0</v>
      </c>
      <c r="F50" s="19">
        <f>CHP!F16</f>
        <v>0</v>
      </c>
      <c r="G50" s="19">
        <f>CHP!G16</f>
        <v>0</v>
      </c>
      <c r="H50" s="19">
        <f>CHP!H16</f>
        <v>13</v>
      </c>
      <c r="I50" s="19">
        <f>CHP!I16</f>
        <v>15</v>
      </c>
      <c r="J50" s="19">
        <f>CHP!J16</f>
        <v>9</v>
      </c>
      <c r="K50" s="19">
        <f>CHP!K16</f>
        <v>2</v>
      </c>
      <c r="L50" s="19">
        <f>CHP!L16</f>
        <v>0</v>
      </c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30.140625" style="0" customWidth="1"/>
    <col min="2" max="11" width="10.7109375" style="0" customWidth="1"/>
    <col min="12" max="12" width="10.7109375" style="187" customWidth="1"/>
    <col min="13" max="13" width="10.7109375" style="0" customWidth="1"/>
    <col min="14" max="15" width="10.140625" style="0" bestFit="1" customWidth="1"/>
  </cols>
  <sheetData>
    <row r="1" ht="12.75">
      <c r="A1" s="1" t="s">
        <v>196</v>
      </c>
    </row>
    <row r="2" spans="2:13" ht="12.75">
      <c r="B2" s="27">
        <v>2001</v>
      </c>
      <c r="C2" s="27">
        <v>2002</v>
      </c>
      <c r="D2" s="27">
        <v>2003</v>
      </c>
      <c r="E2" s="27">
        <v>2004</v>
      </c>
      <c r="F2" s="27">
        <v>2005</v>
      </c>
      <c r="G2" s="27">
        <v>2006</v>
      </c>
      <c r="H2" s="27">
        <v>2007</v>
      </c>
      <c r="I2" s="27">
        <v>2008</v>
      </c>
      <c r="J2" s="27">
        <v>2009</v>
      </c>
      <c r="K2" s="27">
        <v>2010</v>
      </c>
      <c r="L2" s="203">
        <v>2011</v>
      </c>
      <c r="M2" s="27" t="s">
        <v>1</v>
      </c>
    </row>
    <row r="3" spans="2:13" ht="12.75">
      <c r="B3" s="28" t="s">
        <v>11</v>
      </c>
      <c r="C3" s="28" t="s">
        <v>11</v>
      </c>
      <c r="D3" s="28" t="s">
        <v>11</v>
      </c>
      <c r="E3" s="28" t="s">
        <v>11</v>
      </c>
      <c r="F3" s="28" t="s">
        <v>11</v>
      </c>
      <c r="G3" s="28" t="s">
        <v>11</v>
      </c>
      <c r="H3" s="28" t="s">
        <v>11</v>
      </c>
      <c r="I3" s="28" t="s">
        <v>11</v>
      </c>
      <c r="J3" s="28" t="s">
        <v>11</v>
      </c>
      <c r="K3" s="28" t="s">
        <v>11</v>
      </c>
      <c r="L3" s="204" t="s">
        <v>11</v>
      </c>
      <c r="M3" s="28" t="s">
        <v>11</v>
      </c>
    </row>
    <row r="4" spans="1:13" ht="25.5">
      <c r="A4" s="29" t="s">
        <v>81</v>
      </c>
      <c r="B4" s="30">
        <f>'Res HVAC'!B28</f>
        <v>10761</v>
      </c>
      <c r="C4" s="30">
        <f>'Res HVAC'!C28</f>
        <v>13825</v>
      </c>
      <c r="D4" s="30">
        <f>'Res HVAC'!D28</f>
        <v>12254</v>
      </c>
      <c r="E4" s="30">
        <f>'Res HVAC'!E28</f>
        <v>13065</v>
      </c>
      <c r="F4" s="30">
        <f>'Res HVAC'!F28</f>
        <v>12729</v>
      </c>
      <c r="G4" s="30">
        <f>'Res HVAC'!G28</f>
        <v>9651</v>
      </c>
      <c r="H4" s="30">
        <f>'Res HVAC'!H28</f>
        <v>10666</v>
      </c>
      <c r="I4" s="30">
        <f>'Res HVAC'!I28</f>
        <v>2710</v>
      </c>
      <c r="J4" s="30">
        <f>'Res HVAC'!J28</f>
        <v>1804</v>
      </c>
      <c r="K4" s="30">
        <f>'Res HVAC'!K28</f>
        <v>4825</v>
      </c>
      <c r="L4" s="173">
        <f>'Res HVAC'!L28</f>
        <v>6845</v>
      </c>
      <c r="M4" s="30">
        <f>SUM(B4:L4)</f>
        <v>99135</v>
      </c>
    </row>
    <row r="5" spans="1:13" ht="12.75">
      <c r="A5" s="29" t="s">
        <v>82</v>
      </c>
      <c r="B5" s="30">
        <f>RNC!B26</f>
        <v>11</v>
      </c>
      <c r="C5" s="30">
        <f>RNC!C26</f>
        <v>3415</v>
      </c>
      <c r="D5" s="30">
        <f>RNC!D26</f>
        <v>11201</v>
      </c>
      <c r="E5" s="30">
        <f>RNC!E26</f>
        <v>14869</v>
      </c>
      <c r="F5" s="30">
        <f>RNC!F26</f>
        <v>18897</v>
      </c>
      <c r="G5" s="30">
        <f>RNC!G26</f>
        <v>13285</v>
      </c>
      <c r="H5" s="30">
        <f>RNC!H26</f>
        <v>12497</v>
      </c>
      <c r="I5" s="30">
        <f>RNC!I26</f>
        <v>8179</v>
      </c>
      <c r="J5" s="30">
        <f>RNC!J26</f>
        <v>5736</v>
      </c>
      <c r="K5" s="30">
        <f>RNC!K26</f>
        <v>6841</v>
      </c>
      <c r="L5" s="173">
        <f>RNC!L26</f>
        <v>4616</v>
      </c>
      <c r="M5" s="30">
        <f>SUM(B5:L5)</f>
        <v>99547</v>
      </c>
    </row>
    <row r="6" spans="1:13" ht="12.75">
      <c r="A6" s="29" t="s">
        <v>83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173"/>
      <c r="M6" s="30"/>
    </row>
    <row r="7" spans="1:18" ht="12.75">
      <c r="A7" s="29" t="s">
        <v>84</v>
      </c>
      <c r="B7" s="30">
        <f>'Energy Star'!B71</f>
        <v>0</v>
      </c>
      <c r="C7" s="30">
        <f>'Energy Star'!C71</f>
        <v>0</v>
      </c>
      <c r="D7" s="30">
        <f>'Energy Star'!D71</f>
        <v>1499</v>
      </c>
      <c r="E7" s="30">
        <f>'Energy Star'!E71</f>
        <v>1441</v>
      </c>
      <c r="F7" s="30">
        <f>'Energy Star'!F71</f>
        <v>1662</v>
      </c>
      <c r="G7" s="30">
        <f>'Energy Star'!G71</f>
        <v>567</v>
      </c>
      <c r="H7" s="30">
        <f>'Energy Star'!H71</f>
        <v>803</v>
      </c>
      <c r="I7" s="30">
        <f>'Energy Star'!I71</f>
        <v>808</v>
      </c>
      <c r="J7" s="30">
        <f>'Energy Star'!J71</f>
        <v>444</v>
      </c>
      <c r="K7" s="30">
        <f>'Energy Star'!K71</f>
        <v>668</v>
      </c>
      <c r="L7" s="173">
        <f>'Energy Star'!L71</f>
        <v>13.6</v>
      </c>
      <c r="M7" s="30">
        <f aca="true" t="shared" si="0" ref="M7:M17">SUM(B7:L7)</f>
        <v>7905.6</v>
      </c>
      <c r="N7" s="187"/>
      <c r="O7" s="190"/>
      <c r="P7" s="187"/>
      <c r="Q7" s="187"/>
      <c r="R7" s="187"/>
    </row>
    <row r="8" spans="1:14" ht="12.75">
      <c r="A8" s="29" t="s">
        <v>85</v>
      </c>
      <c r="B8" s="30">
        <f>'Energy Star'!B70</f>
        <v>0</v>
      </c>
      <c r="C8" s="30">
        <f>'Energy Star'!C70</f>
        <v>0</v>
      </c>
      <c r="D8" s="30">
        <f>'Energy Star'!D70</f>
        <v>3587</v>
      </c>
      <c r="E8" s="30">
        <f>'Energy Star'!E70</f>
        <v>5089</v>
      </c>
      <c r="F8" s="30">
        <f>'Energy Star'!F70</f>
        <v>3222</v>
      </c>
      <c r="G8" s="30">
        <f>'Energy Star'!G70</f>
        <v>0</v>
      </c>
      <c r="H8" s="30">
        <f>'Energy Star'!H70</f>
        <v>5792</v>
      </c>
      <c r="I8" s="30">
        <f>'Energy Star'!I70</f>
        <v>10752</v>
      </c>
      <c r="J8" s="30">
        <f>'Energy Star'!J70</f>
        <v>16252</v>
      </c>
      <c r="K8" s="30">
        <f>'Energy Star'!K70</f>
        <v>19190.4</v>
      </c>
      <c r="L8" s="173">
        <f>'Energy Star'!L70</f>
        <v>25435.7</v>
      </c>
      <c r="M8" s="30">
        <f t="shared" si="0"/>
        <v>89320.1</v>
      </c>
      <c r="N8" s="25"/>
    </row>
    <row r="9" spans="1:13" ht="12.75">
      <c r="A9" s="29" t="s">
        <v>86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173"/>
      <c r="M9" s="30">
        <f t="shared" si="0"/>
        <v>0</v>
      </c>
    </row>
    <row r="10" spans="1:13" ht="12.75">
      <c r="A10" s="21" t="s">
        <v>235</v>
      </c>
      <c r="B10" s="30"/>
      <c r="C10" s="30"/>
      <c r="D10" s="30"/>
      <c r="E10" s="30"/>
      <c r="F10" s="30"/>
      <c r="G10" s="30"/>
      <c r="H10" s="30"/>
      <c r="I10" s="30">
        <f>'Energy Star'!I72</f>
        <v>377</v>
      </c>
      <c r="J10" s="30">
        <f>'Energy Star'!J72</f>
        <v>431</v>
      </c>
      <c r="K10" s="30">
        <f>'Energy Star'!K72</f>
        <v>497</v>
      </c>
      <c r="L10" s="173">
        <f>'Energy Star'!L72</f>
        <v>498.4</v>
      </c>
      <c r="M10" s="30">
        <f t="shared" si="0"/>
        <v>1803.4</v>
      </c>
    </row>
    <row r="11" spans="1:13" ht="12.75">
      <c r="A11" s="21" t="s">
        <v>252</v>
      </c>
      <c r="B11" s="30"/>
      <c r="C11" s="30"/>
      <c r="D11" s="30"/>
      <c r="E11" s="30"/>
      <c r="F11" s="30"/>
      <c r="G11" s="30"/>
      <c r="H11" s="30"/>
      <c r="I11" s="30">
        <f>'Energy Star'!I73</f>
        <v>53</v>
      </c>
      <c r="J11" s="30">
        <f>'Energy Star'!J73</f>
        <v>79</v>
      </c>
      <c r="K11" s="30">
        <f>'Energy Star'!K73</f>
        <v>57</v>
      </c>
      <c r="L11" s="173">
        <f>'Energy Star'!L73</f>
        <v>3.9</v>
      </c>
      <c r="M11" s="30">
        <f t="shared" si="0"/>
        <v>192.9</v>
      </c>
    </row>
    <row r="12" spans="1:13" ht="12.75">
      <c r="A12" s="21" t="s">
        <v>270</v>
      </c>
      <c r="B12" s="30"/>
      <c r="C12" s="30"/>
      <c r="D12" s="30"/>
      <c r="E12" s="30"/>
      <c r="F12" s="30"/>
      <c r="G12" s="30"/>
      <c r="H12" s="30"/>
      <c r="I12" s="30"/>
      <c r="J12" s="30">
        <f>'Energy Star'!J74</f>
        <v>1385</v>
      </c>
      <c r="K12" s="30">
        <f>'Energy Star'!K74</f>
        <v>3748.3</v>
      </c>
      <c r="L12" s="173">
        <f>'Energy Star'!L74</f>
        <v>3765.8</v>
      </c>
      <c r="M12" s="30">
        <f t="shared" si="0"/>
        <v>8899.1</v>
      </c>
    </row>
    <row r="13" spans="1:13" ht="12.75">
      <c r="A13" s="21" t="s">
        <v>396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173">
        <f>'Energy Star'!L76</f>
        <v>60.2</v>
      </c>
      <c r="M13" s="30">
        <f t="shared" si="0"/>
        <v>60.2</v>
      </c>
    </row>
    <row r="14" spans="1:13" ht="12.75">
      <c r="A14" s="21" t="s">
        <v>394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173">
        <f>'Energy Star'!L77</f>
        <v>32.1</v>
      </c>
      <c r="M14" s="30">
        <f t="shared" si="0"/>
        <v>32.1</v>
      </c>
    </row>
    <row r="15" spans="1:13" ht="12.75">
      <c r="A15" s="21" t="s">
        <v>344</v>
      </c>
      <c r="B15" s="30"/>
      <c r="C15" s="30"/>
      <c r="D15" s="30"/>
      <c r="E15" s="30"/>
      <c r="F15" s="30"/>
      <c r="G15" s="30"/>
      <c r="H15" s="30"/>
      <c r="I15" s="30"/>
      <c r="J15" s="30"/>
      <c r="K15" s="30">
        <f>'Energy Star'!K75</f>
        <v>526.9</v>
      </c>
      <c r="L15" s="173">
        <f>'Energy Star'!L75</f>
        <v>1005.1</v>
      </c>
      <c r="M15" s="30">
        <f t="shared" si="0"/>
        <v>1532</v>
      </c>
    </row>
    <row r="16" spans="1:13" ht="12.75">
      <c r="A16" s="29" t="s">
        <v>204</v>
      </c>
      <c r="B16" s="30"/>
      <c r="C16" s="30"/>
      <c r="D16" s="30"/>
      <c r="E16" s="30"/>
      <c r="F16" s="30"/>
      <c r="G16" s="30">
        <f>'Home Perf'!B23</f>
        <v>0</v>
      </c>
      <c r="H16" s="30">
        <f>'Home Perf'!C23</f>
        <v>0</v>
      </c>
      <c r="I16" s="30">
        <f>'Home Perf'!D23</f>
        <v>51</v>
      </c>
      <c r="J16" s="30">
        <f>'Home Perf'!E23</f>
        <v>366</v>
      </c>
      <c r="K16" s="30">
        <f>'Home Perf'!F23</f>
        <v>815</v>
      </c>
      <c r="L16" s="173">
        <f>'Home Perf'!G23</f>
        <v>894</v>
      </c>
      <c r="M16" s="30">
        <f t="shared" si="0"/>
        <v>2126</v>
      </c>
    </row>
    <row r="17" spans="1:14" ht="12.75">
      <c r="A17" s="32" t="s">
        <v>88</v>
      </c>
      <c r="B17" s="41">
        <f>SUM(B4:B16)</f>
        <v>10772</v>
      </c>
      <c r="C17" s="41">
        <f aca="true" t="shared" si="1" ref="C17:K17">SUM(C4:C16)</f>
        <v>17240</v>
      </c>
      <c r="D17" s="41">
        <f t="shared" si="1"/>
        <v>28541</v>
      </c>
      <c r="E17" s="41">
        <f t="shared" si="1"/>
        <v>34464</v>
      </c>
      <c r="F17" s="41">
        <f t="shared" si="1"/>
        <v>36510</v>
      </c>
      <c r="G17" s="41">
        <f t="shared" si="1"/>
        <v>23503</v>
      </c>
      <c r="H17" s="41">
        <f t="shared" si="1"/>
        <v>29758</v>
      </c>
      <c r="I17" s="41">
        <f t="shared" si="1"/>
        <v>22930</v>
      </c>
      <c r="J17" s="41">
        <f t="shared" si="1"/>
        <v>26497</v>
      </c>
      <c r="K17" s="41">
        <f t="shared" si="1"/>
        <v>37168.600000000006</v>
      </c>
      <c r="L17" s="205">
        <f>SUM(L4:L16)</f>
        <v>43169.8</v>
      </c>
      <c r="M17" s="41">
        <f t="shared" si="0"/>
        <v>310553.39999999997</v>
      </c>
      <c r="N17" s="25"/>
    </row>
    <row r="18" spans="1:14" ht="12.75">
      <c r="A18" s="3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205"/>
      <c r="M18" s="41"/>
      <c r="N18" s="25"/>
    </row>
    <row r="19" spans="1:14" ht="12.75">
      <c r="A19" s="84" t="s">
        <v>87</v>
      </c>
      <c r="B19" s="41">
        <f>'Low-income'!B34</f>
        <v>1032</v>
      </c>
      <c r="C19" s="41">
        <f>'Low-income'!C34</f>
        <v>627</v>
      </c>
      <c r="D19" s="41">
        <f>'Low-income'!D34</f>
        <v>868</v>
      </c>
      <c r="E19" s="41">
        <f>'Low-income'!E34</f>
        <v>820</v>
      </c>
      <c r="F19" s="41">
        <f>'Low-income'!F34</f>
        <v>569</v>
      </c>
      <c r="G19" s="41">
        <f>'Low-income'!G34</f>
        <v>1645</v>
      </c>
      <c r="H19" s="41">
        <f>'Low-income'!H34</f>
        <v>1600</v>
      </c>
      <c r="I19" s="41">
        <f>'Low-income'!I34</f>
        <v>1268</v>
      </c>
      <c r="J19" s="41">
        <f>'Low-income'!J34</f>
        <v>1071</v>
      </c>
      <c r="K19" s="41">
        <f>'Low-income'!K34</f>
        <v>937</v>
      </c>
      <c r="L19" s="205">
        <f>'Low-income'!L34</f>
        <v>1072</v>
      </c>
      <c r="M19" s="41">
        <f>SUM(B19:L19)</f>
        <v>11509</v>
      </c>
      <c r="N19" s="25"/>
    </row>
    <row r="20" spans="1:14" ht="12.75">
      <c r="A20" s="3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205"/>
      <c r="M20" s="41"/>
      <c r="N20" s="25"/>
    </row>
    <row r="21" spans="1:14" ht="12.75">
      <c r="A21" s="68" t="s">
        <v>147</v>
      </c>
      <c r="B21" s="30"/>
      <c r="C21" s="30"/>
      <c r="D21" s="30"/>
      <c r="E21" s="30"/>
      <c r="F21" s="30"/>
      <c r="G21" s="30"/>
      <c r="H21" s="30"/>
      <c r="I21" s="30"/>
      <c r="J21" s="30"/>
      <c r="K21" s="30">
        <f>'C&amp;I'!K57</f>
        <v>1915</v>
      </c>
      <c r="L21" s="173">
        <f>'C&amp;I'!L57</f>
        <v>4650</v>
      </c>
      <c r="M21" s="30"/>
      <c r="N21" s="25"/>
    </row>
    <row r="22" spans="1:14" ht="12.75">
      <c r="A22" s="16" t="s">
        <v>148</v>
      </c>
      <c r="B22" s="30"/>
      <c r="C22" s="30"/>
      <c r="D22" s="30"/>
      <c r="E22" s="30"/>
      <c r="F22" s="30"/>
      <c r="G22" s="30"/>
      <c r="H22" s="30"/>
      <c r="I22" s="30"/>
      <c r="J22" s="30"/>
      <c r="K22" s="30">
        <f>'C&amp;I'!K58</f>
        <v>20887</v>
      </c>
      <c r="L22" s="173">
        <f>'C&amp;I'!L58</f>
        <v>69567</v>
      </c>
      <c r="M22" s="30"/>
      <c r="N22" s="25"/>
    </row>
    <row r="23" spans="1:14" ht="12.75">
      <c r="A23" s="16" t="s">
        <v>149</v>
      </c>
      <c r="B23" s="30"/>
      <c r="C23" s="30"/>
      <c r="D23" s="30"/>
      <c r="E23" s="30"/>
      <c r="F23" s="30"/>
      <c r="G23" s="30"/>
      <c r="H23" s="30"/>
      <c r="I23" s="30"/>
      <c r="J23" s="30"/>
      <c r="K23" s="30">
        <f>'C&amp;I'!K59</f>
        <v>0</v>
      </c>
      <c r="L23" s="173">
        <f>'C&amp;I'!L59</f>
        <v>0</v>
      </c>
      <c r="M23" s="30"/>
      <c r="N23" s="25"/>
    </row>
    <row r="24" spans="1:14" ht="12.75">
      <c r="A24" s="29" t="s">
        <v>96</v>
      </c>
      <c r="B24" s="30"/>
      <c r="C24" s="30"/>
      <c r="D24" s="30"/>
      <c r="E24" s="30"/>
      <c r="F24" s="30"/>
      <c r="G24" s="30"/>
      <c r="H24" s="30"/>
      <c r="I24" s="30"/>
      <c r="J24" s="30"/>
      <c r="K24" s="30">
        <f>'P4P '!D28</f>
        <v>62</v>
      </c>
      <c r="L24" s="173">
        <f>'P4P '!E28</f>
        <v>2514</v>
      </c>
      <c r="M24" s="30"/>
      <c r="N24" s="25"/>
    </row>
    <row r="25" spans="1:14" ht="12.75">
      <c r="A25" s="29" t="s">
        <v>324</v>
      </c>
      <c r="B25" s="30"/>
      <c r="C25" s="30"/>
      <c r="D25" s="30"/>
      <c r="E25" s="30"/>
      <c r="F25" s="30"/>
      <c r="G25" s="30"/>
      <c r="H25" s="30"/>
      <c r="I25" s="30"/>
      <c r="J25" s="30"/>
      <c r="K25" s="30">
        <f>'P4P NC'!B28</f>
        <v>0</v>
      </c>
      <c r="L25" s="173">
        <f>'P4P NC'!C28</f>
        <v>0</v>
      </c>
      <c r="M25" s="30"/>
      <c r="N25" s="25"/>
    </row>
    <row r="26" spans="1:14" ht="12.75">
      <c r="A26" s="29" t="s">
        <v>246</v>
      </c>
      <c r="B26" s="30"/>
      <c r="C26" s="30"/>
      <c r="D26" s="30"/>
      <c r="E26" s="30"/>
      <c r="F26" s="30"/>
      <c r="G26" s="30"/>
      <c r="H26" s="30"/>
      <c r="I26" s="30"/>
      <c r="J26" s="30"/>
      <c r="K26" s="30">
        <f>'Direct Install'!D25</f>
        <v>1276</v>
      </c>
      <c r="L26" s="173">
        <f>'Direct Install'!E25</f>
        <v>8693</v>
      </c>
      <c r="M26" s="30"/>
      <c r="N26" s="25"/>
    </row>
    <row r="27" spans="1:13" ht="12.75">
      <c r="A27" s="70" t="s">
        <v>157</v>
      </c>
      <c r="B27" s="41">
        <f>'C&amp;I'!B60</f>
        <v>6364</v>
      </c>
      <c r="C27" s="41">
        <f>'C&amp;I'!C60</f>
        <v>26750</v>
      </c>
      <c r="D27" s="41">
        <f>'C&amp;I'!D60</f>
        <v>38155</v>
      </c>
      <c r="E27" s="41">
        <f>'C&amp;I'!E60</f>
        <v>43470</v>
      </c>
      <c r="F27" s="41">
        <f>'C&amp;I'!F60</f>
        <v>36382</v>
      </c>
      <c r="G27" s="41">
        <f>'C&amp;I'!G60</f>
        <v>26301</v>
      </c>
      <c r="H27" s="41">
        <f>'C&amp;I'!H60</f>
        <v>17502</v>
      </c>
      <c r="I27" s="41">
        <f>'C&amp;I'!I60</f>
        <v>16438</v>
      </c>
      <c r="J27" s="41">
        <f>'C&amp;I'!J60</f>
        <v>18781</v>
      </c>
      <c r="K27" s="41">
        <f>SUM(K21:K26)</f>
        <v>24140</v>
      </c>
      <c r="L27" s="205">
        <f>SUM(L21:L26)</f>
        <v>85424</v>
      </c>
      <c r="M27" s="41">
        <f aca="true" t="shared" si="2" ref="M27:M33">SUM(B27:L27)</f>
        <v>339707</v>
      </c>
    </row>
    <row r="28" spans="1:13" ht="12.75">
      <c r="A28" s="21" t="s">
        <v>266</v>
      </c>
      <c r="B28" s="30"/>
      <c r="C28" s="30"/>
      <c r="D28" s="30"/>
      <c r="E28" s="30"/>
      <c r="F28" s="30"/>
      <c r="G28" s="30"/>
      <c r="H28" s="30"/>
      <c r="I28" s="30">
        <f>CHP!I26</f>
        <v>30</v>
      </c>
      <c r="J28" s="30">
        <f>CHP!J26</f>
        <v>0</v>
      </c>
      <c r="K28" s="30">
        <f>CHP!K26</f>
        <v>275</v>
      </c>
      <c r="L28" s="173">
        <f>CHP!L26</f>
        <v>0</v>
      </c>
      <c r="M28" s="30">
        <f t="shared" si="2"/>
        <v>305</v>
      </c>
    </row>
    <row r="29" spans="1:13" ht="12.75">
      <c r="A29" s="29" t="s">
        <v>158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173"/>
      <c r="M29" s="30">
        <f t="shared" si="2"/>
        <v>0</v>
      </c>
    </row>
    <row r="30" spans="1:13" ht="12.75">
      <c r="A30" s="70" t="s">
        <v>164</v>
      </c>
      <c r="B30" s="41">
        <f aca="true" t="shared" si="3" ref="B30:G30">B29+B27</f>
        <v>6364</v>
      </c>
      <c r="C30" s="41">
        <f t="shared" si="3"/>
        <v>26750</v>
      </c>
      <c r="D30" s="41">
        <f t="shared" si="3"/>
        <v>38155</v>
      </c>
      <c r="E30" s="41">
        <f t="shared" si="3"/>
        <v>43470</v>
      </c>
      <c r="F30" s="41">
        <f t="shared" si="3"/>
        <v>36382</v>
      </c>
      <c r="G30" s="41">
        <f t="shared" si="3"/>
        <v>26301</v>
      </c>
      <c r="H30" s="41">
        <f>H29+H27</f>
        <v>17502</v>
      </c>
      <c r="I30" s="41">
        <f>SUM(I27:I29)</f>
        <v>16468</v>
      </c>
      <c r="J30" s="41">
        <f>SUM(J27:J29)</f>
        <v>18781</v>
      </c>
      <c r="K30" s="41">
        <f>SUM(K27:K29)</f>
        <v>24415</v>
      </c>
      <c r="L30" s="205">
        <f>SUM(L27:L29)</f>
        <v>85424</v>
      </c>
      <c r="M30" s="41">
        <f t="shared" si="2"/>
        <v>340012</v>
      </c>
    </row>
    <row r="31" spans="1:14" ht="12.75">
      <c r="A31" s="32" t="s">
        <v>90</v>
      </c>
      <c r="B31" s="41">
        <f>B17+B30+B19</f>
        <v>18168</v>
      </c>
      <c r="C31" s="41">
        <f aca="true" t="shared" si="4" ref="C31:J31">C17+C30+C19</f>
        <v>44617</v>
      </c>
      <c r="D31" s="41">
        <f t="shared" si="4"/>
        <v>67564</v>
      </c>
      <c r="E31" s="41">
        <f t="shared" si="4"/>
        <v>78754</v>
      </c>
      <c r="F31" s="41">
        <f t="shared" si="4"/>
        <v>73461</v>
      </c>
      <c r="G31" s="41">
        <f t="shared" si="4"/>
        <v>51449</v>
      </c>
      <c r="H31" s="41">
        <f t="shared" si="4"/>
        <v>48860</v>
      </c>
      <c r="I31" s="41">
        <f t="shared" si="4"/>
        <v>40666</v>
      </c>
      <c r="J31" s="41">
        <f t="shared" si="4"/>
        <v>46349</v>
      </c>
      <c r="K31" s="41">
        <f>K17+K30+K19</f>
        <v>62520.600000000006</v>
      </c>
      <c r="L31" s="205">
        <f>L17+L30+L19</f>
        <v>129665.8</v>
      </c>
      <c r="M31" s="41">
        <f t="shared" si="2"/>
        <v>662074.4</v>
      </c>
      <c r="N31" s="25"/>
    </row>
    <row r="32" spans="1:14" ht="12.75">
      <c r="A32" s="14" t="s">
        <v>198</v>
      </c>
      <c r="B32" s="41">
        <f>CHP!B55</f>
        <v>0</v>
      </c>
      <c r="C32" s="41">
        <f>CHP!C55</f>
        <v>0</v>
      </c>
      <c r="D32" s="41">
        <f>CHP!D55</f>
        <v>0</v>
      </c>
      <c r="E32" s="41">
        <f>CHP!E55</f>
        <v>0</v>
      </c>
      <c r="F32" s="41">
        <f>CHP!F55</f>
        <v>140</v>
      </c>
      <c r="G32" s="41">
        <f>CHP!G55</f>
        <v>3175</v>
      </c>
      <c r="H32" s="41">
        <f>CHP!H55</f>
        <v>4925</v>
      </c>
      <c r="I32" s="41">
        <f>CHP!I55</f>
        <v>1276</v>
      </c>
      <c r="J32" s="41">
        <f>CHP!J55</f>
        <v>4700</v>
      </c>
      <c r="K32" s="41">
        <f>CHP!K55</f>
        <v>5535</v>
      </c>
      <c r="L32" s="205">
        <f>CHP!L55</f>
        <v>0</v>
      </c>
      <c r="M32" s="41">
        <f t="shared" si="2"/>
        <v>19751</v>
      </c>
      <c r="N32" s="25"/>
    </row>
    <row r="33" spans="1:14" ht="12.75">
      <c r="A33" s="32" t="s">
        <v>233</v>
      </c>
      <c r="B33" s="41">
        <f>B32+B31</f>
        <v>18168</v>
      </c>
      <c r="C33" s="41">
        <f aca="true" t="shared" si="5" ref="C33:H33">C32+C31</f>
        <v>44617</v>
      </c>
      <c r="D33" s="41">
        <f t="shared" si="5"/>
        <v>67564</v>
      </c>
      <c r="E33" s="41">
        <f t="shared" si="5"/>
        <v>78754</v>
      </c>
      <c r="F33" s="41">
        <f t="shared" si="5"/>
        <v>73601</v>
      </c>
      <c r="G33" s="41">
        <f t="shared" si="5"/>
        <v>54624</v>
      </c>
      <c r="H33" s="41">
        <f t="shared" si="5"/>
        <v>53785</v>
      </c>
      <c r="I33" s="41">
        <f>I32+I31</f>
        <v>41942</v>
      </c>
      <c r="J33" s="41">
        <f>J32+J31</f>
        <v>51049</v>
      </c>
      <c r="K33" s="41">
        <f>K32+K31</f>
        <v>68055.6</v>
      </c>
      <c r="L33" s="205">
        <f>L32+L31</f>
        <v>129665.8</v>
      </c>
      <c r="M33" s="41">
        <f t="shared" si="2"/>
        <v>681825.4</v>
      </c>
      <c r="N33" s="25"/>
    </row>
    <row r="34" spans="2:13" ht="12.75"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89"/>
      <c r="M34" s="128"/>
    </row>
    <row r="35" spans="1:13" ht="12.75">
      <c r="A35" s="33" t="s">
        <v>197</v>
      </c>
      <c r="B35" s="129" t="s">
        <v>11</v>
      </c>
      <c r="C35" s="129" t="s">
        <v>11</v>
      </c>
      <c r="D35" s="129" t="s">
        <v>11</v>
      </c>
      <c r="E35" s="129" t="s">
        <v>11</v>
      </c>
      <c r="F35" s="129" t="s">
        <v>11</v>
      </c>
      <c r="G35" s="129" t="s">
        <v>11</v>
      </c>
      <c r="H35" s="129" t="s">
        <v>11</v>
      </c>
      <c r="I35" s="129" t="s">
        <v>11</v>
      </c>
      <c r="J35" s="129" t="s">
        <v>11</v>
      </c>
      <c r="K35" s="28" t="s">
        <v>11</v>
      </c>
      <c r="L35" s="204" t="s">
        <v>11</v>
      </c>
      <c r="M35" s="28" t="s">
        <v>11</v>
      </c>
    </row>
    <row r="36" spans="1:14" ht="12.75">
      <c r="A36" s="24" t="s">
        <v>91</v>
      </c>
      <c r="B36" s="30">
        <f>CORE!B24</f>
        <v>8</v>
      </c>
      <c r="C36" s="30">
        <f>CORE!C24</f>
        <v>1142</v>
      </c>
      <c r="D36" s="30">
        <f>CORE!D24</f>
        <v>1743</v>
      </c>
      <c r="E36" s="30">
        <f>CORE!E24</f>
        <v>2644</v>
      </c>
      <c r="F36" s="30">
        <f>CORE!F24</f>
        <v>7386</v>
      </c>
      <c r="G36" s="30">
        <f>CORE!G24</f>
        <v>18725</v>
      </c>
      <c r="H36" s="30">
        <f>CORE!H24</f>
        <v>20307</v>
      </c>
      <c r="I36" s="30">
        <f>CORE!I24</f>
        <v>14772</v>
      </c>
      <c r="J36" s="30">
        <f>CORE!J24</f>
        <v>12860</v>
      </c>
      <c r="K36" s="30">
        <f>CORE!K24</f>
        <v>15151</v>
      </c>
      <c r="L36" s="173">
        <f>CORE!L24</f>
        <v>5800</v>
      </c>
      <c r="M36" s="30">
        <f aca="true" t="shared" si="6" ref="M36:M41">SUM(B36:L36)</f>
        <v>100538</v>
      </c>
      <c r="N36" s="25"/>
    </row>
    <row r="37" spans="1:14" ht="12.75">
      <c r="A37" s="20" t="s">
        <v>271</v>
      </c>
      <c r="B37" s="30"/>
      <c r="C37" s="30"/>
      <c r="D37" s="30"/>
      <c r="E37" s="30"/>
      <c r="F37" s="30"/>
      <c r="G37" s="30"/>
      <c r="H37" s="30"/>
      <c r="I37" s="30"/>
      <c r="J37" s="30">
        <f>REIP!B22</f>
        <v>2149</v>
      </c>
      <c r="K37" s="30">
        <f>REIP!C22</f>
        <v>16127</v>
      </c>
      <c r="L37" s="173">
        <f>REIP!D22</f>
        <v>17842</v>
      </c>
      <c r="M37" s="173">
        <f t="shared" si="6"/>
        <v>36118</v>
      </c>
      <c r="N37" s="190"/>
    </row>
    <row r="38" spans="1:14" ht="12.75">
      <c r="A38" s="20" t="s">
        <v>343</v>
      </c>
      <c r="B38" s="30"/>
      <c r="C38" s="30"/>
      <c r="D38" s="30"/>
      <c r="E38" s="30"/>
      <c r="F38" s="30"/>
      <c r="G38" s="30"/>
      <c r="H38" s="30"/>
      <c r="I38" s="30"/>
      <c r="J38" s="30">
        <f>'RE Grid Connected'!B22</f>
        <v>0</v>
      </c>
      <c r="K38" s="30">
        <f>'RE Grid Connected'!C22</f>
        <v>0</v>
      </c>
      <c r="L38" s="173">
        <f>'RE Grid Connected'!D22</f>
        <v>0</v>
      </c>
      <c r="M38" s="173">
        <f t="shared" si="6"/>
        <v>0</v>
      </c>
      <c r="N38" s="190"/>
    </row>
    <row r="39" spans="1:14" ht="12.75">
      <c r="A39" s="20" t="s">
        <v>265</v>
      </c>
      <c r="B39" s="30">
        <f>'RE Grants and Financing'!B41</f>
        <v>0</v>
      </c>
      <c r="C39" s="30">
        <f>'RE Grants and Financing'!C41</f>
        <v>0</v>
      </c>
      <c r="D39" s="30">
        <f>'RE Grants and Financing'!D41</f>
        <v>0</v>
      </c>
      <c r="E39" s="30">
        <f>'RE Grants and Financing'!E41</f>
        <v>0</v>
      </c>
      <c r="F39" s="30">
        <f>'RE Grants and Financing'!F41</f>
        <v>1600</v>
      </c>
      <c r="G39" s="30">
        <f>'RE Grants and Financing'!G41</f>
        <v>0</v>
      </c>
      <c r="H39" s="30">
        <f>'RE Grants and Financing'!H41</f>
        <v>8600</v>
      </c>
      <c r="I39" s="30">
        <f>'RE Grants and Financing'!I41</f>
        <v>9600</v>
      </c>
      <c r="J39" s="30">
        <f>'RE Grants and Financing'!J41</f>
        <v>1500</v>
      </c>
      <c r="K39" s="30">
        <f>'RE Grants and Financing'!K41</f>
        <v>6200</v>
      </c>
      <c r="L39" s="173"/>
      <c r="M39" s="173">
        <f t="shared" si="6"/>
        <v>27500</v>
      </c>
      <c r="N39" s="202"/>
    </row>
    <row r="40" spans="1:14" ht="12.75">
      <c r="A40" s="20" t="s">
        <v>264</v>
      </c>
      <c r="B40" s="30"/>
      <c r="C40" s="30"/>
      <c r="D40" s="30"/>
      <c r="E40" s="30"/>
      <c r="F40" s="30"/>
      <c r="G40" s="30"/>
      <c r="H40" s="30">
        <f>REC!B18</f>
        <v>13</v>
      </c>
      <c r="I40" s="30">
        <f>REC!C18</f>
        <v>8433</v>
      </c>
      <c r="J40" s="30">
        <f>REC!D18</f>
        <v>34269</v>
      </c>
      <c r="K40" s="30">
        <f>REC!E18</f>
        <v>145766</v>
      </c>
      <c r="L40" s="173">
        <f>REC!F18</f>
        <v>294745</v>
      </c>
      <c r="M40" s="173">
        <f t="shared" si="6"/>
        <v>483226</v>
      </c>
      <c r="N40" s="187"/>
    </row>
    <row r="41" spans="1:14" ht="12.75">
      <c r="A41" s="14" t="s">
        <v>1</v>
      </c>
      <c r="B41" s="41">
        <f>SUM(B36:B40)</f>
        <v>8</v>
      </c>
      <c r="C41" s="41">
        <f aca="true" t="shared" si="7" ref="C41:J41">SUM(C36:C40)</f>
        <v>1142</v>
      </c>
      <c r="D41" s="41">
        <f t="shared" si="7"/>
        <v>1743</v>
      </c>
      <c r="E41" s="41">
        <f t="shared" si="7"/>
        <v>2644</v>
      </c>
      <c r="F41" s="41">
        <f t="shared" si="7"/>
        <v>8986</v>
      </c>
      <c r="G41" s="41">
        <f t="shared" si="7"/>
        <v>18725</v>
      </c>
      <c r="H41" s="41">
        <f t="shared" si="7"/>
        <v>28920</v>
      </c>
      <c r="I41" s="41">
        <f t="shared" si="7"/>
        <v>32805</v>
      </c>
      <c r="J41" s="41">
        <f t="shared" si="7"/>
        <v>50778</v>
      </c>
      <c r="K41" s="41">
        <f>SUM(K36:K40)</f>
        <v>183244</v>
      </c>
      <c r="L41" s="205">
        <f>SUM(L36:L40)</f>
        <v>318387</v>
      </c>
      <c r="M41" s="173">
        <f t="shared" si="6"/>
        <v>647382</v>
      </c>
      <c r="N41" s="190"/>
    </row>
    <row r="42" spans="1:14" ht="12.75">
      <c r="A42" s="33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82"/>
      <c r="N42" s="25"/>
    </row>
    <row r="43" spans="1:14" ht="12.75">
      <c r="A43" s="14" t="s">
        <v>234</v>
      </c>
      <c r="B43" s="41">
        <f>B41+B33</f>
        <v>18176</v>
      </c>
      <c r="C43" s="41">
        <f aca="true" t="shared" si="8" ref="C43:I43">C41+C33</f>
        <v>45759</v>
      </c>
      <c r="D43" s="41">
        <f t="shared" si="8"/>
        <v>69307</v>
      </c>
      <c r="E43" s="41">
        <f t="shared" si="8"/>
        <v>81398</v>
      </c>
      <c r="F43" s="41">
        <f t="shared" si="8"/>
        <v>82587</v>
      </c>
      <c r="G43" s="41">
        <f t="shared" si="8"/>
        <v>73349</v>
      </c>
      <c r="H43" s="41">
        <f t="shared" si="8"/>
        <v>82705</v>
      </c>
      <c r="I43" s="41">
        <f t="shared" si="8"/>
        <v>74747</v>
      </c>
      <c r="J43" s="41">
        <f>J41+J33</f>
        <v>101827</v>
      </c>
      <c r="K43" s="41">
        <f>K41+K33</f>
        <v>251299.6</v>
      </c>
      <c r="L43" s="205">
        <f>L41+L33</f>
        <v>448052.8</v>
      </c>
      <c r="M43" s="41">
        <f>SUM(B43:L43)</f>
        <v>1329207.4</v>
      </c>
      <c r="N43" s="25"/>
    </row>
    <row r="44" spans="2:13" ht="12.75"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89"/>
      <c r="M44" s="130"/>
    </row>
    <row r="45" spans="1:13" ht="12.75">
      <c r="A45" s="89" t="s">
        <v>133</v>
      </c>
      <c r="B45" s="30">
        <f>'Appliance Cycling'!B14</f>
        <v>204971</v>
      </c>
      <c r="C45" s="30">
        <f>'Appliance Cycling'!C14</f>
        <v>196222</v>
      </c>
      <c r="D45" s="30">
        <f>'Appliance Cycling'!D14</f>
        <v>194531</v>
      </c>
      <c r="E45" s="30">
        <f>'Appliance Cycling'!E14</f>
        <v>173164</v>
      </c>
      <c r="F45" s="30">
        <f>'Appliance Cycling'!F14</f>
        <v>0</v>
      </c>
      <c r="G45" s="131"/>
      <c r="H45" s="131"/>
      <c r="I45" s="131"/>
      <c r="J45" s="131"/>
      <c r="K45" s="131"/>
      <c r="L45" s="206"/>
      <c r="M45" s="131"/>
    </row>
    <row r="47" ht="12.75">
      <c r="H47" s="107" t="s">
        <v>103</v>
      </c>
    </row>
  </sheetData>
  <sheetProtection/>
  <printOptions/>
  <pageMargins left="0.75" right="0.75" top="1" bottom="1" header="0.5" footer="0.5"/>
  <pageSetup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selection activeCell="N1" sqref="N1"/>
    </sheetView>
  </sheetViews>
  <sheetFormatPr defaultColWidth="10.7109375" defaultRowHeight="12.75"/>
  <cols>
    <col min="1" max="1" width="27.7109375" style="3" customWidth="1"/>
    <col min="2" max="5" width="13.8515625" style="6" customWidth="1"/>
    <col min="6" max="9" width="13.8515625" style="6" bestFit="1" customWidth="1"/>
    <col min="10" max="10" width="13.8515625" style="6" customWidth="1"/>
    <col min="11" max="12" width="13.421875" style="6" customWidth="1"/>
    <col min="13" max="13" width="14.8515625" style="6" bestFit="1" customWidth="1"/>
    <col min="14" max="16384" width="10.7109375" style="6" customWidth="1"/>
  </cols>
  <sheetData>
    <row r="1" spans="1:13" ht="15.75">
      <c r="A1" s="235" t="s">
        <v>15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ht="15">
      <c r="A2" s="144"/>
    </row>
    <row r="3" ht="15">
      <c r="A3" s="144"/>
    </row>
    <row r="4" spans="1:13" ht="12.75">
      <c r="A4" s="14" t="s">
        <v>282</v>
      </c>
      <c r="B4" s="55">
        <v>2001</v>
      </c>
      <c r="C4" s="55">
        <v>2002</v>
      </c>
      <c r="D4" s="55">
        <v>2003</v>
      </c>
      <c r="E4" s="55" t="s">
        <v>34</v>
      </c>
      <c r="F4" s="55" t="s">
        <v>112</v>
      </c>
      <c r="G4" s="55" t="s">
        <v>174</v>
      </c>
      <c r="H4" s="55" t="s">
        <v>203</v>
      </c>
      <c r="I4" s="55" t="s">
        <v>242</v>
      </c>
      <c r="J4" s="55" t="s">
        <v>267</v>
      </c>
      <c r="K4" s="55" t="s">
        <v>311</v>
      </c>
      <c r="L4" s="55" t="s">
        <v>359</v>
      </c>
      <c r="M4" s="162" t="s">
        <v>360</v>
      </c>
    </row>
    <row r="5" spans="1:13" ht="12.75">
      <c r="A5" s="16" t="s">
        <v>16</v>
      </c>
      <c r="B5" s="18">
        <v>12720</v>
      </c>
      <c r="C5" s="18">
        <v>17139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>
      <c r="A6" s="16" t="s">
        <v>17</v>
      </c>
      <c r="B6" s="18">
        <v>6002</v>
      </c>
      <c r="C6" s="18">
        <v>7079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16" t="s">
        <v>35</v>
      </c>
      <c r="B7" s="18">
        <f>B6+B5</f>
        <v>18722</v>
      </c>
      <c r="C7" s="18">
        <f>C6+C5</f>
        <v>24218</v>
      </c>
      <c r="D7" s="18">
        <v>13970</v>
      </c>
      <c r="E7" s="18">
        <v>17346</v>
      </c>
      <c r="F7" s="18">
        <v>15500</v>
      </c>
      <c r="G7" s="18">
        <v>16705</v>
      </c>
      <c r="H7" s="18">
        <v>17759</v>
      </c>
      <c r="I7" s="18">
        <v>18476</v>
      </c>
      <c r="J7" s="134">
        <v>13532500.8</v>
      </c>
      <c r="K7" s="134">
        <v>16268617.09</v>
      </c>
      <c r="L7" s="18">
        <v>22724583.98</v>
      </c>
      <c r="M7" s="18"/>
    </row>
    <row r="8" spans="1:13" ht="12.75">
      <c r="A8" s="21" t="s">
        <v>1</v>
      </c>
      <c r="B8" s="134">
        <f>B7*1000</f>
        <v>18722000</v>
      </c>
      <c r="C8" s="134">
        <f aca="true" t="shared" si="0" ref="C8:I8">C7*1000</f>
        <v>24218000</v>
      </c>
      <c r="D8" s="134">
        <f t="shared" si="0"/>
        <v>13970000</v>
      </c>
      <c r="E8" s="134">
        <f t="shared" si="0"/>
        <v>17346000</v>
      </c>
      <c r="F8" s="134">
        <f t="shared" si="0"/>
        <v>15500000</v>
      </c>
      <c r="G8" s="134">
        <f t="shared" si="0"/>
        <v>16705000</v>
      </c>
      <c r="H8" s="134">
        <f t="shared" si="0"/>
        <v>17759000</v>
      </c>
      <c r="I8" s="134">
        <f t="shared" si="0"/>
        <v>18476000</v>
      </c>
      <c r="J8" s="134">
        <f>J7</f>
        <v>13532500.8</v>
      </c>
      <c r="K8" s="134">
        <f>K7</f>
        <v>16268617.09</v>
      </c>
      <c r="L8" s="134">
        <f>L7</f>
        <v>22724583.98</v>
      </c>
      <c r="M8" s="134">
        <f>SUM(B8:L8)</f>
        <v>195221701.87</v>
      </c>
    </row>
    <row r="9" spans="1:13" ht="29.25" customHeight="1">
      <c r="A9" s="237" t="s">
        <v>352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</row>
    <row r="10" spans="1:14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12"/>
    </row>
    <row r="11" spans="1:13" ht="12.75">
      <c r="A11" s="33" t="s">
        <v>283</v>
      </c>
      <c r="B11" s="46"/>
      <c r="C11" s="46"/>
      <c r="D11" s="46"/>
      <c r="E11" s="47"/>
      <c r="F11" s="47"/>
      <c r="G11" s="47"/>
      <c r="H11" s="47"/>
      <c r="I11" s="47"/>
      <c r="J11" s="47"/>
      <c r="K11" s="47"/>
      <c r="L11" s="47"/>
      <c r="M11" s="46"/>
    </row>
    <row r="12" spans="1:13" s="3" customFormat="1" ht="12.75">
      <c r="A12" s="16" t="s">
        <v>16</v>
      </c>
      <c r="B12" s="15">
        <v>11172</v>
      </c>
      <c r="C12" s="15">
        <v>13423</v>
      </c>
      <c r="D12" s="15"/>
      <c r="E12" s="15"/>
      <c r="F12" s="15"/>
      <c r="G12" s="15"/>
      <c r="H12" s="15"/>
      <c r="I12" s="15"/>
      <c r="J12" s="15"/>
      <c r="K12" s="15"/>
      <c r="L12" s="15"/>
      <c r="M12" s="18"/>
    </row>
    <row r="13" spans="1:13" s="3" customFormat="1" ht="12.75">
      <c r="A13" s="16" t="s">
        <v>17</v>
      </c>
      <c r="B13" s="15">
        <v>4651</v>
      </c>
      <c r="C13" s="15">
        <v>5067</v>
      </c>
      <c r="D13" s="15"/>
      <c r="E13" s="15"/>
      <c r="F13" s="15"/>
      <c r="G13" s="15"/>
      <c r="H13" s="15"/>
      <c r="I13" s="15"/>
      <c r="J13" s="15"/>
      <c r="K13" s="15"/>
      <c r="L13" s="15"/>
      <c r="M13" s="18"/>
    </row>
    <row r="14" spans="1:13" s="3" customFormat="1" ht="12.75">
      <c r="A14" s="16" t="s">
        <v>35</v>
      </c>
      <c r="B14" s="15">
        <f>B13+B12</f>
        <v>15823</v>
      </c>
      <c r="C14" s="15">
        <f>C13+C12</f>
        <v>18490</v>
      </c>
      <c r="D14" s="15">
        <v>14444</v>
      </c>
      <c r="E14" s="15">
        <v>15564</v>
      </c>
      <c r="F14" s="15">
        <v>13117</v>
      </c>
      <c r="G14" s="15">
        <v>14849</v>
      </c>
      <c r="H14" s="15">
        <v>11853</v>
      </c>
      <c r="I14" s="15">
        <v>11387</v>
      </c>
      <c r="J14" s="15">
        <v>9557604.89</v>
      </c>
      <c r="K14" s="15">
        <v>15167546.97</v>
      </c>
      <c r="L14" s="15">
        <v>19923078.4</v>
      </c>
      <c r="M14" s="18"/>
    </row>
    <row r="15" spans="1:13" s="3" customFormat="1" ht="12.75">
      <c r="A15" s="21" t="s">
        <v>1</v>
      </c>
      <c r="B15" s="15">
        <f>B14*1000</f>
        <v>15823000</v>
      </c>
      <c r="C15" s="15">
        <f aca="true" t="shared" si="1" ref="C15:I15">C14*1000</f>
        <v>18490000</v>
      </c>
      <c r="D15" s="15">
        <f t="shared" si="1"/>
        <v>14444000</v>
      </c>
      <c r="E15" s="15">
        <f t="shared" si="1"/>
        <v>15564000</v>
      </c>
      <c r="F15" s="15">
        <f t="shared" si="1"/>
        <v>13117000</v>
      </c>
      <c r="G15" s="15">
        <f t="shared" si="1"/>
        <v>14849000</v>
      </c>
      <c r="H15" s="15">
        <f t="shared" si="1"/>
        <v>11853000</v>
      </c>
      <c r="I15" s="15">
        <f t="shared" si="1"/>
        <v>11387000</v>
      </c>
      <c r="J15" s="15">
        <f>J14</f>
        <v>9557604.89</v>
      </c>
      <c r="K15" s="15">
        <f>K14</f>
        <v>15167546.97</v>
      </c>
      <c r="L15" s="15">
        <f>L14</f>
        <v>19923078.4</v>
      </c>
      <c r="M15" s="18">
        <f>SUM(B15:L15)</f>
        <v>160175230.26000002</v>
      </c>
    </row>
    <row r="16" spans="1:13" s="3" customFormat="1" ht="12.75">
      <c r="A16" s="2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s="3" customFormat="1" ht="12.75">
      <c r="A17" s="49" t="s">
        <v>43</v>
      </c>
      <c r="B17" s="46"/>
      <c r="C17" s="46"/>
      <c r="D17" s="46"/>
      <c r="E17" s="47"/>
      <c r="F17" s="47"/>
      <c r="G17" s="47"/>
      <c r="H17" s="47"/>
      <c r="I17" s="47"/>
      <c r="J17" s="47"/>
      <c r="K17" s="47"/>
      <c r="L17" s="47"/>
      <c r="M17" s="46"/>
    </row>
    <row r="18" spans="1:13" s="3" customFormat="1" ht="12.75">
      <c r="A18" s="16" t="s">
        <v>16</v>
      </c>
      <c r="B18" s="13">
        <v>15113</v>
      </c>
      <c r="C18" s="13">
        <v>17982</v>
      </c>
      <c r="D18" s="13"/>
      <c r="E18" s="13"/>
      <c r="F18" s="13"/>
      <c r="G18" s="13"/>
      <c r="H18" s="13"/>
      <c r="I18" s="13"/>
      <c r="J18" s="13"/>
      <c r="K18" s="13"/>
      <c r="L18" s="13">
        <v>15461</v>
      </c>
      <c r="M18" s="19">
        <f>SUM(B18:L18)</f>
        <v>48556</v>
      </c>
    </row>
    <row r="19" spans="1:13" s="3" customFormat="1" ht="12.75">
      <c r="A19" s="16" t="s">
        <v>17</v>
      </c>
      <c r="B19" s="13">
        <v>8275</v>
      </c>
      <c r="C19" s="13">
        <v>9010</v>
      </c>
      <c r="D19" s="13"/>
      <c r="E19" s="13"/>
      <c r="F19" s="13"/>
      <c r="G19" s="13"/>
      <c r="H19" s="13"/>
      <c r="I19" s="13"/>
      <c r="J19" s="13"/>
      <c r="K19" s="13"/>
      <c r="L19" s="13">
        <v>24499</v>
      </c>
      <c r="M19" s="19">
        <f>SUM(B19:L19)</f>
        <v>41784</v>
      </c>
    </row>
    <row r="20" spans="1:13" s="3" customFormat="1" ht="12.75">
      <c r="A20" s="16" t="s">
        <v>35</v>
      </c>
      <c r="B20" s="13">
        <f>SUM(B18:B19)</f>
        <v>23388</v>
      </c>
      <c r="C20" s="13">
        <f>SUM(C18:C19)</f>
        <v>26992</v>
      </c>
      <c r="D20" s="13">
        <v>24786</v>
      </c>
      <c r="E20" s="13">
        <v>26345</v>
      </c>
      <c r="F20" s="13">
        <v>27510</v>
      </c>
      <c r="G20" s="13">
        <v>26379</v>
      </c>
      <c r="H20" s="13">
        <v>25740</v>
      </c>
      <c r="I20" s="13">
        <v>24066</v>
      </c>
      <c r="J20" s="13">
        <v>21282</v>
      </c>
      <c r="K20" s="13">
        <v>31287</v>
      </c>
      <c r="L20" s="13">
        <f>SUM(L18:L19)</f>
        <v>39960</v>
      </c>
      <c r="M20" s="19">
        <f>SUM(B20:L20)</f>
        <v>297735</v>
      </c>
    </row>
    <row r="21" spans="1:13" s="3" customFormat="1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50"/>
    </row>
    <row r="22" spans="1:13" s="3" customFormat="1" ht="12.75">
      <c r="A22" s="49" t="s">
        <v>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50"/>
    </row>
    <row r="23" spans="1:13" s="3" customFormat="1" ht="12.75">
      <c r="A23" s="49" t="s">
        <v>7</v>
      </c>
      <c r="B23" s="46" t="s">
        <v>8</v>
      </c>
      <c r="C23" s="46" t="s">
        <v>8</v>
      </c>
      <c r="D23" s="46" t="s">
        <v>8</v>
      </c>
      <c r="E23" s="46" t="s">
        <v>8</v>
      </c>
      <c r="F23" s="46" t="s">
        <v>8</v>
      </c>
      <c r="G23" s="46" t="s">
        <v>8</v>
      </c>
      <c r="H23" s="46" t="s">
        <v>8</v>
      </c>
      <c r="I23" s="51" t="s">
        <v>8</v>
      </c>
      <c r="J23" s="51" t="s">
        <v>8</v>
      </c>
      <c r="K23" s="51" t="s">
        <v>8</v>
      </c>
      <c r="L23" s="51" t="s">
        <v>8</v>
      </c>
      <c r="M23" s="50" t="s">
        <v>8</v>
      </c>
    </row>
    <row r="24" spans="1:13" ht="12.75">
      <c r="A24" s="16" t="s">
        <v>14</v>
      </c>
      <c r="B24" s="13">
        <v>12224</v>
      </c>
      <c r="C24" s="13">
        <v>15703</v>
      </c>
      <c r="D24" s="13">
        <v>14621</v>
      </c>
      <c r="E24" s="13">
        <v>15499</v>
      </c>
      <c r="F24" s="13">
        <v>15021</v>
      </c>
      <c r="G24" s="13">
        <v>11545</v>
      </c>
      <c r="H24" s="13">
        <v>13323</v>
      </c>
      <c r="I24" s="13">
        <v>4973</v>
      </c>
      <c r="J24" s="13">
        <v>4771</v>
      </c>
      <c r="K24" s="13">
        <v>8087</v>
      </c>
      <c r="L24" s="13">
        <v>12364</v>
      </c>
      <c r="M24" s="19">
        <f>SUM(B24:L24)</f>
        <v>128131</v>
      </c>
    </row>
    <row r="25" spans="1:13" ht="12.75">
      <c r="A25" s="16" t="s">
        <v>10</v>
      </c>
      <c r="B25" s="13">
        <v>183354</v>
      </c>
      <c r="C25" s="13">
        <v>235546</v>
      </c>
      <c r="D25" s="13">
        <v>219320</v>
      </c>
      <c r="E25" s="13">
        <v>232484</v>
      </c>
      <c r="F25" s="13">
        <v>224957</v>
      </c>
      <c r="G25" s="13">
        <v>173181</v>
      </c>
      <c r="H25" s="13">
        <v>199843</v>
      </c>
      <c r="I25" s="13">
        <v>83068</v>
      </c>
      <c r="J25" s="13">
        <v>83807</v>
      </c>
      <c r="K25" s="13">
        <v>135866</v>
      </c>
      <c r="L25" s="13">
        <v>210355</v>
      </c>
      <c r="M25" s="19">
        <f>SUM(B25:L25)</f>
        <v>1981781</v>
      </c>
    </row>
    <row r="26" spans="1:13" ht="12.75">
      <c r="A26" s="23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2.75">
      <c r="A27" s="49" t="s">
        <v>135</v>
      </c>
      <c r="B27" s="50" t="s">
        <v>11</v>
      </c>
      <c r="C27" s="50" t="s">
        <v>11</v>
      </c>
      <c r="D27" s="50" t="s">
        <v>11</v>
      </c>
      <c r="E27" s="50" t="s">
        <v>11</v>
      </c>
      <c r="F27" s="50" t="s">
        <v>11</v>
      </c>
      <c r="G27" s="50" t="s">
        <v>11</v>
      </c>
      <c r="H27" s="50" t="s">
        <v>11</v>
      </c>
      <c r="I27" s="105" t="s">
        <v>11</v>
      </c>
      <c r="J27" s="105" t="s">
        <v>11</v>
      </c>
      <c r="K27" s="105" t="s">
        <v>11</v>
      </c>
      <c r="L27" s="105" t="s">
        <v>11</v>
      </c>
      <c r="M27" s="50" t="s">
        <v>11</v>
      </c>
    </row>
    <row r="28" spans="1:13" ht="12.75">
      <c r="A28" s="16" t="s">
        <v>36</v>
      </c>
      <c r="B28" s="13">
        <v>10761</v>
      </c>
      <c r="C28" s="13">
        <v>13825</v>
      </c>
      <c r="D28" s="13">
        <v>12254</v>
      </c>
      <c r="E28" s="13">
        <v>13065</v>
      </c>
      <c r="F28" s="13">
        <v>12729</v>
      </c>
      <c r="G28" s="13">
        <v>9651</v>
      </c>
      <c r="H28" s="13">
        <v>10666</v>
      </c>
      <c r="I28" s="13">
        <v>2710</v>
      </c>
      <c r="J28" s="13">
        <v>1804</v>
      </c>
      <c r="K28" s="13">
        <v>4825</v>
      </c>
      <c r="L28" s="13">
        <v>6845</v>
      </c>
      <c r="M28" s="19">
        <f>SUM(B28:L28)</f>
        <v>99135</v>
      </c>
    </row>
    <row r="29" spans="1:13" ht="12.75">
      <c r="A29" s="46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2.75">
      <c r="A30" s="49" t="s">
        <v>12</v>
      </c>
      <c r="B30" s="50" t="s">
        <v>13</v>
      </c>
      <c r="C30" s="50" t="s">
        <v>13</v>
      </c>
      <c r="D30" s="50" t="s">
        <v>13</v>
      </c>
      <c r="E30" s="50" t="s">
        <v>13</v>
      </c>
      <c r="F30" s="50" t="s">
        <v>13</v>
      </c>
      <c r="G30" s="50" t="s">
        <v>13</v>
      </c>
      <c r="H30" s="50" t="s">
        <v>13</v>
      </c>
      <c r="I30" s="105" t="s">
        <v>13</v>
      </c>
      <c r="J30" s="105" t="s">
        <v>13</v>
      </c>
      <c r="K30" s="105" t="s">
        <v>13</v>
      </c>
      <c r="L30" s="105" t="s">
        <v>13</v>
      </c>
      <c r="M30" s="50" t="s">
        <v>13</v>
      </c>
    </row>
    <row r="31" spans="1:13" ht="12.75">
      <c r="A31" s="16" t="s">
        <v>14</v>
      </c>
      <c r="B31" s="13">
        <v>117212</v>
      </c>
      <c r="C31" s="13">
        <v>144346</v>
      </c>
      <c r="D31" s="13">
        <v>118900</v>
      </c>
      <c r="E31" s="13">
        <v>135002</v>
      </c>
      <c r="F31" s="13">
        <v>138959</v>
      </c>
      <c r="G31" s="13">
        <v>231174</v>
      </c>
      <c r="H31" s="13">
        <v>205199</v>
      </c>
      <c r="I31" s="13">
        <v>167668</v>
      </c>
      <c r="J31" s="13">
        <v>202257</v>
      </c>
      <c r="K31" s="13">
        <v>259633</v>
      </c>
      <c r="L31" s="13">
        <v>343759</v>
      </c>
      <c r="M31" s="19">
        <f>SUM(B31:L31)</f>
        <v>2064109</v>
      </c>
    </row>
    <row r="32" spans="1:13" ht="12.75">
      <c r="A32" s="16" t="s">
        <v>10</v>
      </c>
      <c r="B32" s="13">
        <v>2344252</v>
      </c>
      <c r="C32" s="13">
        <v>2886917</v>
      </c>
      <c r="D32" s="13">
        <v>2172633</v>
      </c>
      <c r="E32" s="13">
        <v>2431125</v>
      </c>
      <c r="F32" s="13">
        <v>2493812</v>
      </c>
      <c r="G32" s="13">
        <v>3095022</v>
      </c>
      <c r="H32" s="13">
        <v>3830587</v>
      </c>
      <c r="I32" s="13">
        <v>3285309</v>
      </c>
      <c r="J32" s="13">
        <v>3952255</v>
      </c>
      <c r="K32" s="13">
        <v>5096054</v>
      </c>
      <c r="L32" s="13">
        <v>6779179</v>
      </c>
      <c r="M32" s="19">
        <f>SUM(B32:L32)</f>
        <v>38367145</v>
      </c>
    </row>
    <row r="34" spans="1:2" ht="12.75">
      <c r="A34" s="5"/>
      <c r="B34" s="7"/>
    </row>
    <row r="35" spans="2:14" ht="12.75">
      <c r="B35" s="8"/>
      <c r="N35" s="8"/>
    </row>
    <row r="36" ht="12.75">
      <c r="A36" s="2"/>
    </row>
    <row r="37" spans="1:25" ht="12.7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2.75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2.75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2.75">
      <c r="A40" s="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" ht="12.75">
      <c r="A41" s="2"/>
      <c r="B41" s="8"/>
    </row>
    <row r="42" ht="12.75">
      <c r="A42" s="2"/>
    </row>
    <row r="43" spans="1:17" ht="12.75">
      <c r="A43" s="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2:14" ht="12.75">
      <c r="B44" s="8"/>
      <c r="N44" s="8"/>
    </row>
    <row r="45" ht="12.75">
      <c r="A45" s="2"/>
    </row>
    <row r="46" spans="1:17" ht="12.75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2.75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12.75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2.75">
      <c r="A49" s="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2" ht="12.75">
      <c r="A50" s="2"/>
      <c r="B50" s="8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2">
    <mergeCell ref="A1:M1"/>
    <mergeCell ref="A9:M9"/>
  </mergeCells>
  <printOptions/>
  <pageMargins left="0.75" right="0.75" top="1" bottom="1" header="0.5" footer="0.5"/>
  <pageSetup horizontalDpi="600" verticalDpi="600" orientation="landscape" scale="63" r:id="rId1"/>
  <rowBreaks count="1" manualBreakCount="1">
    <brk id="33" max="255" man="1"/>
  </rowBreaks>
  <ignoredErrors>
    <ignoredError sqref="E4:L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Gabel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Ambrosio</dc:creator>
  <cp:keywords/>
  <dc:description/>
  <cp:lastModifiedBy>Mike Ambrosio</cp:lastModifiedBy>
  <cp:lastPrinted>2012-03-12T21:56:02Z</cp:lastPrinted>
  <dcterms:created xsi:type="dcterms:W3CDTF">2005-05-24T13:44:04Z</dcterms:created>
  <dcterms:modified xsi:type="dcterms:W3CDTF">2012-03-12T21:56:09Z</dcterms:modified>
  <cp:category/>
  <cp:version/>
  <cp:contentType/>
  <cp:contentStatus/>
</cp:coreProperties>
</file>