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65" windowWidth="25440" windowHeight="6420" tabRatio="886" activeTab="0"/>
  </bookViews>
  <sheets>
    <sheet name="2001-2013 Summary Breakdown" sheetId="1" r:id="rId1"/>
    <sheet name="2001-2013 Program Summary" sheetId="2" r:id="rId2"/>
    <sheet name="Bar Charts" sheetId="3" r:id="rId3"/>
    <sheet name="Annual Savings" sheetId="4" r:id="rId4"/>
    <sheet name="Lifetime Savings" sheetId="5" r:id="rId5"/>
    <sheet name="Participants" sheetId="6" r:id="rId6"/>
    <sheet name="Cumulative Demand" sheetId="7" r:id="rId7"/>
    <sheet name="2012-2013 Summary" sheetId="8" r:id="rId8"/>
    <sheet name="Energy Star" sheetId="9" r:id="rId9"/>
    <sheet name="Home Perf" sheetId="10" r:id="rId10"/>
    <sheet name="Low-income" sheetId="11" r:id="rId11"/>
    <sheet name="Res HVAC" sheetId="12" r:id="rId12"/>
    <sheet name="C&amp;I" sheetId="13" r:id="rId13"/>
    <sheet name="CHP" sheetId="14" r:id="rId14"/>
    <sheet name="Direct Install" sheetId="15" r:id="rId15"/>
    <sheet name="LEUP" sheetId="16" r:id="rId16"/>
    <sheet name="LGEA" sheetId="17" r:id="rId17"/>
    <sheet name="P4P " sheetId="18" r:id="rId18"/>
    <sheet name="P4P NC" sheetId="19" r:id="rId19"/>
    <sheet name="RNC" sheetId="20" r:id="rId20"/>
    <sheet name="CORE" sheetId="21" r:id="rId21"/>
    <sheet name="REC" sheetId="22" r:id="rId22"/>
    <sheet name="REIP" sheetId="23" r:id="rId23"/>
    <sheet name="Other EE-RE" sheetId="24" r:id="rId24"/>
    <sheet name="Edison Inn CEF" sheetId="25" r:id="rId25"/>
    <sheet name="EDA" sheetId="26" r:id="rId26"/>
    <sheet name="RE Grid Connected" sheetId="27" r:id="rId27"/>
    <sheet name="Clean Power Choice" sheetId="28" r:id="rId28"/>
    <sheet name="Admin" sheetId="29" r:id="rId29"/>
    <sheet name="emision reductions 2012-13" sheetId="30" r:id="rId30"/>
    <sheet name="emmission reductions" sheetId="31" r:id="rId31"/>
    <sheet name="Appliance Cycling" sheetId="32" r:id="rId32"/>
    <sheet name="Cool Cities" sheetId="33" r:id="rId33"/>
    <sheet name="RE Grants and Financing" sheetId="34" r:id="rId34"/>
    <sheet name="RE Business Venture Fin" sheetId="35" r:id="rId35"/>
  </sheets>
  <definedNames>
    <definedName name="_xlnm.Print_Area" localSheetId="1">'2001-2013 Program Summary'!$A$1:$O$65</definedName>
    <definedName name="_xlnm.Print_Area" localSheetId="0">'2001-2013 Summary Breakdown'!$A$1:$O$50</definedName>
    <definedName name="_xlnm.Print_Area" localSheetId="7">'2012-2013 Summary'!$A$1:$E$60</definedName>
    <definedName name="_xlnm.Print_Area" localSheetId="28">'Admin'!$A$1:$J$16</definedName>
    <definedName name="_xlnm.Print_Area" localSheetId="3">'Annual Savings'!$A$1:$O$183</definedName>
    <definedName name="_xlnm.Print_Area" localSheetId="31">'Appliance Cycling'!$A$1:$F$17</definedName>
    <definedName name="_xlnm.Print_Area" localSheetId="12">'C&amp;I'!$A$1:$O$113</definedName>
    <definedName name="_xlnm.Print_Area" localSheetId="13">'CHP'!$A$1:$O$101</definedName>
    <definedName name="_xlnm.Print_Area" localSheetId="27">'Clean Power Choice'!$A$1:$J$12</definedName>
    <definedName name="_xlnm.Print_Area" localSheetId="32">'Cool Cities'!$A$1:$I$26</definedName>
    <definedName name="_xlnm.Print_Area" localSheetId="20">'CORE'!$A$1:$O$38</definedName>
    <definedName name="_xlnm.Print_Area" localSheetId="6">'Cumulative Demand'!$A$1:$O$48</definedName>
    <definedName name="_xlnm.Print_Area" localSheetId="14">'Direct Install'!$A$1:$G$50</definedName>
    <definedName name="_xlnm.Print_Area" localSheetId="24">'Edison Inn CEF'!$A$1:$F$15</definedName>
    <definedName name="_xlnm.Print_Area" localSheetId="29">'emision reductions 2012-13'!$A$1:$F$23</definedName>
    <definedName name="_xlnm.Print_Area" localSheetId="8">'Energy Star'!$A$1:$O$94</definedName>
    <definedName name="_xlnm.Print_Area" localSheetId="9">'Home Perf'!$A$1:$I$40</definedName>
    <definedName name="_xlnm.Print_Area" localSheetId="15">'LEUP'!$A$1:$D$50</definedName>
    <definedName name="_xlnm.Print_Area" localSheetId="4">'Lifetime Savings'!$A$1:$O$110</definedName>
    <definedName name="_xlnm.Print_Area" localSheetId="10">'Low-income'!$A$1:$O$40</definedName>
    <definedName name="_xlnm.Print_Area" localSheetId="17">'P4P '!$A$1:$L$95</definedName>
    <definedName name="_xlnm.Print_Area" localSheetId="18">'P4P NC'!$A$1:$E$53</definedName>
    <definedName name="_xlnm.Print_Area" localSheetId="5">'Participants'!$A$1:$O$53</definedName>
    <definedName name="_xlnm.Print_Area" localSheetId="34">'RE Business Venture Fin'!$A$1:$L$14</definedName>
    <definedName name="_xlnm.Print_Area" localSheetId="33">'RE Grants and Financing'!$A$1:$L$51</definedName>
    <definedName name="_xlnm.Print_Area" localSheetId="26">'RE Grid Connected'!$A$1:$F$31</definedName>
    <definedName name="_xlnm.Print_Area" localSheetId="21">'REC'!$A$1:$H$28</definedName>
    <definedName name="_xlnm.Print_Area" localSheetId="22">'REIP'!$A$1:$F$34</definedName>
    <definedName name="_xlnm.Print_Area" localSheetId="11">'Res HVAC'!$A$1:$O$32</definedName>
    <definedName name="_xlnm.Print_Area" localSheetId="19">'RNC'!$A$1:$O$44</definedName>
    <definedName name="_xlnm.Print_Titles" localSheetId="3">'Annual Savings'!$1:$1</definedName>
    <definedName name="_xlnm.Print_Titles" localSheetId="13">'CHP'!$1:$1</definedName>
    <definedName name="_xlnm.Print_Titles" localSheetId="4">'Lifetime Savings'!$1:$1</definedName>
    <definedName name="_xlnm.Print_Titles" localSheetId="23">'Other EE-RE'!$1:$4</definedName>
    <definedName name="_xlnm.Print_Titles" localSheetId="17">'P4P '!$1:$2</definedName>
  </definedNames>
  <calcPr fullCalcOnLoad="1"/>
</workbook>
</file>

<file path=xl/sharedStrings.xml><?xml version="1.0" encoding="utf-8"?>
<sst xmlns="http://schemas.openxmlformats.org/spreadsheetml/2006/main" count="3015" uniqueCount="446">
  <si>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</si>
  <si>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</si>
  <si>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</si>
  <si>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</si>
  <si>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</si>
  <si>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</si>
  <si>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</si>
  <si>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</si>
  <si>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</si>
  <si>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Annual Savings</t>
  </si>
  <si>
    <t>Lifetime Savings</t>
  </si>
  <si>
    <t>KW</t>
  </si>
  <si>
    <t>Gas</t>
  </si>
  <si>
    <t>Dtherm</t>
  </si>
  <si>
    <t>Annual savings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</si>
  <si>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</si>
  <si>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</si>
  <si>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</si>
  <si>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</si>
  <si>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</si>
  <si>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</si>
  <si>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</si>
  <si>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 xml:space="preserve">Actual </t>
  </si>
  <si>
    <t>Committed</t>
  </si>
  <si>
    <t>Actual</t>
  </si>
  <si>
    <t>Residential ENERGY STAR Products Program Results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</si>
  <si>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</si>
  <si>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</si>
  <si>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</si>
  <si>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</si>
  <si>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</si>
  <si>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</si>
  <si>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</si>
  <si>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</si>
  <si>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</si>
  <si>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</si>
  <si>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</si>
  <si>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</si>
  <si>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Actual-Electric</t>
  </si>
  <si>
    <t>Committed-Electric</t>
  </si>
  <si>
    <t>Actual-Gas</t>
  </si>
  <si>
    <t>Committed-Gas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</si>
  <si>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</si>
  <si>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</si>
  <si>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</si>
  <si>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</si>
  <si>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</si>
  <si>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</si>
  <si>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</si>
  <si>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</si>
  <si>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</si>
  <si>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</si>
  <si>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</si>
  <si>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</si>
  <si>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</si>
  <si>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</si>
  <si>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</si>
  <si>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</si>
  <si>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</si>
  <si>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</si>
  <si>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</si>
  <si>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</si>
  <si>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</si>
  <si>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Participants-Actual</t>
  </si>
  <si>
    <t>Participants-Committed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</si>
  <si>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</si>
  <si>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</si>
  <si>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</si>
  <si>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</si>
  <si>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</si>
  <si>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</si>
  <si>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</si>
  <si>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</si>
  <si>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Annual generation</t>
  </si>
  <si>
    <t>Lifetime generation</t>
  </si>
  <si>
    <t xml:space="preserve">Annual demand </t>
  </si>
  <si>
    <t>Lifetime savings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</si>
  <si>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</si>
  <si>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</si>
  <si>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</si>
  <si>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</si>
  <si>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</si>
  <si>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</si>
  <si>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</si>
  <si>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</si>
  <si>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</si>
  <si>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</si>
  <si>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</si>
  <si>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</si>
  <si>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</si>
  <si>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</si>
  <si>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</si>
  <si>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</si>
  <si>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</si>
  <si>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</si>
  <si>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</si>
  <si>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</si>
  <si>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</si>
  <si>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</si>
  <si>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</si>
  <si>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</si>
  <si>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</si>
  <si>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</si>
  <si>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</si>
  <si>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</si>
  <si>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Annual Renewable Energy Generation</t>
  </si>
  <si>
    <t>Total Annual Dtherm Savings</t>
  </si>
  <si>
    <t>Total Annual MWH Savings</t>
  </si>
  <si>
    <t>Cumulative Lifetime Dekatherms</t>
  </si>
  <si>
    <t>Annual Renewable Energy KW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</si>
  <si>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</si>
  <si>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</si>
  <si>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</si>
  <si>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</si>
  <si>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</si>
  <si>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</si>
  <si>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</si>
  <si>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</si>
  <si>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</si>
  <si>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</si>
  <si>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Annual Energy Savings/Renewable Energy Generation by Program</t>
  </si>
  <si>
    <t>Administration</t>
  </si>
  <si>
    <t>OCE Admin &amp; Overhead</t>
  </si>
  <si>
    <t>Evaluation and related Research</t>
  </si>
  <si>
    <t>Outreach and Education</t>
  </si>
  <si>
    <t>BPU Grid Program</t>
  </si>
  <si>
    <t>Lifetime MWh</t>
  </si>
  <si>
    <t>Lifetime Dekatherms</t>
  </si>
  <si>
    <t>Annual Demand Reductions</t>
  </si>
  <si>
    <t>Total KW Reductions</t>
  </si>
  <si>
    <t>Demand Savings: KW</t>
  </si>
  <si>
    <t>Appliance Cycling</t>
  </si>
  <si>
    <t>Energy Savings: Electric</t>
  </si>
  <si>
    <t>Demand</t>
  </si>
  <si>
    <t>Res New Construction</t>
  </si>
  <si>
    <t>All C&amp;I</t>
  </si>
  <si>
    <t># customers</t>
  </si>
  <si>
    <t>Public Entity Financing</t>
  </si>
  <si>
    <t xml:space="preserve">  Re Grants and Financing</t>
  </si>
  <si>
    <t>Renewable Energy Generation - Demand</t>
  </si>
  <si>
    <t>Committed Savings</t>
  </si>
  <si>
    <t>Installed Savings</t>
  </si>
  <si>
    <t>Lifetime Energy Savings</t>
  </si>
  <si>
    <t>Annual savings - Total</t>
  </si>
  <si>
    <t xml:space="preserve">  C&amp;I New Construction</t>
  </si>
  <si>
    <t xml:space="preserve">  C&amp;I Retrofit</t>
  </si>
  <si>
    <t xml:space="preserve">  Schools</t>
  </si>
  <si>
    <t xml:space="preserve">  CHP</t>
  </si>
  <si>
    <t>Lifetime Savings - Total</t>
  </si>
  <si>
    <t>Electric - Annual</t>
  </si>
  <si>
    <t>Electric - Lifetime</t>
  </si>
  <si>
    <t>Gas - Annual</t>
  </si>
  <si>
    <t>Gas - Lifetime</t>
  </si>
  <si>
    <t>Annual Savings - Total</t>
  </si>
  <si>
    <t>NJDEP Cool Cities</t>
  </si>
  <si>
    <t>Committed Re Generation - Annual</t>
  </si>
  <si>
    <t>Committed RE Demand - Annual</t>
  </si>
  <si>
    <t>Committed RE Generation - Lifetime</t>
  </si>
  <si>
    <t>DTherm</t>
  </si>
  <si>
    <t>Annual RE Generation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</si>
  <si>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</si>
  <si>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</si>
  <si>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</si>
  <si>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</si>
  <si>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</si>
  <si>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</si>
  <si>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</si>
  <si>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</si>
  <si>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</si>
  <si>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Demand Savings: kW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</si>
  <si>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</si>
  <si>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</si>
  <si>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</si>
  <si>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</si>
  <si>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</si>
  <si>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</si>
  <si>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</si>
  <si>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</si>
  <si>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</si>
  <si>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</si>
  <si>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</si>
  <si>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</si>
  <si>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</si>
  <si>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>Lifetime CHP Generation</t>
  </si>
  <si>
    <t xml:space="preserve">Budget </t>
  </si>
  <si>
    <t>OCE Oversight</t>
  </si>
  <si>
    <t>2005 corrected from 4Q05 report</t>
  </si>
  <si>
    <t>Energy Savings: Gas</t>
  </si>
  <si>
    <t xml:space="preserve">  CPC</t>
  </si>
  <si>
    <t>Cumulative Demand Reductions</t>
  </si>
  <si>
    <t>Renewable Energy Capacity</t>
  </si>
  <si>
    <t>CHP Capacity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</si>
  <si>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</si>
  <si>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</si>
  <si>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</si>
  <si>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</si>
  <si>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</si>
  <si>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</si>
  <si>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</si>
  <si>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</si>
  <si>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</si>
  <si>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</si>
  <si>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</si>
  <si>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 xml:space="preserve">  REC/SREC</t>
  </si>
  <si>
    <t xml:space="preserve">  Lighting and Other </t>
  </si>
  <si>
    <t>CHP Generation</t>
  </si>
  <si>
    <t>CHP Gas Savings</t>
  </si>
  <si>
    <t>Annual Energy Savings/Renewable - CHP Electric Generation</t>
  </si>
  <si>
    <t>CHP Participants</t>
  </si>
  <si>
    <t>Renewable Energy Participants</t>
  </si>
  <si>
    <t>Energy Efficiency Participants</t>
  </si>
  <si>
    <t>Committed Participants</t>
  </si>
  <si>
    <t xml:space="preserve">CHP </t>
  </si>
  <si>
    <t>Lighting and Other</t>
  </si>
  <si>
    <t>Total RE</t>
  </si>
  <si>
    <t>Actual CHP</t>
  </si>
  <si>
    <t>Total Gas Savings</t>
  </si>
  <si>
    <t xml:space="preserve">Total </t>
  </si>
  <si>
    <t>Total WO Appliance Cycling</t>
  </si>
  <si>
    <t xml:space="preserve">     Clothes Washers</t>
  </si>
  <si>
    <t>Emission Reductions</t>
  </si>
  <si>
    <t>Dtherms</t>
  </si>
  <si>
    <t>RE Generation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</si>
  <si>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</si>
  <si>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</si>
  <si>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</si>
  <si>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</si>
  <si>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</si>
  <si>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</si>
  <si>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</si>
  <si>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</si>
  <si>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</si>
  <si>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</si>
  <si>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</si>
  <si>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</si>
  <si>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</si>
  <si>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</si>
  <si>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</si>
  <si>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Energy Efficiency &amp; RE</t>
  </si>
  <si>
    <t>Sub-Total EE</t>
  </si>
  <si>
    <t>REC/SREC Program Results</t>
  </si>
  <si>
    <t>Electric Generation</t>
  </si>
  <si>
    <t>Committed Gas Savings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</si>
  <si>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</si>
  <si>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</si>
  <si>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</si>
  <si>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</si>
  <si>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</si>
  <si>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</si>
  <si>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</si>
  <si>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</si>
  <si>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>Sub-Total C&amp;I:</t>
  </si>
  <si>
    <t>Committed Electric Savings: Lifetime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</si>
  <si>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</si>
  <si>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</si>
  <si>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</si>
  <si>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</si>
  <si>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</si>
  <si>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</si>
  <si>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</si>
  <si>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</si>
  <si>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</si>
  <si>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</si>
  <si>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LGEA</t>
  </si>
  <si>
    <t>Sub-Total:  C&amp;I</t>
  </si>
  <si>
    <t>C&amp;I Retro and New Construction</t>
  </si>
  <si>
    <t>Edison Innovation CEF Program Results</t>
  </si>
  <si>
    <t>Annual CO2 Emissions Reductions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</si>
  <si>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</si>
  <si>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</si>
  <si>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</si>
  <si>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</si>
  <si>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</si>
  <si>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</si>
  <si>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</si>
  <si>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</si>
  <si>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</si>
  <si>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</si>
  <si>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Actual to the $</t>
  </si>
  <si>
    <t>2010</t>
  </si>
  <si>
    <t>Total 2001-2010</t>
  </si>
  <si>
    <t>Actual Expenses</t>
  </si>
  <si>
    <t>Committed Expenses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</si>
  <si>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</si>
  <si>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</si>
  <si>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</si>
  <si>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</si>
  <si>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</si>
  <si>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</si>
  <si>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Actual Savings</t>
  </si>
  <si>
    <t>Pay for Performance NC</t>
  </si>
  <si>
    <t xml:space="preserve">Committed Participants </t>
  </si>
  <si>
    <t xml:space="preserve">Actual Participants 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</si>
  <si>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</si>
  <si>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</si>
  <si>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</si>
  <si>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</si>
  <si>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</si>
  <si>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>EE Sav + RE Gen</t>
  </si>
  <si>
    <t xml:space="preserve">  </t>
  </si>
  <si>
    <t>Participants by Program</t>
  </si>
  <si>
    <t xml:space="preserve">  Consumer Electronics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</si>
  <si>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</si>
  <si>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</si>
  <si>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</si>
  <si>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</si>
  <si>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</si>
  <si>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</si>
  <si>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>Expenditures</t>
  </si>
  <si>
    <t>Program Budget</t>
  </si>
  <si>
    <t xml:space="preserve">Program Expenditures </t>
  </si>
  <si>
    <t xml:space="preserve">Actual Expenditures </t>
  </si>
  <si>
    <t>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</si>
  <si>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</si>
  <si>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</si>
  <si>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</si>
  <si>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</si>
  <si>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Res = Res + LI</t>
  </si>
  <si>
    <t>C&amp;I = C&amp;I + Other EE</t>
  </si>
  <si>
    <t>Multi-family financing pilot</t>
  </si>
  <si>
    <t>Green jobs and building code training</t>
  </si>
  <si>
    <t>Sustainable Jersey</t>
  </si>
  <si>
    <t>Competitive grant loan solicitation</t>
  </si>
  <si>
    <t>EE Revolving Loan Fund</t>
  </si>
  <si>
    <t>admin includes memberships</t>
  </si>
  <si>
    <t>Tier 2</t>
  </si>
  <si>
    <t>applications completed</t>
  </si>
  <si>
    <t>EDA</t>
  </si>
  <si>
    <t>True Grant</t>
  </si>
  <si>
    <t>Total Annual KW Savings</t>
  </si>
  <si>
    <t>Total Expenses + Commitments</t>
  </si>
  <si>
    <t xml:space="preserve">  Refrigerator</t>
  </si>
  <si>
    <t xml:space="preserve">  Dishwasher</t>
  </si>
  <si>
    <t xml:space="preserve">     Dishwasher</t>
  </si>
  <si>
    <t xml:space="preserve">     Refrigerator </t>
  </si>
  <si>
    <t>Audits Reviewed and Processed</t>
  </si>
  <si>
    <t>Local Government Energy Audit Program (LGEA)</t>
  </si>
  <si>
    <t>Budgets</t>
  </si>
  <si>
    <t>Commitments</t>
  </si>
  <si>
    <t>Expenditures plus Commitments</t>
  </si>
  <si>
    <t>Expenditures plus Commitments as % of Budget</t>
  </si>
  <si>
    <t>Year End Commitments</t>
  </si>
  <si>
    <t>* Annual and lifetime emission reductions are for measures installed in 2012</t>
  </si>
  <si>
    <t>Note:  Prior to 2009 budgets and expenditures were reported to the $000.  The total line rounds up to the $000 so these amounts can be added to more recent amounts which are now reported to the $.</t>
  </si>
  <si>
    <t>Cumulative Lifetime Emission Reductions (Metric Tons) 2001 - 2012</t>
  </si>
  <si>
    <t>Annual Emission Reductions (Metric Tons) from Measures Installed in 2012</t>
  </si>
  <si>
    <t>Lifetime Emission Reductions (Metric Tons) from Measures Installed in 2012</t>
  </si>
  <si>
    <t>Program Summary: 2001 - 2012</t>
  </si>
  <si>
    <t>Res. Energy Efficiency</t>
  </si>
  <si>
    <t>C&amp;I Energy Efficiency</t>
  </si>
  <si>
    <t>Refrigerator Turn In</t>
  </si>
  <si>
    <t>Community Based Efficiency Initiative</t>
  </si>
  <si>
    <t>DEP Ecological Baseline Study</t>
  </si>
  <si>
    <t>Large Energy User Pilot (LEUP)</t>
  </si>
  <si>
    <t>Summary 
2001 to 2005*</t>
  </si>
  <si>
    <t>Summary 
2004 to 2005*</t>
  </si>
  <si>
    <t>* These columns/years have been hidden in this worksheet for viewing &amp; printing purposes</t>
  </si>
  <si>
    <t>2006 Demand Correction = 13,285</t>
  </si>
  <si>
    <t>2006 Demand Reported  =  36,575</t>
  </si>
  <si>
    <t>2005 Corrected = 120,818</t>
  </si>
  <si>
    <t>2005 Reported =  260,238</t>
  </si>
  <si>
    <t>Note:  participants not cumulative so total =2012</t>
  </si>
  <si>
    <t>Commercial/Industrial Construction</t>
  </si>
  <si>
    <t>2007**</t>
  </si>
  <si>
    <t>**2007 MWh, KW and Dtherms updated to include revised PSEG reported savings.</t>
  </si>
  <si>
    <t>2011, 2012 participants = completions</t>
  </si>
  <si>
    <t>Edison Innovation EIGGF (EDA)</t>
  </si>
  <si>
    <t>Edison Innovation EERLF (EDA)</t>
  </si>
  <si>
    <t>Green Growth Fund</t>
  </si>
  <si>
    <t>EDA - Edison Innovation Program Results</t>
  </si>
  <si>
    <r>
      <t xml:space="preserve">Sub-Total C&amp;I </t>
    </r>
    <r>
      <rPr>
        <b/>
        <sz val="10"/>
        <rFont val="Arial"/>
        <family val="2"/>
      </rPr>
      <t>Construction:</t>
    </r>
  </si>
  <si>
    <t>Lifetime Energy Savings/Renewable - CHP Electric Generation</t>
  </si>
  <si>
    <t>Program Terminated in 2010</t>
  </si>
  <si>
    <t>*The annual generation data listed above has been updated in response to a data quality verification performed in 2010. The old data reported by the NJBPU is listed in the table at the bottom of this page.</t>
  </si>
  <si>
    <t>*The lifetime generation data listed above has been updated in response to a data quality verification performed in 2010. The old data reported by the NJBPU is listed in the table at the bottom of this page.</t>
  </si>
  <si>
    <t>*The demand data listed above has been updated in response to a data quality verification performed in 2010. The old data reported by the NJBPU is listed in the table at the bottom of this page.</t>
  </si>
  <si>
    <t>Note:  Prior to 2009 budgets and expenditures were reported to the $000.
The total line rounds up to the $000 so these amounts can be added to more recent amounts which are now reported to the $.</t>
  </si>
  <si>
    <t>Note:  Prior to 2009 budgets and expenditures were reported to the $000.  
The total line rounds up to the $000 so these amounts can be added to more recent amounts which are now reported to the $.</t>
  </si>
  <si>
    <t>Note: Prior to 2009 budgets and expenditures were reported to the $000.  
The total line rounds up to the $000 so these amounts can be added to more recent amounts which are now reported to the $.</t>
  </si>
  <si>
    <t>Tier 3</t>
  </si>
  <si>
    <t>Note:  Prior to 2009 budgets and expenditures were reported to the $000. 
The total line rounds up to the $000 so these amounts can be added to more recent amounts which are now reported to the $.</t>
  </si>
  <si>
    <r>
      <t>Sub-Total C&amp;I</t>
    </r>
    <r>
      <rPr>
        <b/>
        <sz val="10"/>
        <rFont val="Arial"/>
        <family val="2"/>
      </rPr>
      <t xml:space="preserve"> Construction:</t>
    </r>
  </si>
  <si>
    <t>Energy Efficiency - Electric</t>
  </si>
  <si>
    <t>Energy Efficiency - Gas</t>
  </si>
  <si>
    <t>Schools</t>
  </si>
  <si>
    <t>CHP Electric Demand Reductions</t>
  </si>
  <si>
    <t>RE Grants and Financing</t>
  </si>
  <si>
    <t>RE Certificates/SREC</t>
  </si>
  <si>
    <t>Re Grants and Financing</t>
  </si>
  <si>
    <t>RE Business Venture Financing</t>
  </si>
  <si>
    <t>REC/SREC (subscribed)</t>
  </si>
  <si>
    <t>Edison Innovation CEMF</t>
  </si>
  <si>
    <t>Edison Innovation CEF</t>
  </si>
  <si>
    <t>CPC</t>
  </si>
  <si>
    <t>Room Air Conditioning</t>
  </si>
  <si>
    <t>Clothes Washer</t>
  </si>
  <si>
    <t>Dehumidifier</t>
  </si>
  <si>
    <t>Refrigerator Turn-In</t>
  </si>
  <si>
    <t>Consumer Electronics</t>
  </si>
  <si>
    <t>Refrigerator</t>
  </si>
  <si>
    <t>Dishwasher</t>
  </si>
  <si>
    <t>REC/SREC</t>
  </si>
  <si>
    <t>CHP Gas savings</t>
  </si>
  <si>
    <t>CORE (Fuel Cells)</t>
  </si>
  <si>
    <t>Home Performance with Energy Star Program Results</t>
  </si>
  <si>
    <t>Pay for Performance Program</t>
  </si>
  <si>
    <t>Clean Power Choice</t>
  </si>
  <si>
    <t xml:space="preserve">Emission Reductions </t>
  </si>
  <si>
    <t>Lifetime Energy Savings/Renewable Energy Generation by Program</t>
  </si>
  <si>
    <t>Participants - Enrollments</t>
  </si>
  <si>
    <t>Participants - Completions</t>
  </si>
  <si>
    <t>Pay-for-Performance CHP</t>
  </si>
  <si>
    <t>Large Energy Users Pilot</t>
  </si>
  <si>
    <t>Generation</t>
  </si>
  <si>
    <t>Annual</t>
  </si>
  <si>
    <t>Lifetime</t>
  </si>
  <si>
    <t>Actual Electric</t>
  </si>
  <si>
    <t>Committed Electric</t>
  </si>
  <si>
    <t>Annual CHP Generation - MWh</t>
  </si>
  <si>
    <t>Annual CHP Generation - KW</t>
  </si>
  <si>
    <t>Total Lifetime Generation</t>
  </si>
  <si>
    <t>Demand Reductions - Electric</t>
  </si>
  <si>
    <t>Audits Rebated</t>
  </si>
  <si>
    <t>(18 month)
2012-2013</t>
  </si>
  <si>
    <t>Total
2001 - 2013</t>
  </si>
  <si>
    <t>Total
2001-2013</t>
  </si>
  <si>
    <t xml:space="preserve"> Total 
2001-2013</t>
  </si>
  <si>
    <t>Total 
2001-2013</t>
  </si>
  <si>
    <t>Total
2006-2013</t>
  </si>
  <si>
    <t>Total 2001-2013</t>
  </si>
  <si>
    <t>Total
2008-2013</t>
  </si>
  <si>
    <t>Total
2011 - 2013</t>
  </si>
  <si>
    <t>Total
2005 - 2013</t>
  </si>
  <si>
    <t>Emission Reductions - (18 month) 2012-2013</t>
  </si>
  <si>
    <t>Combined Heat &amp; Power (CHP)</t>
  </si>
  <si>
    <t>Large Scale CHP/Fuel Cells</t>
  </si>
  <si>
    <t xml:space="preserve">  CHP Total</t>
  </si>
  <si>
    <r>
      <rPr>
        <b/>
        <sz val="8"/>
        <rFont val="Arial"/>
        <family val="2"/>
      </rPr>
      <t xml:space="preserve">(18 month) 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 Expenditures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</si>
  <si>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</si>
  <si>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r>
      <t>(18 month)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</si>
  <si>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</si>
  <si>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t>Program Summary: 2001 - 2013</t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</si>
  <si>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 Energy Savings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</si>
  <si>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 Renewable Energy Generation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</si>
  <si>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 CHP Generation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</si>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</sst>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000000000000000000"/>
    <numFmt numFmtId="175" formatCode="0.00_);[Red]\(0.00\)"/>
    <numFmt numFmtId="176" formatCode="0_);[Red]\(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0" xfId="58" applyFont="1" applyBorder="1" applyAlignment="1">
      <alignment wrapText="1"/>
      <protection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0" fillId="0" borderId="1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6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wrapText="1"/>
    </xf>
    <xf numFmtId="0" fontId="5" fillId="0" borderId="15" xfId="58" applyFont="1" applyFill="1" applyBorder="1" applyAlignment="1">
      <alignment wrapText="1"/>
      <protection/>
    </xf>
    <xf numFmtId="3" fontId="4" fillId="0" borderId="15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57" applyFill="1" applyBorder="1" applyAlignment="1">
      <alignment horizontal="right"/>
      <protection/>
    </xf>
    <xf numFmtId="49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0" xfId="58" applyFont="1" applyBorder="1" applyAlignment="1">
      <alignment horizontal="left" wrapText="1"/>
      <protection/>
    </xf>
    <xf numFmtId="0" fontId="5" fillId="0" borderId="10" xfId="58" applyFont="1" applyBorder="1" applyAlignment="1">
      <alignment horizontal="left" wrapText="1"/>
      <protection/>
    </xf>
    <xf numFmtId="3" fontId="0" fillId="0" borderId="10" xfId="0" applyNumberFormat="1" applyFont="1" applyBorder="1" applyAlignment="1">
      <alignment horizontal="left" indent="1"/>
    </xf>
    <xf numFmtId="0" fontId="0" fillId="0" borderId="10" xfId="58" applyFont="1" applyBorder="1" applyAlignment="1">
      <alignment horizontal="left" wrapText="1" indent="2"/>
      <protection/>
    </xf>
    <xf numFmtId="0" fontId="0" fillId="0" borderId="10" xfId="0" applyFont="1" applyBorder="1" applyAlignment="1">
      <alignment horizontal="left" indent="2"/>
    </xf>
    <xf numFmtId="0" fontId="0" fillId="0" borderId="10" xfId="58" applyFont="1" applyFill="1" applyBorder="1" applyAlignment="1">
      <alignment horizontal="left" wrapText="1" indent="1"/>
      <protection/>
    </xf>
    <xf numFmtId="0" fontId="5" fillId="0" borderId="15" xfId="58" applyFont="1" applyFill="1" applyBorder="1" applyAlignment="1">
      <alignment horizontal="left" wrapText="1" indent="1"/>
      <protection/>
    </xf>
    <xf numFmtId="0" fontId="0" fillId="0" borderId="0" xfId="58" applyFont="1" applyFill="1" applyBorder="1" applyAlignment="1">
      <alignment horizontal="left" wrapText="1" indent="1"/>
      <protection/>
    </xf>
    <xf numFmtId="0" fontId="0" fillId="0" borderId="12" xfId="0" applyBorder="1" applyAlignment="1">
      <alignment horizontal="left" indent="1"/>
    </xf>
    <xf numFmtId="169" fontId="4" fillId="0" borderId="10" xfId="0" applyNumberFormat="1" applyFon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 horizontal="right" vertical="center"/>
    </xf>
    <xf numFmtId="6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5" xfId="0" applyNumberForma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15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38" fontId="4" fillId="0" borderId="15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32" borderId="10" xfId="0" applyNumberFormat="1" applyFill="1" applyBorder="1" applyAlignment="1">
      <alignment horizontal="right"/>
    </xf>
    <xf numFmtId="6" fontId="0" fillId="0" borderId="0" xfId="0" applyNumberFormat="1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4" fillId="0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left"/>
    </xf>
    <xf numFmtId="6" fontId="0" fillId="0" borderId="10" xfId="57" applyNumberFormat="1" applyBorder="1" applyAlignment="1">
      <alignment horizontal="right"/>
      <protection/>
    </xf>
    <xf numFmtId="6" fontId="0" fillId="0" borderId="10" xfId="57" applyNumberFormat="1" applyFill="1" applyBorder="1" applyAlignment="1">
      <alignment horizontal="right"/>
      <protection/>
    </xf>
    <xf numFmtId="6" fontId="0" fillId="0" borderId="0" xfId="57" applyNumberFormat="1" applyBorder="1" applyAlignment="1">
      <alignment horizontal="right"/>
      <protection/>
    </xf>
    <xf numFmtId="38" fontId="0" fillId="0" borderId="10" xfId="57" applyNumberForma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8" fontId="0" fillId="0" borderId="16" xfId="0" applyNumberFormat="1" applyBorder="1" applyAlignment="1">
      <alignment horizontal="right"/>
    </xf>
    <xf numFmtId="6" fontId="4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6" fontId="4" fillId="0" borderId="1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8" fontId="0" fillId="0" borderId="17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0" xfId="0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/>
    </xf>
    <xf numFmtId="38" fontId="4" fillId="0" borderId="12" xfId="0" applyNumberFormat="1" applyFont="1" applyBorder="1" applyAlignment="1">
      <alignment/>
    </xf>
    <xf numFmtId="7" fontId="0" fillId="0" borderId="10" xfId="0" applyNumberFormat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center"/>
    </xf>
    <xf numFmtId="38" fontId="0" fillId="0" borderId="15" xfId="0" applyNumberForma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58" applyFont="1" applyFill="1" applyBorder="1" applyAlignment="1">
      <alignment horizontal="left" wrapText="1" indent="1"/>
      <protection/>
    </xf>
    <xf numFmtId="0" fontId="0" fillId="0" borderId="10" xfId="58" applyFont="1" applyFill="1" applyBorder="1" applyAlignment="1">
      <alignment horizontal="left" wrapText="1" indent="2"/>
      <protection/>
    </xf>
    <xf numFmtId="0" fontId="0" fillId="0" borderId="10" xfId="0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8" fontId="14" fillId="0" borderId="0" xfId="0" applyNumberFormat="1" applyFont="1" applyFill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57" applyFont="1" applyBorder="1" applyAlignment="1">
      <alignment horizontal="center" wrapText="1"/>
      <protection/>
    </xf>
    <xf numFmtId="0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5" fillId="0" borderId="19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>
      <alignment horizontal="left" wrapText="1"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Electric Savings (MWh)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725"/>
          <c:w val="0.9777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Charts'!$F$3:$M$3</c:f>
              <c:numCache/>
            </c:numRef>
          </c:val>
        </c:ser>
        <c:axId val="6792415"/>
        <c:axId val="61131736"/>
      </c:bar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31736"/>
        <c:crosses val="autoZero"/>
        <c:auto val="1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Renewable Energy Generation (MWh)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7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Charts'!$F$8:$M$8</c:f>
              <c:numCache/>
            </c:numRef>
          </c:val>
        </c:ser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4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CO2 Emission Reductions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(metric tons)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8475"/>
          <c:w val="0.978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Charts'!$F$13:$M$13</c:f>
              <c:numCache/>
            </c:numRef>
          </c:val>
        </c:ser>
        <c:axId val="4749939"/>
        <c:axId val="42749452"/>
      </c:barChart>
      <c:cat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Natural Gas Savings (Dtherms)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65"/>
          <c:w val="0.97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Charts'!$F$4:$M$4</c:f>
              <c:numCache/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0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CHP Generation (MWh)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65"/>
          <c:w val="0.978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Charts'!$F$9:$M$9</c:f>
              <c:numCache/>
            </c:numRef>
          </c:val>
        </c:ser>
        <c:axId val="25837703"/>
        <c:axId val="31212736"/>
      </c:bar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EE Savings + RE Generation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125"/>
          <c:w val="0.967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Charts'!$F$1:$M$1</c:f>
              <c:strCache/>
            </c:strRef>
          </c:cat>
          <c:val>
            <c:numRef>
              <c:f>'Bar Charts'!$F$10:$M$10</c:f>
              <c:numCache/>
            </c:numRef>
          </c:val>
        </c:ser>
        <c:axId val="12479169"/>
        <c:axId val="45203658"/>
      </c:bar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7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Budget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65"/>
          <c:w val="0.979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'2001-2013 Program Summary'!$A$11</c:f>
              <c:strCache>
                <c:ptCount val="1"/>
                <c:pt idx="0">
                  <c:v>Budgets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'2001-2013 Program Summary'!$G$11:$N$11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(18 month)1
2012-2013</c:v>
                </c:pt>
              </c:strCache>
            </c:strRef>
          </c:cat>
          <c:val>
            <c:numRef>
              <c:f>'2001-2013 Program Summary'!$G$17:$N$17</c:f>
              <c:numCache>
                <c:ptCount val="8"/>
                <c:pt idx="0">
                  <c:v>243855000</c:v>
                </c:pt>
                <c:pt idx="1">
                  <c:v>309114000</c:v>
                </c:pt>
                <c:pt idx="2">
                  <c:v>349555000</c:v>
                </c:pt>
                <c:pt idx="3">
                  <c:v>419491000</c:v>
                </c:pt>
                <c:pt idx="4">
                  <c:v>525380811.39</c:v>
                </c:pt>
                <c:pt idx="5">
                  <c:v>460728352.16999996</c:v>
                </c:pt>
                <c:pt idx="6">
                  <c:v>506323547.37</c:v>
                </c:pt>
                <c:pt idx="7">
                  <c:v>511366306.14</c:v>
                </c:pt>
              </c:numCache>
            </c:numRef>
          </c:val>
        </c:ser>
        <c:axId val="4179739"/>
        <c:axId val="37617652"/>
      </c:bar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065"/>
          <c:w val="0.985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'2001-2013 Program Summary'!$A$19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'2001-2013 Program Summary'!$G$11:$N$11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(18 month)1
2012-2013</c:v>
                </c:pt>
              </c:strCache>
            </c:strRef>
          </c:cat>
          <c:val>
            <c:numRef>
              <c:f>'2001-2013 Program Summary'!$G$25:$N$25</c:f>
              <c:numCache>
                <c:ptCount val="8"/>
                <c:pt idx="0">
                  <c:v>124592542</c:v>
                </c:pt>
                <c:pt idx="1">
                  <c:v>171197000</c:v>
                </c:pt>
                <c:pt idx="2">
                  <c:v>176811000</c:v>
                </c:pt>
                <c:pt idx="3">
                  <c:v>147550000</c:v>
                </c:pt>
                <c:pt idx="4">
                  <c:v>178164199.73</c:v>
                </c:pt>
                <c:pt idx="5">
                  <c:v>219585204.35999998</c:v>
                </c:pt>
                <c:pt idx="6">
                  <c:v>191875940.36</c:v>
                </c:pt>
                <c:pt idx="7">
                  <c:v>277843944.14</c:v>
                </c:pt>
              </c:numCache>
            </c:numRef>
          </c:val>
        </c:ser>
        <c:axId val="3014549"/>
        <c:axId val="27130942"/>
      </c:bar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 val="autoZero"/>
        <c:auto val="1"/>
        <c:lblOffset val="100"/>
        <c:tickLblSkip val="1"/>
        <c:noMultiLvlLbl val="0"/>
      </c:catAx>
      <c:valAx>
        <c:axId val="27130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Commitments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975"/>
          <c:w val="0.977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'2001-2013 Program Summary'!$A$27</c:f>
              <c:strCache>
                <c:ptCount val="1"/>
                <c:pt idx="0">
                  <c:v>Year End Commitments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'2001-2013 Program Summary'!$G$11:$N$11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(18 month)1
2012-2013</c:v>
                </c:pt>
              </c:strCache>
            </c:strRef>
          </c:cat>
          <c:val>
            <c:numRef>
              <c:f>'2001-2013 Program Summary'!$G$33:$N$33</c:f>
              <c:numCache>
                <c:ptCount val="8"/>
                <c:pt idx="0">
                  <c:v>210020000</c:v>
                </c:pt>
                <c:pt idx="1">
                  <c:v>164134000</c:v>
                </c:pt>
                <c:pt idx="2">
                  <c:v>115348000</c:v>
                </c:pt>
                <c:pt idx="3">
                  <c:v>155425000</c:v>
                </c:pt>
                <c:pt idx="4">
                  <c:v>167687937.8</c:v>
                </c:pt>
                <c:pt idx="5">
                  <c:v>141768354.47</c:v>
                </c:pt>
                <c:pt idx="6">
                  <c:v>124590088.59</c:v>
                </c:pt>
                <c:pt idx="7">
                  <c:v>135449403.45</c:v>
                </c:pt>
              </c:numCache>
            </c:numRef>
          </c:val>
        </c:ser>
        <c:axId val="42851887"/>
        <c:axId val="50122664"/>
      </c:bar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1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57150</xdr:rowOff>
    </xdr:from>
    <xdr:to>
      <xdr:col>6</xdr:col>
      <xdr:colOff>47625</xdr:colOff>
      <xdr:row>73</xdr:row>
      <xdr:rowOff>152400</xdr:rowOff>
    </xdr:to>
    <xdr:graphicFrame>
      <xdr:nvGraphicFramePr>
        <xdr:cNvPr id="1" name="Chart 4"/>
        <xdr:cNvGraphicFramePr/>
      </xdr:nvGraphicFramePr>
      <xdr:xfrm>
        <a:off x="95250" y="8477250"/>
        <a:ext cx="5505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66675</xdr:rowOff>
    </xdr:from>
    <xdr:to>
      <xdr:col>6</xdr:col>
      <xdr:colOff>0</xdr:colOff>
      <xdr:row>44</xdr:row>
      <xdr:rowOff>0</xdr:rowOff>
    </xdr:to>
    <xdr:graphicFrame>
      <xdr:nvGraphicFramePr>
        <xdr:cNvPr id="2" name="Chart 6"/>
        <xdr:cNvGraphicFramePr/>
      </xdr:nvGraphicFramePr>
      <xdr:xfrm>
        <a:off x="57150" y="3629025"/>
        <a:ext cx="54959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75</xdr:row>
      <xdr:rowOff>142875</xdr:rowOff>
    </xdr:from>
    <xdr:to>
      <xdr:col>12</xdr:col>
      <xdr:colOff>695325</xdr:colOff>
      <xdr:row>98</xdr:row>
      <xdr:rowOff>76200</xdr:rowOff>
    </xdr:to>
    <xdr:graphicFrame>
      <xdr:nvGraphicFramePr>
        <xdr:cNvPr id="3" name="Chart 8"/>
        <xdr:cNvGraphicFramePr/>
      </xdr:nvGraphicFramePr>
      <xdr:xfrm>
        <a:off x="5838825" y="12449175"/>
        <a:ext cx="54959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21</xdr:row>
      <xdr:rowOff>76200</xdr:rowOff>
    </xdr:from>
    <xdr:to>
      <xdr:col>12</xdr:col>
      <xdr:colOff>638175</xdr:colOff>
      <xdr:row>44</xdr:row>
      <xdr:rowOff>9525</xdr:rowOff>
    </xdr:to>
    <xdr:graphicFrame>
      <xdr:nvGraphicFramePr>
        <xdr:cNvPr id="4" name="Chart 5"/>
        <xdr:cNvGraphicFramePr/>
      </xdr:nvGraphicFramePr>
      <xdr:xfrm>
        <a:off x="5743575" y="3638550"/>
        <a:ext cx="55340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51</xdr:row>
      <xdr:rowOff>47625</xdr:rowOff>
    </xdr:from>
    <xdr:to>
      <xdr:col>12</xdr:col>
      <xdr:colOff>676275</xdr:colOff>
      <xdr:row>73</xdr:row>
      <xdr:rowOff>142875</xdr:rowOff>
    </xdr:to>
    <xdr:graphicFrame>
      <xdr:nvGraphicFramePr>
        <xdr:cNvPr id="5" name="Chart 7"/>
        <xdr:cNvGraphicFramePr/>
      </xdr:nvGraphicFramePr>
      <xdr:xfrm>
        <a:off x="5819775" y="8467725"/>
        <a:ext cx="549592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75</xdr:row>
      <xdr:rowOff>142875</xdr:rowOff>
    </xdr:from>
    <xdr:to>
      <xdr:col>6</xdr:col>
      <xdr:colOff>28575</xdr:colOff>
      <xdr:row>98</xdr:row>
      <xdr:rowOff>76200</xdr:rowOff>
    </xdr:to>
    <xdr:graphicFrame>
      <xdr:nvGraphicFramePr>
        <xdr:cNvPr id="6" name="Chart 3"/>
        <xdr:cNvGraphicFramePr/>
      </xdr:nvGraphicFramePr>
      <xdr:xfrm>
        <a:off x="85725" y="12449175"/>
        <a:ext cx="5495925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108</xdr:row>
      <xdr:rowOff>142875</xdr:rowOff>
    </xdr:from>
    <xdr:to>
      <xdr:col>5</xdr:col>
      <xdr:colOff>781050</xdr:colOff>
      <xdr:row>132</xdr:row>
      <xdr:rowOff>152400</xdr:rowOff>
    </xdr:to>
    <xdr:graphicFrame>
      <xdr:nvGraphicFramePr>
        <xdr:cNvPr id="7" name="Chart 7"/>
        <xdr:cNvGraphicFramePr/>
      </xdr:nvGraphicFramePr>
      <xdr:xfrm>
        <a:off x="66675" y="17792700"/>
        <a:ext cx="54197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209550</xdr:colOff>
      <xdr:row>108</xdr:row>
      <xdr:rowOff>142875</xdr:rowOff>
    </xdr:from>
    <xdr:to>
      <xdr:col>12</xdr:col>
      <xdr:colOff>657225</xdr:colOff>
      <xdr:row>133</xdr:row>
      <xdr:rowOff>0</xdr:rowOff>
    </xdr:to>
    <xdr:graphicFrame>
      <xdr:nvGraphicFramePr>
        <xdr:cNvPr id="8" name="Chart 7"/>
        <xdr:cNvGraphicFramePr/>
      </xdr:nvGraphicFramePr>
      <xdr:xfrm>
        <a:off x="5762625" y="17792700"/>
        <a:ext cx="5534025" cy="3905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561975</xdr:colOff>
      <xdr:row>134</xdr:row>
      <xdr:rowOff>28575</xdr:rowOff>
    </xdr:from>
    <xdr:to>
      <xdr:col>9</xdr:col>
      <xdr:colOff>257175</xdr:colOff>
      <xdr:row>156</xdr:row>
      <xdr:rowOff>123825</xdr:rowOff>
    </xdr:to>
    <xdr:graphicFrame>
      <xdr:nvGraphicFramePr>
        <xdr:cNvPr id="9" name="Chart 7"/>
        <xdr:cNvGraphicFramePr/>
      </xdr:nvGraphicFramePr>
      <xdr:xfrm>
        <a:off x="2857500" y="21888450"/>
        <a:ext cx="5495925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P53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21.28125" style="0" customWidth="1"/>
    <col min="2" max="2" width="14.140625" style="119" bestFit="1" customWidth="1"/>
    <col min="3" max="3" width="11.8515625" style="0" hidden="1" customWidth="1"/>
    <col min="4" max="4" width="13.00390625" style="0" hidden="1" customWidth="1"/>
    <col min="5" max="6" width="13.28125" style="0" hidden="1" customWidth="1"/>
    <col min="7" max="7" width="12.140625" style="0" hidden="1" customWidth="1"/>
    <col min="8" max="14" width="12.7109375" style="0" bestFit="1" customWidth="1"/>
    <col min="15" max="15" width="14.421875" style="140" bestFit="1" customWidth="1"/>
    <col min="16" max="16" width="12.140625" style="0" bestFit="1" customWidth="1"/>
  </cols>
  <sheetData>
    <row r="1" spans="1:15" ht="12.75">
      <c r="A1" s="378" t="s">
        <v>78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2.75">
      <c r="A2" s="378" t="s">
        <v>441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ht="12.75">
      <c r="A3" s="24"/>
    </row>
    <row r="4" spans="1:15" ht="27">
      <c r="A4" s="30" t="s">
        <v>308</v>
      </c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07" t="s">
        <v>439</v>
      </c>
      <c r="O4" s="207" t="s">
        <v>424</v>
      </c>
    </row>
    <row r="5" spans="1:16" ht="12.75">
      <c r="A5" s="187" t="s">
        <v>348</v>
      </c>
      <c r="B5" s="262">
        <f>SUM(C5:G5)</f>
        <v>251936000</v>
      </c>
      <c r="C5" s="262">
        <v>35483000</v>
      </c>
      <c r="D5" s="262">
        <v>46467000</v>
      </c>
      <c r="E5" s="262">
        <f>14444000+15365000+911000+872000+4219000+303000+14756000+679000</f>
        <v>51549000</v>
      </c>
      <c r="F5" s="262">
        <v>60534000</v>
      </c>
      <c r="G5" s="262">
        <v>57903000</v>
      </c>
      <c r="H5" s="262">
        <v>56524000</v>
      </c>
      <c r="I5" s="263">
        <v>67386000</v>
      </c>
      <c r="J5" s="262">
        <f>62844000</f>
        <v>62844000</v>
      </c>
      <c r="K5" s="262">
        <f>52670164.21+30741450.93</f>
        <v>83411615.14</v>
      </c>
      <c r="L5" s="262">
        <f>85420354.49+31377188.9</f>
        <v>116797543.38999999</v>
      </c>
      <c r="M5" s="262">
        <f>59985128.88+28405761.97</f>
        <v>88390890.85</v>
      </c>
      <c r="N5" s="262">
        <f>95698921.97+48397526.8</f>
        <v>144096448.76999998</v>
      </c>
      <c r="O5" s="262">
        <f>SUM(C5:N5)</f>
        <v>871386498.15</v>
      </c>
      <c r="P5" t="s">
        <v>317</v>
      </c>
    </row>
    <row r="6" spans="1:16" ht="12.75">
      <c r="A6" s="187" t="s">
        <v>349</v>
      </c>
      <c r="B6" s="262">
        <f aca="true" t="shared" si="0" ref="B6:B12">SUM(C6:G6)</f>
        <v>164374000</v>
      </c>
      <c r="C6" s="262">
        <f>12501000+8586000</f>
        <v>21087000</v>
      </c>
      <c r="D6" s="263">
        <f>38839000+7952000</f>
        <v>46791000</v>
      </c>
      <c r="E6" s="262">
        <f>3832000+25095000+1628000+5916000+39000+255000</f>
        <v>36765000</v>
      </c>
      <c r="F6" s="262">
        <v>32219000</v>
      </c>
      <c r="G6" s="262">
        <v>27512000</v>
      </c>
      <c r="H6" s="262">
        <f>21943000+1175000</f>
        <v>23118000</v>
      </c>
      <c r="I6" s="263">
        <f>19652000+3040000</f>
        <v>22692000</v>
      </c>
      <c r="J6" s="262">
        <f>16560000+3048000</f>
        <v>19608000</v>
      </c>
      <c r="K6" s="262">
        <f>23837277.25+3709765.51+10000000</f>
        <v>37547042.76</v>
      </c>
      <c r="L6" s="262">
        <f>36616429+298947.9</f>
        <v>36915376.9</v>
      </c>
      <c r="M6" s="262">
        <f>50068865.6+576044.74</f>
        <v>50644910.34</v>
      </c>
      <c r="N6" s="262">
        <f>91152041.87+1218644.3</f>
        <v>92370686.17</v>
      </c>
      <c r="O6" s="262">
        <f aca="true" t="shared" si="1" ref="O6:O12">SUM(C6:N6)</f>
        <v>447270016.17</v>
      </c>
      <c r="P6" s="12" t="s">
        <v>318</v>
      </c>
    </row>
    <row r="7" spans="1:16" ht="12.75">
      <c r="A7" s="14" t="s">
        <v>90</v>
      </c>
      <c r="B7" s="258">
        <f t="shared" si="0"/>
        <v>416309160</v>
      </c>
      <c r="C7" s="258">
        <f>56570*1000</f>
        <v>56570000</v>
      </c>
      <c r="D7" s="258">
        <f>93258*1000</f>
        <v>93258000</v>
      </c>
      <c r="E7" s="258">
        <f>88314*1000</f>
        <v>88314000</v>
      </c>
      <c r="F7" s="258">
        <f>92753*1000</f>
        <v>92753000</v>
      </c>
      <c r="G7" s="264">
        <f>85414.16*1000</f>
        <v>85414160</v>
      </c>
      <c r="H7" s="258">
        <f>79642*1000</f>
        <v>79642000</v>
      </c>
      <c r="I7" s="264">
        <f>90078*1000</f>
        <v>90078000</v>
      </c>
      <c r="J7" s="258">
        <f>82452*1000</f>
        <v>82452000</v>
      </c>
      <c r="K7" s="258">
        <v>120958657.9</v>
      </c>
      <c r="L7" s="258">
        <v>153712920.29</v>
      </c>
      <c r="M7" s="258">
        <f>SUM(M5:M6)</f>
        <v>139035801.19</v>
      </c>
      <c r="N7" s="258">
        <f>SUM(N5:N6)</f>
        <v>236467134.94</v>
      </c>
      <c r="O7" s="258">
        <f t="shared" si="1"/>
        <v>1318655674.32</v>
      </c>
      <c r="P7" t="s">
        <v>103</v>
      </c>
    </row>
    <row r="8" spans="1:15" ht="12.75">
      <c r="A8" s="188" t="s">
        <v>99</v>
      </c>
      <c r="B8" s="252">
        <f t="shared" si="0"/>
        <v>67376382</v>
      </c>
      <c r="C8" s="252">
        <f>985*1000</f>
        <v>985000</v>
      </c>
      <c r="D8" s="252">
        <f>6646*1000</f>
        <v>6646000</v>
      </c>
      <c r="E8" s="252">
        <f>(9269+203)*1000</f>
        <v>9472000</v>
      </c>
      <c r="F8" s="252">
        <f>14749*1000</f>
        <v>14749000</v>
      </c>
      <c r="G8" s="252">
        <f>35524.382*1000</f>
        <v>35524382</v>
      </c>
      <c r="H8" s="252">
        <f>84279*1000</f>
        <v>84279000</v>
      </c>
      <c r="I8" s="252">
        <f>78210*1000</f>
        <v>78210000</v>
      </c>
      <c r="J8" s="252">
        <f>56930*1000</f>
        <v>56930000</v>
      </c>
      <c r="K8" s="252">
        <v>52677504.54</v>
      </c>
      <c r="L8" s="252">
        <f>57588771.13+4745714</f>
        <v>62334485.13</v>
      </c>
      <c r="M8" s="252">
        <v>38963321.6</v>
      </c>
      <c r="N8" s="254">
        <v>18003594.66</v>
      </c>
      <c r="O8" s="254">
        <f t="shared" si="1"/>
        <v>458774287.93000007</v>
      </c>
    </row>
    <row r="9" spans="1:15" ht="12.75">
      <c r="A9" s="188" t="s">
        <v>327</v>
      </c>
      <c r="B9" s="252">
        <f t="shared" si="0"/>
        <v>0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>
        <v>6335017</v>
      </c>
      <c r="N9" s="254">
        <v>5268131.56</v>
      </c>
      <c r="O9" s="254">
        <f t="shared" si="1"/>
        <v>11603148.559999999</v>
      </c>
    </row>
    <row r="10" spans="1:15" ht="12.75">
      <c r="A10" s="188" t="s">
        <v>121</v>
      </c>
      <c r="B10" s="252">
        <f t="shared" si="0"/>
        <v>3654000</v>
      </c>
      <c r="C10" s="252">
        <v>0</v>
      </c>
      <c r="D10" s="252">
        <v>0</v>
      </c>
      <c r="E10" s="252">
        <v>0</v>
      </c>
      <c r="F10" s="252">
        <v>0</v>
      </c>
      <c r="G10" s="252">
        <f>3654*1000</f>
        <v>3654000</v>
      </c>
      <c r="H10" s="252">
        <f>7276*1000</f>
        <v>7276000</v>
      </c>
      <c r="I10" s="252">
        <f>8523*1000</f>
        <v>8523000</v>
      </c>
      <c r="J10" s="252">
        <f>8168*1000</f>
        <v>8168000</v>
      </c>
      <c r="K10" s="252">
        <v>4528037.29</v>
      </c>
      <c r="L10" s="252">
        <v>3537798.94</v>
      </c>
      <c r="M10" s="252">
        <v>4331674.86</v>
      </c>
      <c r="N10" s="254">
        <v>9108808.9</v>
      </c>
      <c r="O10" s="254">
        <f t="shared" si="1"/>
        <v>49127319.989999995</v>
      </c>
    </row>
    <row r="11" spans="1:15" ht="12.75">
      <c r="A11" s="188" t="s">
        <v>328</v>
      </c>
      <c r="B11" s="252">
        <f t="shared" si="0"/>
        <v>0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>
        <v>3210125.71</v>
      </c>
      <c r="N11" s="254">
        <v>8996274.08</v>
      </c>
      <c r="O11" s="254">
        <f t="shared" si="1"/>
        <v>12206399.79</v>
      </c>
    </row>
    <row r="12" spans="1:16" ht="12.75">
      <c r="A12" s="14" t="s">
        <v>1</v>
      </c>
      <c r="B12" s="258">
        <f t="shared" si="0"/>
        <v>487339542</v>
      </c>
      <c r="C12" s="258">
        <f aca="true" t="shared" si="2" ref="C12:K12">SUM(C7:C10)</f>
        <v>57555000</v>
      </c>
      <c r="D12" s="258">
        <f t="shared" si="2"/>
        <v>99904000</v>
      </c>
      <c r="E12" s="258">
        <f t="shared" si="2"/>
        <v>97786000</v>
      </c>
      <c r="F12" s="258">
        <f t="shared" si="2"/>
        <v>107502000</v>
      </c>
      <c r="G12" s="258">
        <f t="shared" si="2"/>
        <v>124592542</v>
      </c>
      <c r="H12" s="258">
        <f t="shared" si="2"/>
        <v>171197000</v>
      </c>
      <c r="I12" s="258">
        <f t="shared" si="2"/>
        <v>176811000</v>
      </c>
      <c r="J12" s="258">
        <f t="shared" si="2"/>
        <v>147550000</v>
      </c>
      <c r="K12" s="258">
        <f t="shared" si="2"/>
        <v>178164199.73</v>
      </c>
      <c r="L12" s="258">
        <f>SUM(L7:L10)</f>
        <v>219585204.35999998</v>
      </c>
      <c r="M12" s="258">
        <f>SUM(M7:M11)</f>
        <v>191875940.36</v>
      </c>
      <c r="N12" s="258">
        <f>SUM(N7:N11)</f>
        <v>277843944.14</v>
      </c>
      <c r="O12" s="258">
        <f t="shared" si="1"/>
        <v>1850366830.5899997</v>
      </c>
      <c r="P12" s="12"/>
    </row>
    <row r="13" spans="1:15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75"/>
    </row>
    <row r="14" spans="1:15" ht="12.75">
      <c r="A14" s="30" t="s">
        <v>207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75"/>
    </row>
    <row r="15" spans="1:15" ht="12.75">
      <c r="A15" s="191"/>
      <c r="B15" s="40" t="s">
        <v>8</v>
      </c>
      <c r="C15" s="40" t="s">
        <v>8</v>
      </c>
      <c r="D15" s="40" t="s">
        <v>8</v>
      </c>
      <c r="E15" s="40" t="s">
        <v>8</v>
      </c>
      <c r="F15" s="40" t="s">
        <v>8</v>
      </c>
      <c r="G15" s="40" t="s">
        <v>8</v>
      </c>
      <c r="H15" s="40" t="s">
        <v>8</v>
      </c>
      <c r="I15" s="40" t="s">
        <v>8</v>
      </c>
      <c r="J15" s="40" t="s">
        <v>8</v>
      </c>
      <c r="K15" s="40" t="s">
        <v>8</v>
      </c>
      <c r="L15" s="40" t="s">
        <v>8</v>
      </c>
      <c r="M15" s="40" t="s">
        <v>8</v>
      </c>
      <c r="N15" s="40" t="s">
        <v>8</v>
      </c>
      <c r="O15" s="63"/>
    </row>
    <row r="16" spans="1:16" ht="12.75">
      <c r="A16" s="188" t="s">
        <v>348</v>
      </c>
      <c r="B16" s="265">
        <f aca="true" t="shared" si="3" ref="B16:B21">SUM(C16:G16)</f>
        <v>347778</v>
      </c>
      <c r="C16" s="265">
        <f>12343+7386</f>
        <v>19729</v>
      </c>
      <c r="D16" s="265">
        <f>18965+5196</f>
        <v>24161</v>
      </c>
      <c r="E16" s="265">
        <f>82456+5774</f>
        <v>88230</v>
      </c>
      <c r="F16" s="266">
        <f>117374+6995</f>
        <v>124369</v>
      </c>
      <c r="G16" s="265">
        <f>84653+6636</f>
        <v>91289</v>
      </c>
      <c r="H16" s="265">
        <f>17270+10708</f>
        <v>27978</v>
      </c>
      <c r="I16" s="265">
        <f>126391+10614</f>
        <v>137005</v>
      </c>
      <c r="J16" s="265">
        <f>226187+8778</f>
        <v>234965</v>
      </c>
      <c r="K16" s="265">
        <f>356614+9302</f>
        <v>365916</v>
      </c>
      <c r="L16" s="265">
        <f>204548+8994</f>
        <v>213542</v>
      </c>
      <c r="M16" s="265">
        <f>'Annual Savings'!M17+'Annual Savings'!M20</f>
        <v>276348.1</v>
      </c>
      <c r="N16" s="265">
        <f>'Annual Savings'!N17+'Annual Savings'!N20</f>
        <v>387282.00000000006</v>
      </c>
      <c r="O16" s="144"/>
      <c r="P16" t="s">
        <v>317</v>
      </c>
    </row>
    <row r="17" spans="1:15" ht="12.75">
      <c r="A17" s="188" t="s">
        <v>349</v>
      </c>
      <c r="B17" s="265">
        <f t="shared" si="3"/>
        <v>729439</v>
      </c>
      <c r="C17" s="265">
        <v>30943</v>
      </c>
      <c r="D17" s="265">
        <v>144635</v>
      </c>
      <c r="E17" s="265">
        <v>197347</v>
      </c>
      <c r="F17" s="265">
        <v>204144</v>
      </c>
      <c r="G17" s="265">
        <f>148252+4118</f>
        <v>152370</v>
      </c>
      <c r="H17" s="265">
        <f>98377+1897</f>
        <v>100274</v>
      </c>
      <c r="I17" s="265">
        <f>90589+1127</f>
        <v>91716</v>
      </c>
      <c r="J17" s="265">
        <f>99663+373</f>
        <v>100036</v>
      </c>
      <c r="K17" s="265">
        <f>95791+455</f>
        <v>96246</v>
      </c>
      <c r="L17" s="265">
        <f>134365</f>
        <v>134365</v>
      </c>
      <c r="M17" s="265">
        <f>'Annual Savings'!M31</f>
        <v>177334</v>
      </c>
      <c r="N17" s="265">
        <f>'Annual Savings'!N31</f>
        <v>251520</v>
      </c>
      <c r="O17" s="144"/>
    </row>
    <row r="18" spans="1:16" ht="12.75">
      <c r="A18" s="14" t="s">
        <v>90</v>
      </c>
      <c r="B18" s="260">
        <f t="shared" si="3"/>
        <v>1076217</v>
      </c>
      <c r="C18" s="260">
        <f>'Annual Savings'!C33</f>
        <v>50672</v>
      </c>
      <c r="D18" s="260">
        <f>'Annual Savings'!D33</f>
        <v>168796</v>
      </c>
      <c r="E18" s="260">
        <f>'Annual Savings'!E33</f>
        <v>285577</v>
      </c>
      <c r="F18" s="260">
        <f>'Annual Savings'!F33</f>
        <v>328513</v>
      </c>
      <c r="G18" s="260">
        <f>'Annual Savings'!G33</f>
        <v>242659</v>
      </c>
      <c r="H18" s="260">
        <f>'Annual Savings'!H33</f>
        <v>128252</v>
      </c>
      <c r="I18" s="260">
        <f>'Annual Savings'!I33</f>
        <v>228721</v>
      </c>
      <c r="J18" s="260">
        <f>'Annual Savings'!J33</f>
        <v>335001</v>
      </c>
      <c r="K18" s="260">
        <f>'Annual Savings'!K33</f>
        <v>462162</v>
      </c>
      <c r="L18" s="260">
        <f>'Annual Savings'!L33</f>
        <v>347906.80000000005</v>
      </c>
      <c r="M18" s="260">
        <f>SUM(M16:M17)</f>
        <v>453682.1</v>
      </c>
      <c r="N18" s="260">
        <f>SUM(N16:N17)</f>
        <v>638802</v>
      </c>
      <c r="O18" s="144"/>
      <c r="P18" s="23"/>
    </row>
    <row r="19" spans="1:15" ht="12.75">
      <c r="A19" s="188" t="s">
        <v>99</v>
      </c>
      <c r="B19" s="261">
        <f t="shared" si="3"/>
        <v>45797</v>
      </c>
      <c r="C19" s="261">
        <f>'Annual Savings'!C111</f>
        <v>11</v>
      </c>
      <c r="D19" s="261">
        <f>'Annual Savings'!D111</f>
        <v>2896</v>
      </c>
      <c r="E19" s="261">
        <f>'Annual Savings'!E111</f>
        <v>7239</v>
      </c>
      <c r="F19" s="261">
        <f>'Annual Savings'!F111</f>
        <v>6515</v>
      </c>
      <c r="G19" s="261">
        <f>'Annual Savings'!G111</f>
        <v>29136</v>
      </c>
      <c r="H19" s="261">
        <f>'Annual Savings'!H111</f>
        <v>44659</v>
      </c>
      <c r="I19" s="261">
        <f>'Annual Savings'!I111</f>
        <v>140229</v>
      </c>
      <c r="J19" s="261">
        <f>'Annual Savings'!J111</f>
        <v>188968.72</v>
      </c>
      <c r="K19" s="261">
        <f>'Annual Savings'!K111</f>
        <v>169101</v>
      </c>
      <c r="L19" s="261">
        <f>'Annual Savings'!L111</f>
        <v>327579</v>
      </c>
      <c r="M19" s="261">
        <f>'Annual Savings'!M111</f>
        <v>382066</v>
      </c>
      <c r="N19" s="261">
        <f>'Annual Savings'!N111</f>
        <v>640636</v>
      </c>
      <c r="O19" s="144"/>
    </row>
    <row r="20" spans="1:15" ht="12.75">
      <c r="A20" s="188" t="s">
        <v>59</v>
      </c>
      <c r="B20" s="261">
        <f t="shared" si="3"/>
        <v>767</v>
      </c>
      <c r="C20" s="261">
        <f>CHP!C75</f>
        <v>0</v>
      </c>
      <c r="D20" s="261">
        <f>CHP!D75</f>
        <v>0</v>
      </c>
      <c r="E20" s="261">
        <f>CHP!E75</f>
        <v>0</v>
      </c>
      <c r="F20" s="261">
        <f>CHP!F75</f>
        <v>0</v>
      </c>
      <c r="G20" s="261">
        <f>'Annual Savings'!G38</f>
        <v>767</v>
      </c>
      <c r="H20" s="261">
        <f>'Annual Savings'!H38</f>
        <v>12575</v>
      </c>
      <c r="I20" s="261">
        <f>'Annual Savings'!I38</f>
        <v>102125</v>
      </c>
      <c r="J20" s="261">
        <f>'Annual Savings'!J38</f>
        <v>9114</v>
      </c>
      <c r="K20" s="261">
        <f>'Annual Savings'!K38</f>
        <v>35317</v>
      </c>
      <c r="L20" s="261">
        <f>'Annual Savings'!L38</f>
        <v>47743</v>
      </c>
      <c r="M20" s="261">
        <f>'Annual Savings'!M38</f>
        <v>0</v>
      </c>
      <c r="N20" s="261">
        <f>'Annual Savings'!N38</f>
        <v>17520</v>
      </c>
      <c r="O20" s="144"/>
    </row>
    <row r="21" spans="1:15" ht="12.75">
      <c r="A21" s="14" t="s">
        <v>1</v>
      </c>
      <c r="B21" s="260">
        <f t="shared" si="3"/>
        <v>1122781</v>
      </c>
      <c r="C21" s="260">
        <f aca="true" t="shared" si="4" ref="C21:I21">SUM(C18:C20)</f>
        <v>50683</v>
      </c>
      <c r="D21" s="260">
        <f t="shared" si="4"/>
        <v>171692</v>
      </c>
      <c r="E21" s="260">
        <f t="shared" si="4"/>
        <v>292816</v>
      </c>
      <c r="F21" s="260">
        <f t="shared" si="4"/>
        <v>335028</v>
      </c>
      <c r="G21" s="260">
        <f t="shared" si="4"/>
        <v>272562</v>
      </c>
      <c r="H21" s="260">
        <f t="shared" si="4"/>
        <v>185486</v>
      </c>
      <c r="I21" s="260">
        <f t="shared" si="4"/>
        <v>471075</v>
      </c>
      <c r="J21" s="260">
        <f>SUM(J18:J20)</f>
        <v>533083.72</v>
      </c>
      <c r="K21" s="260">
        <f>SUM(K18:K20)</f>
        <v>666580</v>
      </c>
      <c r="L21" s="260">
        <f>SUM(L18:L20)</f>
        <v>723228.8</v>
      </c>
      <c r="M21" s="260">
        <f>SUM(M18:M20)</f>
        <v>835748.1</v>
      </c>
      <c r="N21" s="260">
        <f>SUM(N18:N20)</f>
        <v>1296958</v>
      </c>
      <c r="O21" s="144"/>
    </row>
    <row r="22" spans="1:15" ht="12.75">
      <c r="A22" s="2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99"/>
    </row>
    <row r="23" spans="1:15" ht="12.75">
      <c r="A23" s="24"/>
      <c r="B23" s="40" t="s">
        <v>11</v>
      </c>
      <c r="C23" s="40" t="s">
        <v>11</v>
      </c>
      <c r="D23" s="40" t="s">
        <v>11</v>
      </c>
      <c r="E23" s="40" t="s">
        <v>11</v>
      </c>
      <c r="F23" s="40" t="s">
        <v>11</v>
      </c>
      <c r="G23" s="40" t="s">
        <v>11</v>
      </c>
      <c r="H23" s="40" t="s">
        <v>11</v>
      </c>
      <c r="I23" s="40" t="s">
        <v>11</v>
      </c>
      <c r="J23" s="40" t="s">
        <v>11</v>
      </c>
      <c r="K23" s="40" t="s">
        <v>11</v>
      </c>
      <c r="L23" s="40" t="s">
        <v>11</v>
      </c>
      <c r="M23" s="40" t="s">
        <v>11</v>
      </c>
      <c r="N23" s="40" t="s">
        <v>11</v>
      </c>
      <c r="O23" s="63"/>
    </row>
    <row r="24" spans="1:16" ht="12.75">
      <c r="A24" s="186" t="s">
        <v>348</v>
      </c>
      <c r="B24" s="267">
        <f aca="true" t="shared" si="5" ref="B24:B29">SUM(C24:G24)</f>
        <v>131443</v>
      </c>
      <c r="C24" s="267">
        <f>10772+1032</f>
        <v>11804</v>
      </c>
      <c r="D24" s="267">
        <f>17240+627</f>
        <v>17867</v>
      </c>
      <c r="E24" s="267">
        <f>28541+868</f>
        <v>29409</v>
      </c>
      <c r="F24" s="267">
        <f>34464+820</f>
        <v>35284</v>
      </c>
      <c r="G24" s="267">
        <f>36510+569</f>
        <v>37079</v>
      </c>
      <c r="H24" s="267">
        <f>23503+1645</f>
        <v>25148</v>
      </c>
      <c r="I24" s="267">
        <f>29758+1600</f>
        <v>31358</v>
      </c>
      <c r="J24" s="268">
        <f>22930+1268</f>
        <v>24198</v>
      </c>
      <c r="K24" s="267">
        <f>26497+1071</f>
        <v>27568</v>
      </c>
      <c r="L24" s="267">
        <f>37169+937</f>
        <v>38106</v>
      </c>
      <c r="M24" s="267">
        <f>'Annual Savings'!M79+'Annual Savings'!M82</f>
        <v>44241.8</v>
      </c>
      <c r="N24" s="267">
        <f>'Annual Savings'!N79+'Annual Savings'!N82</f>
        <v>66544.90000000001</v>
      </c>
      <c r="O24" s="144"/>
      <c r="P24" t="s">
        <v>317</v>
      </c>
    </row>
    <row r="25" spans="1:15" ht="12.75">
      <c r="A25" s="186" t="s">
        <v>349</v>
      </c>
      <c r="B25" s="267">
        <f t="shared" si="5"/>
        <v>151121</v>
      </c>
      <c r="C25" s="267">
        <v>6364</v>
      </c>
      <c r="D25" s="267">
        <v>26750</v>
      </c>
      <c r="E25" s="267">
        <v>38155</v>
      </c>
      <c r="F25" s="267">
        <v>43470</v>
      </c>
      <c r="G25" s="267">
        <v>36382</v>
      </c>
      <c r="H25" s="267">
        <v>26301</v>
      </c>
      <c r="I25" s="267">
        <v>17502</v>
      </c>
      <c r="J25" s="267">
        <v>16468</v>
      </c>
      <c r="K25" s="267">
        <v>18781</v>
      </c>
      <c r="L25" s="267">
        <v>24415</v>
      </c>
      <c r="M25" s="267">
        <f>'Annual Savings'!M93</f>
        <v>85424</v>
      </c>
      <c r="N25" s="267">
        <f>'Annual Savings'!N93</f>
        <v>52248</v>
      </c>
      <c r="O25" s="144"/>
    </row>
    <row r="26" spans="1:15" ht="12.75">
      <c r="A26" s="225" t="s">
        <v>90</v>
      </c>
      <c r="B26" s="260">
        <f t="shared" si="5"/>
        <v>282564</v>
      </c>
      <c r="C26" s="260">
        <f>'Annual Savings'!C94</f>
        <v>18168</v>
      </c>
      <c r="D26" s="260">
        <f>'Annual Savings'!D94</f>
        <v>44617</v>
      </c>
      <c r="E26" s="260">
        <f>'Annual Savings'!E94</f>
        <v>67564</v>
      </c>
      <c r="F26" s="260">
        <f>'Annual Savings'!F94</f>
        <v>78754</v>
      </c>
      <c r="G26" s="260">
        <f>'Annual Savings'!G94</f>
        <v>73461</v>
      </c>
      <c r="H26" s="260">
        <f>'Annual Savings'!H94</f>
        <v>51449</v>
      </c>
      <c r="I26" s="260">
        <f>'Annual Savings'!I94</f>
        <v>48860</v>
      </c>
      <c r="J26" s="260">
        <f>'Annual Savings'!J94</f>
        <v>40666</v>
      </c>
      <c r="K26" s="260">
        <f>'Annual Savings'!K94</f>
        <v>46349</v>
      </c>
      <c r="L26" s="260">
        <f>'Annual Savings'!L94</f>
        <v>62520.600000000006</v>
      </c>
      <c r="M26" s="260">
        <f>'Annual Savings'!M94</f>
        <v>129665.8</v>
      </c>
      <c r="N26" s="260">
        <f>'Annual Savings'!N94</f>
        <v>118792.90000000001</v>
      </c>
      <c r="O26" s="144"/>
    </row>
    <row r="27" spans="1:15" ht="12.75">
      <c r="A27" s="189" t="s">
        <v>99</v>
      </c>
      <c r="B27" s="261">
        <f t="shared" si="5"/>
        <v>14523</v>
      </c>
      <c r="C27" s="261">
        <f>'Annual Savings'!C115</f>
        <v>8</v>
      </c>
      <c r="D27" s="261">
        <v>1142</v>
      </c>
      <c r="E27" s="261">
        <v>1743</v>
      </c>
      <c r="F27" s="261">
        <v>2644</v>
      </c>
      <c r="G27" s="261">
        <f>'Annual Savings'!G121</f>
        <v>8986</v>
      </c>
      <c r="H27" s="261">
        <f>'Annual Savings'!H121</f>
        <v>18725</v>
      </c>
      <c r="I27" s="261">
        <f>'Annual Savings'!I121</f>
        <v>28920</v>
      </c>
      <c r="J27" s="261">
        <f>'Annual Savings'!J121</f>
        <v>32805</v>
      </c>
      <c r="K27" s="261">
        <f>'Annual Savings'!K121</f>
        <v>50778</v>
      </c>
      <c r="L27" s="261">
        <f>'Annual Savings'!L121</f>
        <v>183244</v>
      </c>
      <c r="M27" s="261">
        <f>'Annual Savings'!M121</f>
        <v>318387</v>
      </c>
      <c r="N27" s="261">
        <f>'Annual Savings'!N121</f>
        <v>533150</v>
      </c>
      <c r="O27" s="144"/>
    </row>
    <row r="28" spans="1:15" ht="12.75">
      <c r="A28" s="188" t="s">
        <v>59</v>
      </c>
      <c r="B28" s="261">
        <f t="shared" si="5"/>
        <v>140</v>
      </c>
      <c r="C28" s="261">
        <f>'Annual Savings'!C99</f>
        <v>0</v>
      </c>
      <c r="D28" s="261">
        <f>'Annual Savings'!D99</f>
        <v>0</v>
      </c>
      <c r="E28" s="261">
        <f>'Annual Savings'!E99</f>
        <v>0</v>
      </c>
      <c r="F28" s="261">
        <f>'Annual Savings'!F99</f>
        <v>0</v>
      </c>
      <c r="G28" s="261">
        <f>'Annual Savings'!G99</f>
        <v>140</v>
      </c>
      <c r="H28" s="261">
        <f>'Annual Savings'!H99</f>
        <v>3175</v>
      </c>
      <c r="I28" s="261">
        <f>'Annual Savings'!I99</f>
        <v>4925</v>
      </c>
      <c r="J28" s="261">
        <f>'Annual Savings'!J99</f>
        <v>1276</v>
      </c>
      <c r="K28" s="261">
        <f>'Annual Savings'!K99</f>
        <v>4700</v>
      </c>
      <c r="L28" s="261">
        <f>'Annual Savings'!L99</f>
        <v>5535</v>
      </c>
      <c r="M28" s="261">
        <f>'Annual Savings'!M99</f>
        <v>0</v>
      </c>
      <c r="N28" s="261">
        <f>'Annual Savings'!N99</f>
        <v>2000</v>
      </c>
      <c r="O28" s="144"/>
    </row>
    <row r="29" spans="1:15" ht="12.75">
      <c r="A29" s="14" t="s">
        <v>1</v>
      </c>
      <c r="B29" s="260">
        <f t="shared" si="5"/>
        <v>297227</v>
      </c>
      <c r="C29" s="260">
        <f aca="true" t="shared" si="6" ref="C29:J29">SUM(C26:C28)</f>
        <v>18176</v>
      </c>
      <c r="D29" s="260">
        <f t="shared" si="6"/>
        <v>45759</v>
      </c>
      <c r="E29" s="260">
        <f t="shared" si="6"/>
        <v>69307</v>
      </c>
      <c r="F29" s="260">
        <f t="shared" si="6"/>
        <v>81398</v>
      </c>
      <c r="G29" s="260">
        <f t="shared" si="6"/>
        <v>82587</v>
      </c>
      <c r="H29" s="260">
        <f t="shared" si="6"/>
        <v>73349</v>
      </c>
      <c r="I29" s="260">
        <f t="shared" si="6"/>
        <v>82705</v>
      </c>
      <c r="J29" s="260">
        <f t="shared" si="6"/>
        <v>74747</v>
      </c>
      <c r="K29" s="260">
        <f>SUM(K26:K28)</f>
        <v>101827</v>
      </c>
      <c r="L29" s="260">
        <f>SUM(L26:L28)</f>
        <v>251299.6</v>
      </c>
      <c r="M29" s="260">
        <f>SUM(M26:M28)</f>
        <v>448052.8</v>
      </c>
      <c r="N29" s="260">
        <f>SUM(N26:N28)</f>
        <v>653942.9</v>
      </c>
      <c r="O29" s="144"/>
    </row>
    <row r="30" spans="1:15" ht="12.75">
      <c r="A30" s="2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99"/>
    </row>
    <row r="31" spans="1:15" ht="12.75">
      <c r="A31" s="24"/>
      <c r="B31" s="40" t="s">
        <v>13</v>
      </c>
      <c r="C31" s="40" t="s">
        <v>13</v>
      </c>
      <c r="D31" s="40" t="s">
        <v>13</v>
      </c>
      <c r="E31" s="40" t="s">
        <v>13</v>
      </c>
      <c r="F31" s="40" t="s">
        <v>13</v>
      </c>
      <c r="G31" s="40" t="s">
        <v>13</v>
      </c>
      <c r="H31" s="40" t="s">
        <v>13</v>
      </c>
      <c r="I31" s="40" t="s">
        <v>13</v>
      </c>
      <c r="J31" s="40" t="s">
        <v>13</v>
      </c>
      <c r="K31" s="40" t="s">
        <v>13</v>
      </c>
      <c r="L31" s="40" t="s">
        <v>13</v>
      </c>
      <c r="M31" s="40" t="s">
        <v>13</v>
      </c>
      <c r="N31" s="40" t="s">
        <v>13</v>
      </c>
      <c r="O31" s="63"/>
    </row>
    <row r="32" spans="1:16" ht="12.75">
      <c r="A32" s="189" t="s">
        <v>348</v>
      </c>
      <c r="B32" s="265">
        <f>SUM(C32:G32)</f>
        <v>1637075</v>
      </c>
      <c r="C32" s="265">
        <f>117568+91776</f>
        <v>209344</v>
      </c>
      <c r="D32" s="265">
        <f>227984+73523</f>
        <v>301507</v>
      </c>
      <c r="E32" s="265">
        <f>255814+65035</f>
        <v>320849</v>
      </c>
      <c r="F32" s="265">
        <f>318695+59420</f>
        <v>378115</v>
      </c>
      <c r="G32" s="265">
        <f>378527+48733</f>
        <v>427260</v>
      </c>
      <c r="H32" s="265">
        <f>395823+42526</f>
        <v>438349</v>
      </c>
      <c r="I32" s="265">
        <f>364643+48101</f>
        <v>412744</v>
      </c>
      <c r="J32" s="265">
        <f>300732+73535</f>
        <v>374267</v>
      </c>
      <c r="K32" s="265">
        <f>325806+80504</f>
        <v>406310</v>
      </c>
      <c r="L32" s="265">
        <f>438789+65642</f>
        <v>504431</v>
      </c>
      <c r="M32" s="265">
        <f>'Annual Savings'!M46+'Annual Savings'!M49</f>
        <v>615123.95</v>
      </c>
      <c r="N32" s="265">
        <f>'Annual Savings'!N46+'Annual Savings'!N49</f>
        <v>666430</v>
      </c>
      <c r="O32" s="144"/>
      <c r="P32" t="s">
        <v>317</v>
      </c>
    </row>
    <row r="33" spans="1:15" ht="12.75">
      <c r="A33" s="189" t="s">
        <v>349</v>
      </c>
      <c r="B33" s="265">
        <f>SUM(C33:G33)</f>
        <v>406081</v>
      </c>
      <c r="C33" s="265">
        <v>33802</v>
      </c>
      <c r="D33" s="265">
        <v>37665</v>
      </c>
      <c r="E33" s="265">
        <v>89969</v>
      </c>
      <c r="F33" s="265">
        <v>54644</v>
      </c>
      <c r="G33" s="265">
        <v>190001</v>
      </c>
      <c r="H33" s="265">
        <v>201830</v>
      </c>
      <c r="I33" s="265">
        <v>566918</v>
      </c>
      <c r="J33" s="265">
        <v>115457</v>
      </c>
      <c r="K33" s="265">
        <v>230033</v>
      </c>
      <c r="L33" s="265">
        <v>430395</v>
      </c>
      <c r="M33" s="265">
        <f>'Annual Savings'!M61</f>
        <v>167433</v>
      </c>
      <c r="N33" s="265">
        <f>'Annual Savings'!N61</f>
        <v>562775</v>
      </c>
      <c r="O33" s="144"/>
    </row>
    <row r="34" spans="1:15" ht="12.75">
      <c r="A34" s="225" t="s">
        <v>90</v>
      </c>
      <c r="B34" s="260">
        <f>SUM(C34:G34)</f>
        <v>2043156</v>
      </c>
      <c r="C34" s="260">
        <f>'Annual Savings'!C62</f>
        <v>243146</v>
      </c>
      <c r="D34" s="260">
        <f>'Annual Savings'!D62</f>
        <v>339172</v>
      </c>
      <c r="E34" s="260">
        <f>'Annual Savings'!E62</f>
        <v>410818</v>
      </c>
      <c r="F34" s="260">
        <f>'Annual Savings'!F62</f>
        <v>432759</v>
      </c>
      <c r="G34" s="260">
        <f>'Annual Savings'!G62</f>
        <v>617261</v>
      </c>
      <c r="H34" s="260">
        <f>'Annual Savings'!H62</f>
        <v>640179</v>
      </c>
      <c r="I34" s="260">
        <f>'Annual Savings'!I62</f>
        <v>979662</v>
      </c>
      <c r="J34" s="260">
        <f>'Annual Savings'!J62</f>
        <v>489724</v>
      </c>
      <c r="K34" s="260">
        <f>'Annual Savings'!K62</f>
        <v>636343</v>
      </c>
      <c r="L34" s="260">
        <f>'Annual Savings'!L62</f>
        <v>934826</v>
      </c>
      <c r="M34" s="260">
        <f>SUM(M32:M33)</f>
        <v>782556.95</v>
      </c>
      <c r="N34" s="260">
        <f>SUM(N32:N33)</f>
        <v>1229205</v>
      </c>
      <c r="O34" s="14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75"/>
    </row>
    <row r="36" spans="1:15" ht="12.75">
      <c r="A36" s="30" t="s">
        <v>371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75"/>
    </row>
    <row r="37" spans="1:15" ht="25.5">
      <c r="A37" s="24"/>
      <c r="B37" s="207" t="str">
        <f>B4</f>
        <v>Summary 
2001 to 2005*</v>
      </c>
      <c r="C37" s="28">
        <v>2001</v>
      </c>
      <c r="D37" s="28">
        <v>2002</v>
      </c>
      <c r="E37" s="28">
        <v>2003</v>
      </c>
      <c r="F37" s="28">
        <v>2004</v>
      </c>
      <c r="G37" s="28">
        <v>2005</v>
      </c>
      <c r="H37" s="28">
        <v>2006</v>
      </c>
      <c r="I37" s="28">
        <v>2007</v>
      </c>
      <c r="J37" s="28">
        <v>2008</v>
      </c>
      <c r="K37" s="28">
        <v>2009</v>
      </c>
      <c r="L37" s="28">
        <v>2010</v>
      </c>
      <c r="M37" s="28">
        <v>2011</v>
      </c>
      <c r="N37" s="207" t="str">
        <f>N4</f>
        <v>(18 month)1
2012-2013</v>
      </c>
      <c r="O37" s="227" t="s">
        <v>425</v>
      </c>
    </row>
    <row r="38" spans="1:15" ht="12.75">
      <c r="A38" s="30"/>
      <c r="B38" s="40" t="s">
        <v>8</v>
      </c>
      <c r="C38" s="40" t="s">
        <v>8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0" t="s">
        <v>8</v>
      </c>
      <c r="K38" s="40" t="s">
        <v>8</v>
      </c>
      <c r="L38" s="40" t="s">
        <v>8</v>
      </c>
      <c r="M38" s="40" t="s">
        <v>8</v>
      </c>
      <c r="N38" s="40" t="s">
        <v>8</v>
      </c>
      <c r="O38" s="63" t="s">
        <v>8</v>
      </c>
    </row>
    <row r="39" spans="1:16" ht="12.75">
      <c r="A39" s="186" t="s">
        <v>348</v>
      </c>
      <c r="B39" s="268">
        <f aca="true" t="shared" si="7" ref="B39:B44">SUM(C39:G39)</f>
        <v>3738415</v>
      </c>
      <c r="C39" s="267">
        <f>185730+147716</f>
        <v>333446</v>
      </c>
      <c r="D39" s="267">
        <f>300777+83203</f>
        <v>383980</v>
      </c>
      <c r="E39" s="267">
        <f>688116+106522</f>
        <v>794638</v>
      </c>
      <c r="F39" s="267">
        <f>1127434+119538</f>
        <v>1246972</v>
      </c>
      <c r="G39" s="267">
        <f>885413+93966</f>
        <v>979379</v>
      </c>
      <c r="H39" s="267">
        <f>272454+177208</f>
        <v>449662</v>
      </c>
      <c r="I39" s="267">
        <f>1058002+191930</f>
        <v>1249932</v>
      </c>
      <c r="J39" s="268">
        <f>1573613+66525</f>
        <v>1640138</v>
      </c>
      <c r="K39" s="268">
        <f>2492927+68712</f>
        <v>2561639</v>
      </c>
      <c r="L39" s="268">
        <f>1616034+64804</f>
        <v>1680838</v>
      </c>
      <c r="M39" s="268">
        <f>'Lifetime Savings'!M16+'Lifetime Savings'!M19</f>
        <v>2136151.3</v>
      </c>
      <c r="N39" s="268">
        <f>'Lifetime Savings'!N16+'Lifetime Savings'!N19</f>
        <v>2978347.2</v>
      </c>
      <c r="O39" s="267">
        <f aca="true" t="shared" si="8" ref="O39:O44">SUM(C39:N39)</f>
        <v>16435122.5</v>
      </c>
      <c r="P39" t="s">
        <v>317</v>
      </c>
    </row>
    <row r="40" spans="1:15" ht="12.75">
      <c r="A40" s="186" t="s">
        <v>349</v>
      </c>
      <c r="B40" s="267">
        <f t="shared" si="7"/>
        <v>11138296</v>
      </c>
      <c r="C40" s="267">
        <v>464149</v>
      </c>
      <c r="D40" s="267">
        <v>2164648</v>
      </c>
      <c r="E40" s="267">
        <v>2944525</v>
      </c>
      <c r="F40" s="267">
        <v>3061799</v>
      </c>
      <c r="G40" s="267">
        <v>2503175</v>
      </c>
      <c r="H40" s="267">
        <v>1486128</v>
      </c>
      <c r="I40" s="267">
        <v>1395771</v>
      </c>
      <c r="J40" s="267">
        <v>1520141</v>
      </c>
      <c r="K40" s="267">
        <v>1424842</v>
      </c>
      <c r="L40" s="267">
        <v>1733513</v>
      </c>
      <c r="M40" s="267">
        <f>'Lifetime Savings'!M30</f>
        <v>2744834</v>
      </c>
      <c r="N40" s="267">
        <f>'Lifetime Savings'!N30</f>
        <v>3852123</v>
      </c>
      <c r="O40" s="267">
        <f t="shared" si="8"/>
        <v>25295648</v>
      </c>
    </row>
    <row r="41" spans="1:15" ht="12.75">
      <c r="A41" s="14" t="s">
        <v>90</v>
      </c>
      <c r="B41" s="260">
        <f t="shared" si="7"/>
        <v>14876711</v>
      </c>
      <c r="C41" s="260">
        <f>'Lifetime Savings'!C33</f>
        <v>797595</v>
      </c>
      <c r="D41" s="260">
        <f>'Lifetime Savings'!D33</f>
        <v>2548628</v>
      </c>
      <c r="E41" s="260">
        <f>'Lifetime Savings'!E33</f>
        <v>3739163</v>
      </c>
      <c r="F41" s="260">
        <f>'Lifetime Savings'!F33</f>
        <v>4308771</v>
      </c>
      <c r="G41" s="260">
        <f>'Lifetime Savings'!G33</f>
        <v>3482554</v>
      </c>
      <c r="H41" s="260">
        <f>'Lifetime Savings'!H33</f>
        <v>1935790</v>
      </c>
      <c r="I41" s="260">
        <f>'Lifetime Savings'!I33</f>
        <v>2645703</v>
      </c>
      <c r="J41" s="260">
        <f>'Lifetime Savings'!J33</f>
        <v>3160279</v>
      </c>
      <c r="K41" s="260">
        <f>'Lifetime Savings'!K33</f>
        <v>3986481</v>
      </c>
      <c r="L41" s="260">
        <f>'Lifetime Savings'!L33</f>
        <v>3414351.2</v>
      </c>
      <c r="M41" s="260">
        <f>SUM(M39:M40)</f>
        <v>4880985.3</v>
      </c>
      <c r="N41" s="260">
        <f>SUM(N39:N40)</f>
        <v>6830470.2</v>
      </c>
      <c r="O41" s="269">
        <f t="shared" si="8"/>
        <v>41730770.7</v>
      </c>
    </row>
    <row r="42" spans="1:15" ht="12.75">
      <c r="A42" s="188" t="s">
        <v>99</v>
      </c>
      <c r="B42" s="261">
        <f t="shared" si="7"/>
        <v>788399</v>
      </c>
      <c r="C42" s="261">
        <f>'Lifetime Savings'!C60</f>
        <v>173</v>
      </c>
      <c r="D42" s="261">
        <f>'Lifetime Savings'!D60</f>
        <v>56330</v>
      </c>
      <c r="E42" s="261">
        <f>'Lifetime Savings'!E60</f>
        <v>109981</v>
      </c>
      <c r="F42" s="261">
        <f>'Lifetime Savings'!F60</f>
        <v>82996</v>
      </c>
      <c r="G42" s="261">
        <f>'Lifetime Savings'!G65</f>
        <v>538919</v>
      </c>
      <c r="H42" s="261">
        <f>'Lifetime Savings'!H65</f>
        <v>449400</v>
      </c>
      <c r="I42" s="261">
        <f>'Lifetime Savings'!I65</f>
        <v>966155</v>
      </c>
      <c r="J42" s="261">
        <f>'Lifetime Savings'!J65</f>
        <v>1994960</v>
      </c>
      <c r="K42" s="261">
        <f>'Lifetime Savings'!K65</f>
        <v>1356920</v>
      </c>
      <c r="L42" s="261">
        <f>'Lifetime Savings'!L65</f>
        <v>4851133</v>
      </c>
      <c r="M42" s="261">
        <f>'Lifetime Savings'!M65</f>
        <v>7641312</v>
      </c>
      <c r="N42" s="261">
        <f>'Lifetime Savings'!N65</f>
        <v>12812718</v>
      </c>
      <c r="O42" s="267">
        <f t="shared" si="8"/>
        <v>30860997</v>
      </c>
    </row>
    <row r="43" spans="1:15" ht="12.75">
      <c r="A43" s="188" t="s">
        <v>59</v>
      </c>
      <c r="B43" s="261">
        <f t="shared" si="7"/>
        <v>11498</v>
      </c>
      <c r="C43" s="261">
        <f>'Lifetime Savings'!C70</f>
        <v>0</v>
      </c>
      <c r="D43" s="261">
        <f>'Lifetime Savings'!D70</f>
        <v>0</v>
      </c>
      <c r="E43" s="261">
        <f>'Lifetime Savings'!E70</f>
        <v>0</v>
      </c>
      <c r="F43" s="261">
        <f>'Lifetime Savings'!F70</f>
        <v>0</v>
      </c>
      <c r="G43" s="261">
        <f>'Lifetime Savings'!G70</f>
        <v>11498</v>
      </c>
      <c r="H43" s="261">
        <f>'Lifetime Savings'!H70</f>
        <v>112759</v>
      </c>
      <c r="I43" s="261">
        <f>'Lifetime Savings'!I70</f>
        <v>1225505</v>
      </c>
      <c r="J43" s="261">
        <f>'Lifetime Savings'!J70</f>
        <v>109364</v>
      </c>
      <c r="K43" s="261">
        <f>'Lifetime Savings'!K70</f>
        <v>423802</v>
      </c>
      <c r="L43" s="261">
        <f>'Lifetime Savings'!L70</f>
        <v>524075</v>
      </c>
      <c r="M43" s="261">
        <f>'Lifetime Savings'!M70</f>
        <v>0</v>
      </c>
      <c r="N43" s="261">
        <f>'Lifetime Savings'!N70</f>
        <v>210240</v>
      </c>
      <c r="O43" s="267">
        <f t="shared" si="8"/>
        <v>2617243</v>
      </c>
    </row>
    <row r="44" spans="1:15" ht="12.75">
      <c r="A44" s="14" t="s">
        <v>1</v>
      </c>
      <c r="B44" s="260">
        <f t="shared" si="7"/>
        <v>15676608</v>
      </c>
      <c r="C44" s="260">
        <f aca="true" t="shared" si="9" ref="C44:I44">SUM(C41:C43)</f>
        <v>797768</v>
      </c>
      <c r="D44" s="260">
        <f t="shared" si="9"/>
        <v>2604958</v>
      </c>
      <c r="E44" s="260">
        <f t="shared" si="9"/>
        <v>3849144</v>
      </c>
      <c r="F44" s="260">
        <f t="shared" si="9"/>
        <v>4391767</v>
      </c>
      <c r="G44" s="260">
        <f t="shared" si="9"/>
        <v>4032971</v>
      </c>
      <c r="H44" s="260">
        <f t="shared" si="9"/>
        <v>2497949</v>
      </c>
      <c r="I44" s="260">
        <f t="shared" si="9"/>
        <v>4837363</v>
      </c>
      <c r="J44" s="260">
        <f>SUM(J41:J43)</f>
        <v>5264603</v>
      </c>
      <c r="K44" s="260">
        <f>SUM(K41:K43)</f>
        <v>5767203</v>
      </c>
      <c r="L44" s="260">
        <f>SUM(L41:L43)</f>
        <v>8789559.2</v>
      </c>
      <c r="M44" s="260">
        <f>SUM(M41:M43)</f>
        <v>12522297.3</v>
      </c>
      <c r="N44" s="260">
        <f>SUM(N41:N43)</f>
        <v>19853428.2</v>
      </c>
      <c r="O44" s="269">
        <f t="shared" si="8"/>
        <v>75209010.7</v>
      </c>
    </row>
    <row r="45" spans="1:15" ht="12.75">
      <c r="A45" s="24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99"/>
    </row>
    <row r="46" spans="1:15" ht="12.75">
      <c r="A46" s="24"/>
      <c r="B46" s="40" t="s">
        <v>13</v>
      </c>
      <c r="C46" s="40" t="s">
        <v>13</v>
      </c>
      <c r="D46" s="40" t="s">
        <v>13</v>
      </c>
      <c r="E46" s="40" t="s">
        <v>13</v>
      </c>
      <c r="F46" s="40" t="s">
        <v>13</v>
      </c>
      <c r="G46" s="40" t="s">
        <v>13</v>
      </c>
      <c r="H46" s="40" t="s">
        <v>13</v>
      </c>
      <c r="I46" s="40" t="s">
        <v>13</v>
      </c>
      <c r="J46" s="40" t="s">
        <v>13</v>
      </c>
      <c r="K46" s="40" t="s">
        <v>13</v>
      </c>
      <c r="L46" s="40" t="s">
        <v>13</v>
      </c>
      <c r="M46" s="40" t="s">
        <v>13</v>
      </c>
      <c r="N46" s="40" t="s">
        <v>13</v>
      </c>
      <c r="O46" s="63" t="s">
        <v>13</v>
      </c>
    </row>
    <row r="47" spans="1:16" ht="12.75">
      <c r="A47" s="186" t="s">
        <v>348</v>
      </c>
      <c r="B47" s="267">
        <f>SUM(C47:G47)</f>
        <v>31941952</v>
      </c>
      <c r="C47" s="267">
        <f>2351372+1835511</f>
        <v>4186883</v>
      </c>
      <c r="D47" s="267">
        <f>4559679+1470460</f>
        <v>6030139</v>
      </c>
      <c r="E47" s="267">
        <f>4910919+1284711</f>
        <v>6195630</v>
      </c>
      <c r="F47" s="267">
        <f>6104981+1183165</f>
        <v>7288146</v>
      </c>
      <c r="G47" s="268">
        <f>7285164+955990</f>
        <v>8241154</v>
      </c>
      <c r="H47" s="268">
        <f>5288268+703101</f>
        <v>5991369</v>
      </c>
      <c r="I47" s="268">
        <f>5807302+932511</f>
        <v>6739813</v>
      </c>
      <c r="J47" s="267">
        <f>5857869+1054201</f>
        <v>6912070</v>
      </c>
      <c r="K47" s="267">
        <f>6482705+1105591</f>
        <v>7588296</v>
      </c>
      <c r="L47" s="267">
        <f>8845599+883182</f>
        <v>9728781</v>
      </c>
      <c r="M47" s="267">
        <f>'Lifetime Savings'!M40+'Lifetime Savings'!M43</f>
        <v>11855780.84</v>
      </c>
      <c r="N47" s="267">
        <f>'Lifetime Savings'!N40+'Lifetime Savings'!N43</f>
        <v>12795357</v>
      </c>
      <c r="O47" s="267">
        <f>SUM(C47:N47)</f>
        <v>93553418.84</v>
      </c>
      <c r="P47" t="s">
        <v>317</v>
      </c>
    </row>
    <row r="48" spans="1:15" ht="12.75">
      <c r="A48" s="186" t="s">
        <v>349</v>
      </c>
      <c r="B48" s="267">
        <f>SUM(C48:G48)</f>
        <v>6885363</v>
      </c>
      <c r="C48" s="267">
        <v>616099</v>
      </c>
      <c r="D48" s="267">
        <v>502563</v>
      </c>
      <c r="E48" s="267">
        <v>1510800</v>
      </c>
      <c r="F48" s="267">
        <v>819655</v>
      </c>
      <c r="G48" s="267">
        <v>3436246</v>
      </c>
      <c r="H48" s="267">
        <v>3145861</v>
      </c>
      <c r="I48" s="267">
        <v>6992671</v>
      </c>
      <c r="J48" s="267">
        <v>1659156</v>
      </c>
      <c r="K48" s="267">
        <v>2935762</v>
      </c>
      <c r="L48" s="267">
        <v>6746947</v>
      </c>
      <c r="M48" s="267">
        <f>'Lifetime Savings'!M54</f>
        <v>2637393</v>
      </c>
      <c r="N48" s="267">
        <f>'Lifetime Savings'!N54</f>
        <v>9648043</v>
      </c>
      <c r="O48" s="267">
        <f>SUM(C48:N48)</f>
        <v>40651196</v>
      </c>
    </row>
    <row r="49" spans="1:15" ht="12.75">
      <c r="A49" s="225" t="s">
        <v>90</v>
      </c>
      <c r="B49" s="260">
        <f>SUM(C49:G49)</f>
        <v>38827315</v>
      </c>
      <c r="C49" s="260">
        <f>'Lifetime Savings'!C55</f>
        <v>4802982</v>
      </c>
      <c r="D49" s="260">
        <f>'Lifetime Savings'!D55</f>
        <v>6532702</v>
      </c>
      <c r="E49" s="260">
        <f>'Lifetime Savings'!E55</f>
        <v>7706430</v>
      </c>
      <c r="F49" s="260">
        <f>'Lifetime Savings'!F55</f>
        <v>8107801</v>
      </c>
      <c r="G49" s="260">
        <f>'Lifetime Savings'!G55</f>
        <v>11677400</v>
      </c>
      <c r="H49" s="260">
        <f>'Lifetime Savings'!H55</f>
        <v>9137230</v>
      </c>
      <c r="I49" s="260">
        <f>'Lifetime Savings'!I55</f>
        <v>13732484</v>
      </c>
      <c r="J49" s="260">
        <f>'Lifetime Savings'!J55</f>
        <v>8571226</v>
      </c>
      <c r="K49" s="260">
        <f>'Lifetime Savings'!K55</f>
        <v>10524058</v>
      </c>
      <c r="L49" s="260">
        <f>'Lifetime Savings'!L55</f>
        <v>16475728</v>
      </c>
      <c r="M49" s="260">
        <f>SUM(M47:M48)</f>
        <v>14493173.84</v>
      </c>
      <c r="N49" s="260">
        <f>SUM(N47:N48)</f>
        <v>22443400</v>
      </c>
      <c r="O49" s="269">
        <f>SUM(C49:N49)</f>
        <v>134204614.84</v>
      </c>
    </row>
    <row r="50" spans="1:2" ht="12.75">
      <c r="A50" s="2" t="s">
        <v>356</v>
      </c>
      <c r="B50" s="228"/>
    </row>
    <row r="53" ht="14.25">
      <c r="A53" s="88" t="s">
        <v>438</v>
      </c>
    </row>
  </sheetData>
  <sheetProtection/>
  <mergeCells count="2">
    <mergeCell ref="A1:O1"/>
    <mergeCell ref="A2:O2"/>
  </mergeCells>
  <printOptions/>
  <pageMargins left="0.55" right="0.57" top="0.7" bottom="0.74" header="0.5" footer="0.27"/>
  <pageSetup fitToHeight="1" fitToWidth="1" horizontalDpi="600" verticalDpi="600" orientation="landscape" scale="79" r:id="rId1"/>
  <headerFooter scaleWithDoc="0" alignWithMargins="0">
    <oddFooter>&amp;L&amp;8New Jersey's Clean Energy Program
Results by Program Year&amp;C&amp;8&amp;A&amp;R&amp;8printed &amp;D at &amp;T</oddFooter>
  </headerFooter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U61"/>
  <sheetViews>
    <sheetView showGridLines="0" zoomScalePageLayoutView="0" workbookViewId="0" topLeftCell="A1">
      <selection activeCell="A1" sqref="A1:I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8" width="14.421875" style="6" bestFit="1" customWidth="1"/>
    <col min="9" max="9" width="15.421875" style="6" bestFit="1" customWidth="1"/>
    <col min="10" max="16384" width="10.7109375" style="6" customWidth="1"/>
  </cols>
  <sheetData>
    <row r="1" spans="1:9" ht="15.75">
      <c r="A1" s="382" t="s">
        <v>404</v>
      </c>
      <c r="B1" s="383"/>
      <c r="C1" s="383"/>
      <c r="D1" s="383"/>
      <c r="E1" s="383"/>
      <c r="F1" s="383"/>
      <c r="G1" s="383"/>
      <c r="H1" s="383"/>
      <c r="I1" s="383"/>
    </row>
    <row r="2" ht="12.75">
      <c r="A2" s="40"/>
    </row>
    <row r="3" spans="1:9" ht="25.5">
      <c r="A3" s="30" t="s">
        <v>255</v>
      </c>
      <c r="B3" s="28">
        <v>2006</v>
      </c>
      <c r="C3" s="28">
        <v>2007</v>
      </c>
      <c r="D3" s="28">
        <v>2008</v>
      </c>
      <c r="E3" s="28">
        <v>2009</v>
      </c>
      <c r="F3" s="28">
        <v>2010</v>
      </c>
      <c r="G3" s="28">
        <v>2011</v>
      </c>
      <c r="H3" s="207" t="s">
        <v>423</v>
      </c>
      <c r="I3" s="207" t="s">
        <v>428</v>
      </c>
    </row>
    <row r="4" spans="1:10" ht="12.75">
      <c r="A4" s="16"/>
      <c r="B4" s="293"/>
      <c r="C4" s="293">
        <f>7368*1000</f>
        <v>7368000</v>
      </c>
      <c r="D4" s="293">
        <f>9829*1000</f>
        <v>9829000</v>
      </c>
      <c r="E4" s="293">
        <v>23652926.69</v>
      </c>
      <c r="F4" s="293">
        <v>58782277.65</v>
      </c>
      <c r="G4" s="293">
        <v>29760156.05</v>
      </c>
      <c r="H4" s="294">
        <v>44008734.71</v>
      </c>
      <c r="I4" s="293">
        <f>SUM(B4:H4)</f>
        <v>173401095.1</v>
      </c>
      <c r="J4" s="12"/>
    </row>
    <row r="5" spans="1:12" ht="12.75">
      <c r="A5" s="21"/>
      <c r="B5" s="122"/>
      <c r="C5" s="122"/>
      <c r="D5" s="122"/>
      <c r="E5" s="122"/>
      <c r="F5" s="122"/>
      <c r="G5" s="122"/>
      <c r="H5" s="122"/>
      <c r="I5" s="122"/>
      <c r="J5" s="3"/>
      <c r="K5" s="3"/>
      <c r="L5" s="3"/>
    </row>
    <row r="6" spans="1:12" ht="12.75">
      <c r="A6" s="30" t="s">
        <v>256</v>
      </c>
      <c r="B6" s="122"/>
      <c r="C6" s="122"/>
      <c r="D6" s="122"/>
      <c r="E6" s="122"/>
      <c r="F6" s="122"/>
      <c r="G6" s="122"/>
      <c r="H6" s="122"/>
      <c r="I6" s="122"/>
      <c r="J6" s="3"/>
      <c r="K6" s="3"/>
      <c r="L6" s="3"/>
    </row>
    <row r="7" spans="1:10" s="3" customFormat="1" ht="12.75">
      <c r="A7" s="16"/>
      <c r="B7" s="121"/>
      <c r="C7" s="293">
        <f>3441*1000</f>
        <v>3441000</v>
      </c>
      <c r="D7" s="293">
        <f>5002*1000</f>
        <v>5002000</v>
      </c>
      <c r="E7" s="293">
        <v>10248143.7</v>
      </c>
      <c r="F7" s="293">
        <v>41380830.32</v>
      </c>
      <c r="G7" s="293">
        <v>15266819.3</v>
      </c>
      <c r="H7" s="294">
        <v>35243215.71</v>
      </c>
      <c r="I7" s="293">
        <f>SUM(B7:H7)</f>
        <v>110582009.03</v>
      </c>
      <c r="J7" s="4"/>
    </row>
    <row r="8" spans="1:9" s="3" customFormat="1" ht="12.75">
      <c r="A8" s="21"/>
      <c r="B8" s="40"/>
      <c r="C8" s="40"/>
      <c r="D8" s="40"/>
      <c r="E8" s="40"/>
      <c r="F8" s="40"/>
      <c r="G8" s="40"/>
      <c r="H8" s="40"/>
      <c r="I8" s="40"/>
    </row>
    <row r="9" spans="1:9" s="3" customFormat="1" ht="12.75">
      <c r="A9" s="43"/>
      <c r="B9" s="44"/>
      <c r="C9" s="44"/>
      <c r="D9" s="44"/>
      <c r="E9" s="44"/>
      <c r="F9" s="44"/>
      <c r="G9" s="44"/>
      <c r="H9" s="44"/>
      <c r="I9" s="44"/>
    </row>
    <row r="10" spans="1:9" s="3" customFormat="1" ht="12.75">
      <c r="A10" s="43" t="s">
        <v>409</v>
      </c>
      <c r="B10" s="44"/>
      <c r="C10" s="44"/>
      <c r="D10" s="44"/>
      <c r="E10" s="44"/>
      <c r="F10" s="44"/>
      <c r="G10" s="44"/>
      <c r="H10" s="44"/>
      <c r="I10" s="44"/>
    </row>
    <row r="11" spans="1:9" s="3" customFormat="1" ht="12.75">
      <c r="A11" s="188" t="s">
        <v>262</v>
      </c>
      <c r="B11" s="265"/>
      <c r="C11" s="265"/>
      <c r="D11" s="265"/>
      <c r="E11" s="265"/>
      <c r="F11" s="267"/>
      <c r="G11" s="267"/>
      <c r="H11" s="267"/>
      <c r="I11" s="265"/>
    </row>
    <row r="12" spans="1:10" s="3" customFormat="1" ht="12.75">
      <c r="A12" s="188" t="s">
        <v>325</v>
      </c>
      <c r="B12" s="265"/>
      <c r="C12" s="265"/>
      <c r="D12" s="265"/>
      <c r="E12" s="265"/>
      <c r="F12" s="267"/>
      <c r="G12" s="267">
        <v>360</v>
      </c>
      <c r="H12" s="267">
        <v>352</v>
      </c>
      <c r="I12" s="265"/>
      <c r="J12" s="7"/>
    </row>
    <row r="13" spans="1:9" s="3" customFormat="1" ht="12.75">
      <c r="A13" s="188" t="s">
        <v>379</v>
      </c>
      <c r="B13" s="265"/>
      <c r="C13" s="265"/>
      <c r="D13" s="265"/>
      <c r="E13" s="265"/>
      <c r="F13" s="265"/>
      <c r="G13" s="265">
        <v>2515</v>
      </c>
      <c r="H13" s="267">
        <v>6209</v>
      </c>
      <c r="I13" s="265"/>
    </row>
    <row r="14" spans="1:9" s="3" customFormat="1" ht="12.75">
      <c r="A14" s="16" t="s">
        <v>1</v>
      </c>
      <c r="B14" s="278"/>
      <c r="C14" s="278"/>
      <c r="D14" s="278">
        <v>94</v>
      </c>
      <c r="E14" s="278"/>
      <c r="F14" s="278" t="s">
        <v>103</v>
      </c>
      <c r="G14" s="278">
        <f>SUM(G11:G13)</f>
        <v>2875</v>
      </c>
      <c r="H14" s="278">
        <f>SUM(H11:H13)</f>
        <v>6561</v>
      </c>
      <c r="I14" s="278">
        <f>SUM(B14:H14)</f>
        <v>9530</v>
      </c>
    </row>
    <row r="15" spans="1:9" s="3" customFormat="1" ht="12.75">
      <c r="A15" s="43"/>
      <c r="B15" s="280"/>
      <c r="C15" s="280"/>
      <c r="D15" s="280"/>
      <c r="E15" s="280"/>
      <c r="F15" s="280"/>
      <c r="G15" s="280"/>
      <c r="H15" s="280"/>
      <c r="I15" s="280"/>
    </row>
    <row r="16" spans="1:9" s="3" customFormat="1" ht="12.75">
      <c r="A16" s="43" t="s">
        <v>410</v>
      </c>
      <c r="B16" s="44"/>
      <c r="C16" s="44"/>
      <c r="D16" s="44"/>
      <c r="E16" s="44"/>
      <c r="F16" s="44"/>
      <c r="G16" s="44"/>
      <c r="H16" s="44"/>
      <c r="I16" s="44"/>
    </row>
    <row r="17" spans="1:10" s="3" customFormat="1" ht="12.75">
      <c r="A17" s="188" t="s">
        <v>262</v>
      </c>
      <c r="B17" s="265"/>
      <c r="C17" s="265"/>
      <c r="D17" s="265"/>
      <c r="E17" s="265">
        <v>2170</v>
      </c>
      <c r="F17" s="267"/>
      <c r="G17" s="267"/>
      <c r="H17" s="267"/>
      <c r="I17" s="265"/>
      <c r="J17" s="132" t="s">
        <v>365</v>
      </c>
    </row>
    <row r="18" spans="1:10" s="3" customFormat="1" ht="12.75">
      <c r="A18" s="188" t="s">
        <v>325</v>
      </c>
      <c r="B18" s="265"/>
      <c r="C18" s="265"/>
      <c r="D18" s="265"/>
      <c r="E18" s="265"/>
      <c r="F18" s="267"/>
      <c r="G18" s="267">
        <v>296</v>
      </c>
      <c r="H18" s="267">
        <v>282</v>
      </c>
      <c r="I18" s="265"/>
      <c r="J18" s="132"/>
    </row>
    <row r="19" spans="1:10" s="3" customFormat="1" ht="12.75">
      <c r="A19" s="188" t="s">
        <v>379</v>
      </c>
      <c r="B19" s="265"/>
      <c r="C19" s="265"/>
      <c r="D19" s="265"/>
      <c r="E19" s="265">
        <v>1140</v>
      </c>
      <c r="F19" s="265">
        <v>3245</v>
      </c>
      <c r="G19" s="265">
        <v>2288</v>
      </c>
      <c r="H19" s="267">
        <v>5490</v>
      </c>
      <c r="I19" s="265"/>
      <c r="J19" s="7"/>
    </row>
    <row r="20" spans="1:9" s="3" customFormat="1" ht="12.75">
      <c r="A20" s="16" t="s">
        <v>1</v>
      </c>
      <c r="B20" s="278">
        <v>3</v>
      </c>
      <c r="C20" s="278">
        <v>20</v>
      </c>
      <c r="D20" s="278">
        <v>163</v>
      </c>
      <c r="E20" s="278">
        <f>SUM(E17:E19)</f>
        <v>3310</v>
      </c>
      <c r="F20" s="278">
        <f>SUM(F17:F19)</f>
        <v>3245</v>
      </c>
      <c r="G20" s="278">
        <f>SUM(G17:G19)</f>
        <v>2584</v>
      </c>
      <c r="H20" s="278">
        <f>SUM(H17:H19)</f>
        <v>5772</v>
      </c>
      <c r="I20" s="278">
        <f>SUM(B20:H20)</f>
        <v>15097</v>
      </c>
    </row>
    <row r="21" spans="1:9" s="3" customFormat="1" ht="12.75">
      <c r="A21" s="43"/>
      <c r="B21" s="44"/>
      <c r="C21" s="44"/>
      <c r="D21" s="44"/>
      <c r="E21" s="44"/>
      <c r="F21" s="44"/>
      <c r="G21" s="44"/>
      <c r="H21" s="44"/>
      <c r="I21" s="44"/>
    </row>
    <row r="22" spans="1:10" s="3" customFormat="1" ht="12.75">
      <c r="A22" s="21"/>
      <c r="B22" s="40"/>
      <c r="C22" s="40"/>
      <c r="D22" s="40"/>
      <c r="E22" s="40"/>
      <c r="F22" s="40"/>
      <c r="G22" s="40"/>
      <c r="H22" s="40"/>
      <c r="I22" s="40"/>
      <c r="J22" s="7"/>
    </row>
    <row r="23" spans="1:9" s="3" customFormat="1" ht="25.5">
      <c r="A23" s="43" t="s">
        <v>132</v>
      </c>
      <c r="B23" s="28">
        <v>2006</v>
      </c>
      <c r="C23" s="28">
        <v>2007</v>
      </c>
      <c r="D23" s="28">
        <v>2008</v>
      </c>
      <c r="E23" s="28">
        <v>2009</v>
      </c>
      <c r="F23" s="28">
        <v>2010</v>
      </c>
      <c r="G23" s="28">
        <v>2011</v>
      </c>
      <c r="H23" s="207" t="str">
        <f>H3</f>
        <v>(18 month)
2012-2013</v>
      </c>
      <c r="I23" s="207" t="str">
        <f>I3</f>
        <v>Total
2006-2013</v>
      </c>
    </row>
    <row r="24" spans="1:9" s="3" customFormat="1" ht="12.75">
      <c r="A24" s="21" t="s">
        <v>14</v>
      </c>
      <c r="B24" s="40" t="s">
        <v>8</v>
      </c>
      <c r="C24" s="40" t="s">
        <v>8</v>
      </c>
      <c r="D24" s="45" t="s">
        <v>8</v>
      </c>
      <c r="E24" s="45" t="s">
        <v>8</v>
      </c>
      <c r="F24" s="45" t="s">
        <v>8</v>
      </c>
      <c r="G24" s="45" t="s">
        <v>8</v>
      </c>
      <c r="H24" s="45" t="s">
        <v>8</v>
      </c>
      <c r="I24" s="40" t="s">
        <v>8</v>
      </c>
    </row>
    <row r="25" spans="1:10" s="3" customFormat="1" ht="12.75">
      <c r="A25" s="16"/>
      <c r="B25" s="267">
        <v>2</v>
      </c>
      <c r="C25" s="267">
        <v>22</v>
      </c>
      <c r="D25" s="267">
        <v>108</v>
      </c>
      <c r="E25" s="267">
        <v>1155</v>
      </c>
      <c r="F25" s="267">
        <v>939</v>
      </c>
      <c r="G25" s="267">
        <v>2131</v>
      </c>
      <c r="H25" s="267">
        <v>3479</v>
      </c>
      <c r="I25" s="265">
        <f>SUM(B25:H25)</f>
        <v>7836</v>
      </c>
      <c r="J25" s="7"/>
    </row>
    <row r="26" spans="1:9" s="3" customFormat="1" ht="12.75">
      <c r="A26" s="21"/>
      <c r="B26" s="58"/>
      <c r="C26" s="58"/>
      <c r="D26" s="58"/>
      <c r="E26" s="58"/>
      <c r="F26" s="58"/>
      <c r="G26" s="58"/>
      <c r="H26" s="58"/>
      <c r="I26" s="44"/>
    </row>
    <row r="27" spans="1:11" s="3" customFormat="1" ht="12.75">
      <c r="A27" s="21" t="s">
        <v>10</v>
      </c>
      <c r="B27" s="63" t="s">
        <v>8</v>
      </c>
      <c r="C27" s="40" t="s">
        <v>8</v>
      </c>
      <c r="D27" s="45" t="s">
        <v>8</v>
      </c>
      <c r="E27" s="45" t="s">
        <v>8</v>
      </c>
      <c r="F27" s="45" t="s">
        <v>8</v>
      </c>
      <c r="G27" s="45" t="s">
        <v>8</v>
      </c>
      <c r="H27" s="45" t="s">
        <v>8</v>
      </c>
      <c r="I27" s="40" t="s">
        <v>8</v>
      </c>
      <c r="J27" s="146"/>
      <c r="K27" s="146"/>
    </row>
    <row r="28" spans="1:11" s="3" customFormat="1" ht="12.75">
      <c r="A28" s="16"/>
      <c r="B28" s="267">
        <v>26</v>
      </c>
      <c r="C28" s="267">
        <v>442</v>
      </c>
      <c r="D28" s="267">
        <v>1456</v>
      </c>
      <c r="E28" s="267">
        <v>18378</v>
      </c>
      <c r="F28" s="267">
        <v>20889</v>
      </c>
      <c r="G28" s="267">
        <v>38314</v>
      </c>
      <c r="H28" s="267">
        <v>56224</v>
      </c>
      <c r="I28" s="265">
        <f>SUM(B28:H28)</f>
        <v>135729</v>
      </c>
      <c r="J28" s="146"/>
      <c r="K28" s="146"/>
    </row>
    <row r="29" spans="1:11" ht="12.75">
      <c r="A29" s="21"/>
      <c r="B29" s="58"/>
      <c r="C29" s="58"/>
      <c r="D29" s="58"/>
      <c r="E29" s="58"/>
      <c r="F29" s="58"/>
      <c r="G29" s="58"/>
      <c r="H29" s="58"/>
      <c r="I29" s="44"/>
      <c r="J29" s="132"/>
      <c r="K29" s="65"/>
    </row>
    <row r="30" spans="1:11" ht="12.75">
      <c r="A30" s="21" t="s">
        <v>36</v>
      </c>
      <c r="B30" s="63" t="s">
        <v>11</v>
      </c>
      <c r="C30" s="63" t="s">
        <v>11</v>
      </c>
      <c r="D30" s="89" t="s">
        <v>11</v>
      </c>
      <c r="E30" s="89" t="s">
        <v>11</v>
      </c>
      <c r="F30" s="89" t="s">
        <v>11</v>
      </c>
      <c r="G30" s="89" t="s">
        <v>11</v>
      </c>
      <c r="H30" s="89" t="s">
        <v>11</v>
      </c>
      <c r="I30" s="40" t="s">
        <v>11</v>
      </c>
      <c r="J30" s="65"/>
      <c r="K30" s="65"/>
    </row>
    <row r="31" spans="1:11" ht="12.75">
      <c r="A31" s="16"/>
      <c r="B31" s="267">
        <v>0</v>
      </c>
      <c r="C31" s="267"/>
      <c r="D31" s="267">
        <v>51</v>
      </c>
      <c r="E31" s="267">
        <v>366</v>
      </c>
      <c r="F31" s="267">
        <v>815</v>
      </c>
      <c r="G31" s="267">
        <v>894</v>
      </c>
      <c r="H31" s="267">
        <v>1081</v>
      </c>
      <c r="I31" s="265">
        <f>SUM(B31:H31)</f>
        <v>3207</v>
      </c>
      <c r="J31" s="65"/>
      <c r="K31" s="65"/>
    </row>
    <row r="32" spans="1:11" ht="12.75">
      <c r="A32" s="5"/>
      <c r="B32" s="3"/>
      <c r="C32" s="3"/>
      <c r="D32" s="3"/>
      <c r="E32" s="3"/>
      <c r="F32" s="3"/>
      <c r="G32" s="3"/>
      <c r="H32" s="3"/>
      <c r="I32" s="3"/>
      <c r="J32" s="132"/>
      <c r="K32" s="65"/>
    </row>
    <row r="33" spans="1:10" ht="25.5">
      <c r="A33" s="43" t="s">
        <v>187</v>
      </c>
      <c r="B33" s="28">
        <v>2006</v>
      </c>
      <c r="C33" s="28">
        <v>2007</v>
      </c>
      <c r="D33" s="28">
        <v>2008</v>
      </c>
      <c r="E33" s="28">
        <v>2009</v>
      </c>
      <c r="F33" s="28">
        <v>2010</v>
      </c>
      <c r="G33" s="107">
        <v>2011</v>
      </c>
      <c r="H33" s="227" t="str">
        <f>H3</f>
        <v>(18 month)
2012-2013</v>
      </c>
      <c r="I33" s="227" t="str">
        <f>I3</f>
        <v>Total
2006-2013</v>
      </c>
      <c r="J33" s="8"/>
    </row>
    <row r="34" spans="1:9" ht="12.75">
      <c r="A34" s="21" t="s">
        <v>14</v>
      </c>
      <c r="B34" s="40" t="s">
        <v>13</v>
      </c>
      <c r="C34" s="40" t="s">
        <v>13</v>
      </c>
      <c r="D34" s="45" t="s">
        <v>13</v>
      </c>
      <c r="E34" s="45" t="s">
        <v>13</v>
      </c>
      <c r="F34" s="45" t="s">
        <v>13</v>
      </c>
      <c r="G34" s="89" t="s">
        <v>13</v>
      </c>
      <c r="H34" s="89" t="s">
        <v>13</v>
      </c>
      <c r="I34" s="63" t="s">
        <v>13</v>
      </c>
    </row>
    <row r="35" spans="1:21" ht="12.75">
      <c r="A35" s="16"/>
      <c r="B35" s="267">
        <v>108</v>
      </c>
      <c r="C35" s="267">
        <v>803</v>
      </c>
      <c r="D35" s="267">
        <v>3835</v>
      </c>
      <c r="E35" s="267">
        <v>23909</v>
      </c>
      <c r="F35" s="267">
        <v>73438</v>
      </c>
      <c r="G35" s="267">
        <v>95298.35</v>
      </c>
      <c r="H35" s="267">
        <v>136412</v>
      </c>
      <c r="I35" s="267">
        <f>SUM(B35:H35)</f>
        <v>333803.35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21"/>
      <c r="B36" s="58"/>
      <c r="C36" s="58"/>
      <c r="D36" s="58"/>
      <c r="E36" s="58"/>
      <c r="F36" s="58"/>
      <c r="G36" s="58"/>
      <c r="H36" s="58"/>
      <c r="I36" s="5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21" t="s">
        <v>10</v>
      </c>
      <c r="B37" s="40" t="s">
        <v>13</v>
      </c>
      <c r="C37" s="40" t="s">
        <v>13</v>
      </c>
      <c r="D37" s="45" t="s">
        <v>13</v>
      </c>
      <c r="E37" s="45" t="s">
        <v>13</v>
      </c>
      <c r="F37" s="45" t="s">
        <v>13</v>
      </c>
      <c r="G37" s="89" t="s">
        <v>13</v>
      </c>
      <c r="H37" s="89" t="s">
        <v>13</v>
      </c>
      <c r="I37" s="63" t="s">
        <v>13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16"/>
      <c r="B38" s="267">
        <v>2152</v>
      </c>
      <c r="C38" s="267">
        <v>19299</v>
      </c>
      <c r="D38" s="267">
        <v>88013</v>
      </c>
      <c r="E38" s="267">
        <v>537652</v>
      </c>
      <c r="F38" s="267">
        <v>1635192</v>
      </c>
      <c r="G38" s="267">
        <v>2058386.84</v>
      </c>
      <c r="H38" s="267">
        <v>2972663</v>
      </c>
      <c r="I38" s="267">
        <f>SUM(B38:H38)</f>
        <v>7313357.84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ht="12.75">
      <c r="A39" s="2"/>
    </row>
    <row r="40" spans="1:2" ht="12.75">
      <c r="A40" s="119" t="s">
        <v>198</v>
      </c>
      <c r="B40" s="119"/>
    </row>
    <row r="41" spans="1:13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ht="12.75">
      <c r="J45" s="8"/>
    </row>
    <row r="47" spans="1:13" ht="12.7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ht="12.75">
      <c r="A51" s="2"/>
    </row>
    <row r="53" spans="1:9" ht="12.75">
      <c r="A53" s="2"/>
      <c r="B53" s="9"/>
      <c r="C53" s="9"/>
      <c r="D53" s="9"/>
      <c r="E53" s="9"/>
      <c r="F53" s="9"/>
      <c r="G53" s="9"/>
      <c r="H53" s="9"/>
      <c r="I53" s="9"/>
    </row>
    <row r="54" spans="1:9" ht="12.75">
      <c r="A54" s="2"/>
      <c r="B54" s="9"/>
      <c r="C54" s="9"/>
      <c r="D54" s="9"/>
      <c r="E54" s="9"/>
      <c r="F54" s="9"/>
      <c r="G54" s="9"/>
      <c r="H54" s="9"/>
      <c r="I54" s="9"/>
    </row>
    <row r="55" spans="1:9" ht="12.75">
      <c r="A55" s="2"/>
      <c r="B55" s="9"/>
      <c r="C55" s="9"/>
      <c r="D55" s="9"/>
      <c r="E55" s="9"/>
      <c r="F55" s="9"/>
      <c r="G55" s="9"/>
      <c r="H55" s="9"/>
      <c r="I55" s="9"/>
    </row>
    <row r="56" spans="1:9" ht="12.75">
      <c r="A56" s="2"/>
      <c r="B56" s="9"/>
      <c r="C56" s="9"/>
      <c r="D56" s="9"/>
      <c r="E56" s="9"/>
      <c r="F56" s="9"/>
      <c r="G56" s="9"/>
      <c r="H56" s="9"/>
      <c r="I56" s="9"/>
    </row>
    <row r="59" ht="12.75">
      <c r="A59" s="2"/>
    </row>
    <row r="60" ht="12.75">
      <c r="A60" s="2"/>
    </row>
    <row r="61" ht="12.75">
      <c r="A61" s="2"/>
    </row>
  </sheetData>
  <sheetProtection/>
  <mergeCells count="1">
    <mergeCell ref="A1:I1"/>
  </mergeCells>
  <printOptions/>
  <pageMargins left="0.55" right="0.57" top="1" bottom="0.79" header="0.5" footer="0.5"/>
  <pageSetup fitToHeight="1" fitToWidth="1" horizontalDpi="600" verticalDpi="600" orientation="landscape" scale="89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Z59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5.7109375" style="3" customWidth="1"/>
    <col min="2" max="2" width="15.28125" style="3" customWidth="1"/>
    <col min="3" max="3" width="15.140625" style="6" hidden="1" customWidth="1"/>
    <col min="4" max="4" width="15.421875" style="6" hidden="1" customWidth="1"/>
    <col min="5" max="5" width="14.8515625" style="6" hidden="1" customWidth="1"/>
    <col min="6" max="6" width="15.421875" style="6" hidden="1" customWidth="1"/>
    <col min="7" max="7" width="15.57421875" style="6" hidden="1" customWidth="1"/>
    <col min="8" max="8" width="15.421875" style="6" bestFit="1" customWidth="1"/>
    <col min="9" max="11" width="15.57421875" style="6" bestFit="1" customWidth="1"/>
    <col min="12" max="14" width="15.57421875" style="6" customWidth="1"/>
    <col min="15" max="15" width="17.00390625" style="6" bestFit="1" customWidth="1"/>
    <col min="16" max="16384" width="10.7109375" style="6" customWidth="1"/>
  </cols>
  <sheetData>
    <row r="1" spans="1:15" ht="15.75">
      <c r="A1" s="382" t="s">
        <v>0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.75">
      <c r="A2" s="112"/>
      <c r="B2" s="112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ht="12.75">
      <c r="A3" s="21"/>
      <c r="B3" s="21"/>
      <c r="P3" s="3"/>
      <c r="Q3" s="3"/>
    </row>
    <row r="4" spans="1:17" ht="25.5">
      <c r="A4" s="30" t="s">
        <v>309</v>
      </c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363</v>
      </c>
      <c r="J4" s="28">
        <v>2008</v>
      </c>
      <c r="K4" s="28">
        <v>2009</v>
      </c>
      <c r="L4" s="28">
        <v>2010</v>
      </c>
      <c r="M4" s="28">
        <v>2011</v>
      </c>
      <c r="N4" s="207" t="s">
        <v>423</v>
      </c>
      <c r="O4" s="126" t="s">
        <v>429</v>
      </c>
      <c r="P4" s="3"/>
      <c r="Q4" s="3"/>
    </row>
    <row r="5" spans="1:17" ht="12.75">
      <c r="A5" s="15" t="s">
        <v>2</v>
      </c>
      <c r="B5" s="287">
        <f aca="true" t="shared" si="0" ref="B5:B10">SUM(C5:G5)</f>
        <v>85733</v>
      </c>
      <c r="C5" s="295">
        <v>15224</v>
      </c>
      <c r="D5" s="295">
        <v>15497</v>
      </c>
      <c r="E5" s="295">
        <v>15412</v>
      </c>
      <c r="F5" s="295">
        <v>14640</v>
      </c>
      <c r="G5" s="287">
        <v>24960</v>
      </c>
      <c r="H5" s="287">
        <v>21330</v>
      </c>
      <c r="I5" s="287">
        <v>20175</v>
      </c>
      <c r="J5" s="287">
        <v>26373</v>
      </c>
      <c r="K5" s="287">
        <v>36309764.38</v>
      </c>
      <c r="L5" s="287">
        <v>32206497.01</v>
      </c>
      <c r="M5" s="287">
        <v>30829308.11</v>
      </c>
      <c r="N5" s="262">
        <v>50000000</v>
      </c>
      <c r="O5" s="287"/>
      <c r="P5" s="3"/>
      <c r="Q5" s="3"/>
    </row>
    <row r="6" spans="1:17" ht="12.75">
      <c r="A6" s="15" t="s">
        <v>3</v>
      </c>
      <c r="B6" s="287">
        <f t="shared" si="0"/>
        <v>1255</v>
      </c>
      <c r="C6" s="295"/>
      <c r="D6" s="295"/>
      <c r="E6" s="295">
        <v>722</v>
      </c>
      <c r="F6" s="295">
        <v>493</v>
      </c>
      <c r="G6" s="287">
        <v>40</v>
      </c>
      <c r="H6" s="287" t="s">
        <v>4</v>
      </c>
      <c r="I6" s="287"/>
      <c r="J6" s="287"/>
      <c r="K6" s="287"/>
      <c r="L6" s="287"/>
      <c r="M6" s="287"/>
      <c r="N6" s="287"/>
      <c r="O6" s="287"/>
      <c r="P6" s="3"/>
      <c r="Q6" s="3"/>
    </row>
    <row r="7" spans="1:17" ht="12.75">
      <c r="A7" s="15" t="s">
        <v>171</v>
      </c>
      <c r="B7" s="287">
        <f t="shared" si="0"/>
        <v>0</v>
      </c>
      <c r="C7" s="295"/>
      <c r="D7" s="295"/>
      <c r="E7" s="295"/>
      <c r="F7" s="295"/>
      <c r="G7" s="287"/>
      <c r="H7" s="287">
        <v>3725</v>
      </c>
      <c r="I7" s="287">
        <v>6933</v>
      </c>
      <c r="J7" s="287">
        <v>1859</v>
      </c>
      <c r="K7" s="287"/>
      <c r="L7" s="287"/>
      <c r="M7" s="287"/>
      <c r="N7" s="287"/>
      <c r="O7" s="287"/>
      <c r="P7" s="3"/>
      <c r="Q7" s="3"/>
    </row>
    <row r="8" spans="1:17" ht="12.75">
      <c r="A8" s="15" t="s">
        <v>172</v>
      </c>
      <c r="B8" s="287">
        <f t="shared" si="0"/>
        <v>0</v>
      </c>
      <c r="C8" s="295"/>
      <c r="D8" s="295"/>
      <c r="E8" s="295"/>
      <c r="F8" s="295"/>
      <c r="G8" s="287"/>
      <c r="H8" s="287">
        <v>200</v>
      </c>
      <c r="I8" s="287">
        <v>300</v>
      </c>
      <c r="J8" s="287">
        <v>300</v>
      </c>
      <c r="K8" s="287"/>
      <c r="L8" s="287"/>
      <c r="M8" s="287"/>
      <c r="N8" s="287"/>
      <c r="O8" s="287"/>
      <c r="P8" s="3"/>
      <c r="Q8" s="3"/>
    </row>
    <row r="9" spans="1:17" ht="12.75">
      <c r="A9" s="16" t="s">
        <v>1</v>
      </c>
      <c r="B9" s="287">
        <f t="shared" si="0"/>
        <v>86988</v>
      </c>
      <c r="C9" s="295">
        <f>SUM(C5:C7)</f>
        <v>15224</v>
      </c>
      <c r="D9" s="295">
        <f>SUM(D5:D7)</f>
        <v>15497</v>
      </c>
      <c r="E9" s="295">
        <f>SUM(E5:E7)</f>
        <v>16134</v>
      </c>
      <c r="F9" s="295">
        <f>SUM(F5:F7)</f>
        <v>15133</v>
      </c>
      <c r="G9" s="287">
        <f>SUM(G5:G7)</f>
        <v>25000</v>
      </c>
      <c r="H9" s="287">
        <f>SUM(H5:H8)</f>
        <v>25255</v>
      </c>
      <c r="I9" s="287">
        <f>SUM(I5:I8)</f>
        <v>27408</v>
      </c>
      <c r="J9" s="287">
        <f>SUM(J5:J8)</f>
        <v>28532</v>
      </c>
      <c r="K9" s="262"/>
      <c r="L9" s="262"/>
      <c r="M9" s="262"/>
      <c r="N9" s="262"/>
      <c r="O9" s="287"/>
      <c r="P9" s="4"/>
      <c r="Q9" s="3"/>
    </row>
    <row r="10" spans="1:17" ht="12.75">
      <c r="A10" s="16" t="s">
        <v>254</v>
      </c>
      <c r="B10" s="296">
        <f t="shared" si="0"/>
        <v>86988000</v>
      </c>
      <c r="C10" s="297">
        <f>C9*1000</f>
        <v>15224000</v>
      </c>
      <c r="D10" s="297">
        <f aca="true" t="shared" si="1" ref="D10:J10">D9*1000</f>
        <v>15497000</v>
      </c>
      <c r="E10" s="297">
        <f t="shared" si="1"/>
        <v>16134000</v>
      </c>
      <c r="F10" s="297">
        <f t="shared" si="1"/>
        <v>15133000</v>
      </c>
      <c r="G10" s="296">
        <f t="shared" si="1"/>
        <v>25000000</v>
      </c>
      <c r="H10" s="296">
        <f t="shared" si="1"/>
        <v>25255000</v>
      </c>
      <c r="I10" s="296">
        <f t="shared" si="1"/>
        <v>27408000</v>
      </c>
      <c r="J10" s="296">
        <f t="shared" si="1"/>
        <v>28532000</v>
      </c>
      <c r="K10" s="296">
        <f>SUM(K5:K8)</f>
        <v>36309764.38</v>
      </c>
      <c r="L10" s="296">
        <f>SUM(L5:L8)</f>
        <v>32206497.01</v>
      </c>
      <c r="M10" s="296">
        <f>SUM(M5:M8)</f>
        <v>30829308.11</v>
      </c>
      <c r="N10" s="296">
        <f>SUM(N5:N8)</f>
        <v>50000000</v>
      </c>
      <c r="O10" s="296">
        <f>SUM(C10:N10)</f>
        <v>317528569.5</v>
      </c>
      <c r="P10" s="4"/>
      <c r="Q10" s="3"/>
    </row>
    <row r="11" spans="1:17" ht="24.75" customHeight="1">
      <c r="A11" s="385" t="s">
        <v>377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"/>
      <c r="Q11" s="3"/>
    </row>
    <row r="12" spans="1:17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3"/>
      <c r="Q12" s="3"/>
    </row>
    <row r="13" spans="1:17" ht="12.75">
      <c r="A13" s="30" t="s">
        <v>256</v>
      </c>
      <c r="B13" s="30"/>
      <c r="C13" s="41"/>
      <c r="D13" s="41"/>
      <c r="E13" s="41"/>
      <c r="F13" s="41"/>
      <c r="G13" s="123"/>
      <c r="H13" s="123"/>
      <c r="I13" s="123"/>
      <c r="J13" s="123"/>
      <c r="K13" s="123"/>
      <c r="L13" s="123"/>
      <c r="M13" s="123"/>
      <c r="N13" s="123"/>
      <c r="O13" s="104"/>
      <c r="P13" s="3"/>
      <c r="Q13" s="3"/>
    </row>
    <row r="14" spans="1:15" s="3" customFormat="1" ht="12.75">
      <c r="A14" s="15" t="s">
        <v>2</v>
      </c>
      <c r="B14" s="287">
        <f aca="true" t="shared" si="2" ref="B14:B19">SUM(C14:G14)</f>
        <v>67812</v>
      </c>
      <c r="C14" s="295">
        <v>10354</v>
      </c>
      <c r="D14" s="295">
        <v>13268</v>
      </c>
      <c r="E14" s="295">
        <v>14756</v>
      </c>
      <c r="F14" s="295">
        <v>13974</v>
      </c>
      <c r="G14" s="287">
        <v>15460</v>
      </c>
      <c r="H14" s="287">
        <v>16557</v>
      </c>
      <c r="I14" s="287">
        <v>21096</v>
      </c>
      <c r="J14" s="287">
        <v>20682</v>
      </c>
      <c r="K14" s="287">
        <v>30741450.93</v>
      </c>
      <c r="L14" s="287">
        <v>31377188.9</v>
      </c>
      <c r="M14" s="287">
        <v>28405761.97</v>
      </c>
      <c r="N14" s="262">
        <v>48397526.8</v>
      </c>
      <c r="O14" s="287"/>
    </row>
    <row r="15" spans="1:15" s="3" customFormat="1" ht="12.75">
      <c r="A15" s="15" t="s">
        <v>3</v>
      </c>
      <c r="B15" s="287">
        <f t="shared" si="2"/>
        <v>978</v>
      </c>
      <c r="C15" s="295" t="s">
        <v>4</v>
      </c>
      <c r="D15" s="295" t="s">
        <v>4</v>
      </c>
      <c r="E15" s="295">
        <v>679</v>
      </c>
      <c r="F15" s="295">
        <v>292</v>
      </c>
      <c r="G15" s="287">
        <v>7</v>
      </c>
      <c r="H15" s="287" t="s">
        <v>4</v>
      </c>
      <c r="I15" s="287"/>
      <c r="J15" s="287"/>
      <c r="K15" s="287"/>
      <c r="L15" s="287"/>
      <c r="M15" s="287"/>
      <c r="N15" s="287"/>
      <c r="O15" s="287"/>
    </row>
    <row r="16" spans="1:15" s="3" customFormat="1" ht="12.75">
      <c r="A16" s="15" t="s">
        <v>171</v>
      </c>
      <c r="B16" s="287">
        <f t="shared" si="2"/>
        <v>0</v>
      </c>
      <c r="C16" s="295"/>
      <c r="D16" s="295"/>
      <c r="E16" s="295"/>
      <c r="F16" s="295"/>
      <c r="G16" s="287"/>
      <c r="H16" s="287">
        <v>1652</v>
      </c>
      <c r="I16" s="287">
        <v>5074</v>
      </c>
      <c r="J16" s="287">
        <v>-27</v>
      </c>
      <c r="K16" s="287"/>
      <c r="L16" s="287"/>
      <c r="M16" s="287"/>
      <c r="N16" s="287"/>
      <c r="O16" s="287"/>
    </row>
    <row r="17" spans="1:15" s="3" customFormat="1" ht="12.75">
      <c r="A17" s="15" t="s">
        <v>172</v>
      </c>
      <c r="B17" s="287">
        <f t="shared" si="2"/>
        <v>0</v>
      </c>
      <c r="C17" s="295"/>
      <c r="D17" s="295"/>
      <c r="E17" s="295"/>
      <c r="F17" s="295"/>
      <c r="G17" s="287"/>
      <c r="H17" s="287">
        <v>0</v>
      </c>
      <c r="I17" s="287">
        <v>0</v>
      </c>
      <c r="J17" s="287">
        <v>0</v>
      </c>
      <c r="K17" s="287"/>
      <c r="L17" s="287"/>
      <c r="M17" s="287"/>
      <c r="N17" s="287"/>
      <c r="O17" s="287"/>
    </row>
    <row r="18" spans="1:15" s="3" customFormat="1" ht="12.75">
      <c r="A18" s="16" t="s">
        <v>1</v>
      </c>
      <c r="B18" s="287">
        <f t="shared" si="2"/>
        <v>68790</v>
      </c>
      <c r="C18" s="295">
        <f>SUM(C14:C15)</f>
        <v>10354</v>
      </c>
      <c r="D18" s="295">
        <f>SUM(D14:D15)</f>
        <v>13268</v>
      </c>
      <c r="E18" s="295">
        <f>SUM(E14:E15)</f>
        <v>15435</v>
      </c>
      <c r="F18" s="295">
        <f>SUM(F14:F15)</f>
        <v>14266</v>
      </c>
      <c r="G18" s="287">
        <f>SUM(G14:G15)</f>
        <v>15467</v>
      </c>
      <c r="H18" s="287">
        <f>SUM(H14:H17)</f>
        <v>18209</v>
      </c>
      <c r="I18" s="287">
        <f>SUM(I14:I17)</f>
        <v>26170</v>
      </c>
      <c r="J18" s="287">
        <f>SUM(J14:J17)</f>
        <v>20655</v>
      </c>
      <c r="K18" s="262"/>
      <c r="L18" s="262"/>
      <c r="M18" s="262"/>
      <c r="N18" s="262"/>
      <c r="O18" s="287"/>
    </row>
    <row r="19" spans="1:15" s="3" customFormat="1" ht="12.75">
      <c r="A19" s="16" t="s">
        <v>254</v>
      </c>
      <c r="B19" s="296">
        <f t="shared" si="2"/>
        <v>68790000</v>
      </c>
      <c r="C19" s="297">
        <f>C18*1000</f>
        <v>10354000</v>
      </c>
      <c r="D19" s="297">
        <f aca="true" t="shared" si="3" ref="D19:J19">D18*1000</f>
        <v>13268000</v>
      </c>
      <c r="E19" s="297">
        <f t="shared" si="3"/>
        <v>15435000</v>
      </c>
      <c r="F19" s="297">
        <f t="shared" si="3"/>
        <v>14266000</v>
      </c>
      <c r="G19" s="296">
        <f t="shared" si="3"/>
        <v>15467000</v>
      </c>
      <c r="H19" s="296">
        <f t="shared" si="3"/>
        <v>18209000</v>
      </c>
      <c r="I19" s="296">
        <f t="shared" si="3"/>
        <v>26170000</v>
      </c>
      <c r="J19" s="296">
        <f t="shared" si="3"/>
        <v>20655000</v>
      </c>
      <c r="K19" s="296">
        <f>SUM(K14:K17)</f>
        <v>30741450.93</v>
      </c>
      <c r="L19" s="296">
        <f>SUM(L14:L17)</f>
        <v>31377188.9</v>
      </c>
      <c r="M19" s="296">
        <f>SUM(M14:M17)</f>
        <v>28405761.97</v>
      </c>
      <c r="N19" s="296">
        <f>SUM(N14:N17)</f>
        <v>48397526.8</v>
      </c>
      <c r="O19" s="296">
        <f>SUM(C19:N19)</f>
        <v>272745928.6</v>
      </c>
    </row>
    <row r="20" spans="1:15" s="3" customFormat="1" ht="12.75">
      <c r="A20" s="21"/>
      <c r="B20" s="2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" customFormat="1" ht="12.75">
      <c r="A21" s="43" t="s">
        <v>43</v>
      </c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3" customFormat="1" ht="12.75">
      <c r="A22" s="15" t="s">
        <v>2</v>
      </c>
      <c r="B22" s="265">
        <f>SUM(C22:G22)</f>
        <v>31014</v>
      </c>
      <c r="C22" s="265">
        <v>5848</v>
      </c>
      <c r="D22" s="265">
        <v>5937</v>
      </c>
      <c r="E22" s="265">
        <v>6268</v>
      </c>
      <c r="F22" s="265">
        <v>6558</v>
      </c>
      <c r="G22" s="265">
        <v>6403</v>
      </c>
      <c r="H22" s="265">
        <v>7190</v>
      </c>
      <c r="I22" s="265">
        <v>7706</v>
      </c>
      <c r="J22" s="265">
        <v>7239</v>
      </c>
      <c r="K22" s="265">
        <v>7779</v>
      </c>
      <c r="L22" s="265">
        <v>6814</v>
      </c>
      <c r="M22" s="265">
        <v>7054</v>
      </c>
      <c r="N22" s="267">
        <v>11760</v>
      </c>
      <c r="O22" s="265">
        <f>SUM(C22:N22)</f>
        <v>86556</v>
      </c>
    </row>
    <row r="23" spans="1:15" s="3" customFormat="1" ht="12.75">
      <c r="A23" s="15" t="s">
        <v>3</v>
      </c>
      <c r="B23" s="265">
        <f>SUM(C23:G23)</f>
        <v>541</v>
      </c>
      <c r="C23" s="265" t="s">
        <v>4</v>
      </c>
      <c r="D23" s="265" t="s">
        <v>4</v>
      </c>
      <c r="E23" s="265">
        <v>393</v>
      </c>
      <c r="F23" s="265">
        <v>148</v>
      </c>
      <c r="G23" s="265">
        <v>0</v>
      </c>
      <c r="H23" s="265">
        <v>0</v>
      </c>
      <c r="I23" s="265">
        <v>0</v>
      </c>
      <c r="J23" s="265"/>
      <c r="K23" s="265"/>
      <c r="L23" s="265"/>
      <c r="M23" s="265"/>
      <c r="N23" s="265"/>
      <c r="O23" s="265">
        <f>SUM(C23:N23)</f>
        <v>541</v>
      </c>
    </row>
    <row r="24" spans="1:15" s="3" customFormat="1" ht="12.75">
      <c r="A24" s="15" t="s">
        <v>171</v>
      </c>
      <c r="B24" s="265">
        <f>SUM(C24:G24)</f>
        <v>0</v>
      </c>
      <c r="C24" s="265"/>
      <c r="D24" s="265"/>
      <c r="E24" s="265"/>
      <c r="F24" s="265"/>
      <c r="G24" s="265"/>
      <c r="H24" s="265">
        <v>1362</v>
      </c>
      <c r="I24" s="265">
        <v>778</v>
      </c>
      <c r="J24" s="265"/>
      <c r="K24" s="265"/>
      <c r="L24" s="265"/>
      <c r="M24" s="265"/>
      <c r="N24" s="265"/>
      <c r="O24" s="265">
        <f>SUM(C24:N24)</f>
        <v>2140</v>
      </c>
    </row>
    <row r="25" spans="1:17" s="3" customFormat="1" ht="12.75">
      <c r="A25" s="15" t="s">
        <v>172</v>
      </c>
      <c r="B25" s="265">
        <f>SUM(C25:G25)</f>
        <v>0</v>
      </c>
      <c r="C25" s="265"/>
      <c r="D25" s="265"/>
      <c r="E25" s="265"/>
      <c r="F25" s="265"/>
      <c r="G25" s="265"/>
      <c r="H25" s="265">
        <v>0</v>
      </c>
      <c r="I25" s="265">
        <v>0</v>
      </c>
      <c r="J25" s="265"/>
      <c r="K25" s="265"/>
      <c r="L25" s="265"/>
      <c r="M25" s="265"/>
      <c r="N25" s="265"/>
      <c r="O25" s="265">
        <f>SUM(C25:N25)</f>
        <v>0</v>
      </c>
      <c r="Q25" s="26" t="s">
        <v>103</v>
      </c>
    </row>
    <row r="26" spans="1:16" s="3" customFormat="1" ht="12.75">
      <c r="A26" s="16" t="s">
        <v>1</v>
      </c>
      <c r="B26" s="278">
        <f>SUM(C26:G26)</f>
        <v>31555</v>
      </c>
      <c r="C26" s="278">
        <f>SUM(C22:C23)</f>
        <v>5848</v>
      </c>
      <c r="D26" s="278">
        <f>SUM(D22:D23)</f>
        <v>5937</v>
      </c>
      <c r="E26" s="278">
        <f>SUM(E22:E23)</f>
        <v>6661</v>
      </c>
      <c r="F26" s="278">
        <f>SUM(F22:F23)</f>
        <v>6706</v>
      </c>
      <c r="G26" s="278">
        <f>SUM(G22:G23)</f>
        <v>6403</v>
      </c>
      <c r="H26" s="278">
        <f aca="true" t="shared" si="4" ref="H26:M26">SUM(H22:H25)</f>
        <v>8552</v>
      </c>
      <c r="I26" s="278">
        <f t="shared" si="4"/>
        <v>8484</v>
      </c>
      <c r="J26" s="278">
        <f t="shared" si="4"/>
        <v>7239</v>
      </c>
      <c r="K26" s="278">
        <f t="shared" si="4"/>
        <v>7779</v>
      </c>
      <c r="L26" s="278">
        <f t="shared" si="4"/>
        <v>6814</v>
      </c>
      <c r="M26" s="278">
        <f t="shared" si="4"/>
        <v>7054</v>
      </c>
      <c r="N26" s="278">
        <f>SUM(N22:N25)</f>
        <v>11760</v>
      </c>
      <c r="O26" s="278">
        <f>SUM(C26:N26)</f>
        <v>89237</v>
      </c>
      <c r="P26" s="6"/>
    </row>
    <row r="27" spans="1:15" s="3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s="3" customFormat="1" ht="12.75">
      <c r="A28" s="43" t="s">
        <v>6</v>
      </c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3" customFormat="1" ht="12.75">
      <c r="A29" s="43" t="s">
        <v>7</v>
      </c>
      <c r="B29" s="40" t="s">
        <v>8</v>
      </c>
      <c r="C29" s="40" t="s">
        <v>8</v>
      </c>
      <c r="D29" s="40" t="s">
        <v>8</v>
      </c>
      <c r="E29" s="40" t="s">
        <v>8</v>
      </c>
      <c r="F29" s="40" t="s">
        <v>8</v>
      </c>
      <c r="G29" s="40" t="s">
        <v>8</v>
      </c>
      <c r="H29" s="40" t="s">
        <v>8</v>
      </c>
      <c r="I29" s="40" t="s">
        <v>8</v>
      </c>
      <c r="J29" s="45" t="s">
        <v>8</v>
      </c>
      <c r="K29" s="45" t="s">
        <v>8</v>
      </c>
      <c r="L29" s="45" t="s">
        <v>8</v>
      </c>
      <c r="M29" s="45" t="s">
        <v>8</v>
      </c>
      <c r="N29" s="89" t="s">
        <v>8</v>
      </c>
      <c r="O29" s="40" t="s">
        <v>8</v>
      </c>
    </row>
    <row r="30" spans="1:15" ht="12.75">
      <c r="A30" s="15" t="s">
        <v>9</v>
      </c>
      <c r="B30" s="267">
        <f>SUM(C30:G30)</f>
        <v>30987</v>
      </c>
      <c r="C30" s="265">
        <v>7386</v>
      </c>
      <c r="D30" s="265">
        <v>5196</v>
      </c>
      <c r="E30" s="265">
        <v>5774</v>
      </c>
      <c r="F30" s="265">
        <f>6786+209</f>
        <v>6995</v>
      </c>
      <c r="G30" s="265">
        <v>5636</v>
      </c>
      <c r="H30" s="267">
        <v>10708</v>
      </c>
      <c r="I30" s="267">
        <f>6181+4433</f>
        <v>10614</v>
      </c>
      <c r="J30" s="267">
        <v>8778</v>
      </c>
      <c r="K30" s="267">
        <v>9302</v>
      </c>
      <c r="L30" s="267">
        <v>8994</v>
      </c>
      <c r="M30" s="267">
        <v>10069</v>
      </c>
      <c r="N30" s="267">
        <v>12048</v>
      </c>
      <c r="O30" s="265">
        <f>SUM(C30:N30)</f>
        <v>101500</v>
      </c>
    </row>
    <row r="31" spans="1:16" ht="12.75">
      <c r="A31" s="15" t="s">
        <v>10</v>
      </c>
      <c r="B31" s="267">
        <f>SUM(C31:G31)</f>
        <v>550945</v>
      </c>
      <c r="C31" s="265">
        <v>147716</v>
      </c>
      <c r="D31" s="265">
        <v>83203</v>
      </c>
      <c r="E31" s="265">
        <v>106522</v>
      </c>
      <c r="F31" s="265">
        <f>116346+3192</f>
        <v>119538</v>
      </c>
      <c r="G31" s="265">
        <v>93966</v>
      </c>
      <c r="H31" s="267">
        <v>177208</v>
      </c>
      <c r="I31" s="267">
        <f>27468+164462</f>
        <v>191930</v>
      </c>
      <c r="J31" s="267">
        <v>66525</v>
      </c>
      <c r="K31" s="267">
        <v>68712</v>
      </c>
      <c r="L31" s="267">
        <v>64804</v>
      </c>
      <c r="M31" s="267">
        <v>89465</v>
      </c>
      <c r="N31" s="267">
        <v>103693</v>
      </c>
      <c r="O31" s="265">
        <f>SUM(C31:N31)</f>
        <v>1313282</v>
      </c>
      <c r="P31" s="95"/>
    </row>
    <row r="32" spans="1:16" ht="12.75">
      <c r="A32" s="21"/>
      <c r="B32" s="21"/>
      <c r="C32" s="44"/>
      <c r="D32" s="44"/>
      <c r="E32" s="44"/>
      <c r="F32" s="44"/>
      <c r="G32" s="44"/>
      <c r="H32" s="58"/>
      <c r="I32" s="58"/>
      <c r="J32" s="58"/>
      <c r="K32" s="58"/>
      <c r="L32" s="58"/>
      <c r="M32" s="58"/>
      <c r="N32" s="58"/>
      <c r="O32" s="44"/>
      <c r="P32" s="94"/>
    </row>
    <row r="33" spans="1:15" ht="12.75">
      <c r="A33" s="43" t="s">
        <v>133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  <c r="G33" s="44" t="s">
        <v>11</v>
      </c>
      <c r="H33" s="58" t="s">
        <v>11</v>
      </c>
      <c r="I33" s="58" t="s">
        <v>11</v>
      </c>
      <c r="J33" s="90" t="s">
        <v>11</v>
      </c>
      <c r="K33" s="90" t="s">
        <v>11</v>
      </c>
      <c r="L33" s="90" t="s">
        <v>11</v>
      </c>
      <c r="M33" s="90" t="s">
        <v>11</v>
      </c>
      <c r="N33" s="90" t="s">
        <v>11</v>
      </c>
      <c r="O33" s="44" t="s">
        <v>11</v>
      </c>
    </row>
    <row r="34" spans="1:15" ht="12.75">
      <c r="A34" s="15" t="s">
        <v>36</v>
      </c>
      <c r="B34" s="267">
        <f>SUM(C34:G34)</f>
        <v>3916</v>
      </c>
      <c r="C34" s="265">
        <v>1032</v>
      </c>
      <c r="D34" s="265">
        <v>627</v>
      </c>
      <c r="E34" s="265">
        <v>868</v>
      </c>
      <c r="F34" s="265">
        <f>770+50</f>
        <v>820</v>
      </c>
      <c r="G34" s="265">
        <v>569</v>
      </c>
      <c r="H34" s="267">
        <v>1645</v>
      </c>
      <c r="I34" s="267">
        <f>854+746</f>
        <v>1600</v>
      </c>
      <c r="J34" s="267">
        <v>1268</v>
      </c>
      <c r="K34" s="267">
        <v>1071</v>
      </c>
      <c r="L34" s="267">
        <v>937</v>
      </c>
      <c r="M34" s="267">
        <v>1072</v>
      </c>
      <c r="N34" s="267">
        <v>1368</v>
      </c>
      <c r="O34" s="265">
        <f>SUM(C34:N34)</f>
        <v>12877</v>
      </c>
    </row>
    <row r="35" spans="1:15" ht="12.75">
      <c r="A35" s="40"/>
      <c r="B35" s="40"/>
      <c r="C35" s="44"/>
      <c r="D35" s="44"/>
      <c r="E35" s="44"/>
      <c r="F35" s="44"/>
      <c r="G35" s="44"/>
      <c r="H35" s="44"/>
      <c r="I35" s="44"/>
      <c r="J35" s="44"/>
      <c r="K35" s="58"/>
      <c r="L35" s="58"/>
      <c r="M35" s="58"/>
      <c r="N35" s="58"/>
      <c r="O35" s="44"/>
    </row>
    <row r="36" spans="1:15" ht="12.75">
      <c r="A36" s="43" t="s">
        <v>12</v>
      </c>
      <c r="B36" s="44" t="s">
        <v>13</v>
      </c>
      <c r="C36" s="44" t="s">
        <v>13</v>
      </c>
      <c r="D36" s="44" t="s">
        <v>13</v>
      </c>
      <c r="E36" s="44" t="s">
        <v>13</v>
      </c>
      <c r="F36" s="44" t="s">
        <v>13</v>
      </c>
      <c r="G36" s="44" t="s">
        <v>13</v>
      </c>
      <c r="H36" s="44" t="s">
        <v>13</v>
      </c>
      <c r="I36" s="44" t="s">
        <v>13</v>
      </c>
      <c r="J36" s="86" t="s">
        <v>13</v>
      </c>
      <c r="K36" s="90" t="s">
        <v>13</v>
      </c>
      <c r="L36" s="90" t="s">
        <v>13</v>
      </c>
      <c r="M36" s="90" t="s">
        <v>13</v>
      </c>
      <c r="N36" s="90" t="s">
        <v>13</v>
      </c>
      <c r="O36" s="44" t="s">
        <v>13</v>
      </c>
    </row>
    <row r="37" spans="1:15" ht="12.75">
      <c r="A37" s="15" t="s">
        <v>14</v>
      </c>
      <c r="B37" s="265">
        <f>SUM(C37:G37)</f>
        <v>338487</v>
      </c>
      <c r="C37" s="265">
        <v>91776</v>
      </c>
      <c r="D37" s="265">
        <v>73523</v>
      </c>
      <c r="E37" s="265">
        <v>65035</v>
      </c>
      <c r="F37" s="265">
        <v>59420</v>
      </c>
      <c r="G37" s="265">
        <v>48733</v>
      </c>
      <c r="H37" s="265">
        <v>42526</v>
      </c>
      <c r="I37" s="265">
        <f>31415+16686</f>
        <v>48101</v>
      </c>
      <c r="J37" s="265">
        <v>73535</v>
      </c>
      <c r="K37" s="267">
        <v>80504</v>
      </c>
      <c r="L37" s="267">
        <v>65642</v>
      </c>
      <c r="M37" s="267">
        <v>88278</v>
      </c>
      <c r="N37" s="267">
        <v>87348</v>
      </c>
      <c r="O37" s="265">
        <f>SUM(C37:N37)</f>
        <v>824421</v>
      </c>
    </row>
    <row r="38" spans="1:15" ht="12.75">
      <c r="A38" s="15" t="s">
        <v>10</v>
      </c>
      <c r="B38" s="265">
        <f>SUM(C38:G38)</f>
        <v>6729837</v>
      </c>
      <c r="C38" s="265">
        <v>1835511</v>
      </c>
      <c r="D38" s="265">
        <v>1470460</v>
      </c>
      <c r="E38" s="265">
        <v>1284711</v>
      </c>
      <c r="F38" s="265">
        <v>1183165</v>
      </c>
      <c r="G38" s="265">
        <v>955990</v>
      </c>
      <c r="H38" s="265">
        <v>703101</v>
      </c>
      <c r="I38" s="265">
        <f>598791+333720</f>
        <v>932511</v>
      </c>
      <c r="J38" s="265">
        <v>1054201</v>
      </c>
      <c r="K38" s="267">
        <v>1105591</v>
      </c>
      <c r="L38" s="267">
        <v>883182</v>
      </c>
      <c r="M38" s="267">
        <v>1264890</v>
      </c>
      <c r="N38" s="267">
        <v>1111649</v>
      </c>
      <c r="O38" s="265">
        <f>SUM(C38:N38)</f>
        <v>13784962</v>
      </c>
    </row>
    <row r="39" spans="1:14" ht="12.75">
      <c r="A39" s="2" t="s">
        <v>356</v>
      </c>
      <c r="K39" s="65"/>
      <c r="L39" s="65"/>
      <c r="M39" s="65"/>
      <c r="N39" s="65"/>
    </row>
    <row r="40" spans="1:2" ht="12.75">
      <c r="A40" s="7" t="s">
        <v>364</v>
      </c>
      <c r="B40" s="7"/>
    </row>
    <row r="41" spans="1:16" ht="12.75">
      <c r="A41" s="2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8"/>
    </row>
    <row r="43" spans="1:2" ht="12.75">
      <c r="A43" s="2"/>
      <c r="B43" s="2"/>
    </row>
    <row r="44" spans="1:26" ht="12.75">
      <c r="A44" s="2"/>
      <c r="B44" s="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3" ht="12.75">
      <c r="A45" s="2"/>
      <c r="B45" s="2"/>
      <c r="C45" s="8"/>
    </row>
    <row r="46" spans="1:2" ht="12.75">
      <c r="A46" s="2"/>
      <c r="B46" s="2"/>
    </row>
    <row r="47" spans="1:18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2"/>
      <c r="B48" s="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3:18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6" ht="12.75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P51" s="8"/>
    </row>
    <row r="53" spans="1:18" ht="12.7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>
      <c r="A54" s="2"/>
      <c r="B54" s="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3" ht="12.75">
      <c r="A55" s="2"/>
      <c r="B55" s="2"/>
      <c r="C55" s="8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</sheetData>
  <sheetProtection/>
  <mergeCells count="2">
    <mergeCell ref="A1:O1"/>
    <mergeCell ref="A11:O11"/>
  </mergeCells>
  <printOptions/>
  <pageMargins left="0.55" right="0.57" top="0.59" bottom="0.58" header="0.5" footer="0.28"/>
  <pageSetup fitToHeight="1" fitToWidth="1" horizontalDpi="600" verticalDpi="600" orientation="landscape" scale="77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C9:G9 I9:J9" formulaRange="1"/>
    <ignoredError sqref="H9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Z54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7.7109375" style="3" customWidth="1"/>
    <col min="2" max="2" width="14.421875" style="3" bestFit="1" customWidth="1"/>
    <col min="3" max="7" width="13.8515625" style="6" hidden="1" customWidth="1"/>
    <col min="8" max="14" width="14.421875" style="6" bestFit="1" customWidth="1"/>
    <col min="15" max="15" width="15.421875" style="6" bestFit="1" customWidth="1"/>
    <col min="16" max="16384" width="10.7109375" style="6" customWidth="1"/>
  </cols>
  <sheetData>
    <row r="1" spans="1:15" ht="15.75">
      <c r="A1" s="382" t="s">
        <v>15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2" ht="15">
      <c r="A2" s="112"/>
      <c r="B2" s="112"/>
    </row>
    <row r="3" spans="1:2" ht="15">
      <c r="A3" s="112"/>
      <c r="B3" s="112"/>
    </row>
    <row r="4" spans="1:15" ht="25.5">
      <c r="A4" s="224" t="s">
        <v>255</v>
      </c>
      <c r="B4" s="230" t="s">
        <v>354</v>
      </c>
      <c r="C4" s="49">
        <v>2001</v>
      </c>
      <c r="D4" s="49">
        <v>2002</v>
      </c>
      <c r="E4" s="49">
        <v>2003</v>
      </c>
      <c r="F4" s="49" t="s">
        <v>34</v>
      </c>
      <c r="G4" s="49" t="s">
        <v>112</v>
      </c>
      <c r="H4" s="49" t="s">
        <v>170</v>
      </c>
      <c r="I4" s="49" t="s">
        <v>196</v>
      </c>
      <c r="J4" s="49" t="s">
        <v>226</v>
      </c>
      <c r="K4" s="49" t="s">
        <v>243</v>
      </c>
      <c r="L4" s="49" t="s">
        <v>279</v>
      </c>
      <c r="M4" s="49" t="s">
        <v>312</v>
      </c>
      <c r="N4" s="362" t="s">
        <v>423</v>
      </c>
      <c r="O4" s="126" t="s">
        <v>427</v>
      </c>
    </row>
    <row r="5" spans="1:15" ht="12.75">
      <c r="A5" s="15" t="s">
        <v>16</v>
      </c>
      <c r="B5" s="252">
        <f>SUM(C5:G5)</f>
        <v>29859</v>
      </c>
      <c r="C5" s="252">
        <v>12720</v>
      </c>
      <c r="D5" s="252">
        <v>17139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.75">
      <c r="A6" s="15" t="s">
        <v>17</v>
      </c>
      <c r="B6" s="252">
        <f>SUM(C6:G6)</f>
        <v>13081</v>
      </c>
      <c r="C6" s="252">
        <v>6002</v>
      </c>
      <c r="D6" s="252">
        <v>7079</v>
      </c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2.75">
      <c r="A7" s="15" t="s">
        <v>35</v>
      </c>
      <c r="B7" s="252">
        <f>SUM(C7:G7)</f>
        <v>89756</v>
      </c>
      <c r="C7" s="252">
        <f>C6+C5</f>
        <v>18722</v>
      </c>
      <c r="D7" s="252">
        <f>D6+D5</f>
        <v>24218</v>
      </c>
      <c r="E7" s="252">
        <v>13970</v>
      </c>
      <c r="F7" s="252">
        <v>17346</v>
      </c>
      <c r="G7" s="252">
        <v>15500</v>
      </c>
      <c r="H7" s="252">
        <v>16705</v>
      </c>
      <c r="I7" s="252">
        <v>17759</v>
      </c>
      <c r="J7" s="252">
        <v>18476</v>
      </c>
      <c r="K7" s="252">
        <v>13532500.8</v>
      </c>
      <c r="L7" s="252">
        <v>16268617.09</v>
      </c>
      <c r="M7" s="252">
        <v>22724583.98</v>
      </c>
      <c r="N7" s="254">
        <v>26341450.41</v>
      </c>
      <c r="O7" s="252"/>
    </row>
    <row r="8" spans="1:15" ht="12.75">
      <c r="A8" s="16" t="s">
        <v>1</v>
      </c>
      <c r="B8" s="257">
        <f>SUM(C8:G8)</f>
        <v>89756000</v>
      </c>
      <c r="C8" s="257">
        <f>C7*1000</f>
        <v>18722000</v>
      </c>
      <c r="D8" s="257">
        <f aca="true" t="shared" si="0" ref="D8:J8">D7*1000</f>
        <v>24218000</v>
      </c>
      <c r="E8" s="257">
        <f t="shared" si="0"/>
        <v>13970000</v>
      </c>
      <c r="F8" s="257">
        <f t="shared" si="0"/>
        <v>17346000</v>
      </c>
      <c r="G8" s="257">
        <f t="shared" si="0"/>
        <v>15500000</v>
      </c>
      <c r="H8" s="257">
        <f t="shared" si="0"/>
        <v>16705000</v>
      </c>
      <c r="I8" s="257">
        <f t="shared" si="0"/>
        <v>17759000</v>
      </c>
      <c r="J8" s="257">
        <f t="shared" si="0"/>
        <v>18476000</v>
      </c>
      <c r="K8" s="257">
        <f>K7</f>
        <v>13532500.8</v>
      </c>
      <c r="L8" s="257">
        <f>L7</f>
        <v>16268617.09</v>
      </c>
      <c r="M8" s="257">
        <f>M7</f>
        <v>22724583.98</v>
      </c>
      <c r="N8" s="257">
        <f>N7</f>
        <v>26341450.41</v>
      </c>
      <c r="O8" s="257">
        <f>SUM(C8:N8)</f>
        <v>221563152.28</v>
      </c>
    </row>
    <row r="9" spans="1:15" ht="29.25" customHeight="1">
      <c r="A9" s="384" t="s">
        <v>378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30" t="s">
        <v>256</v>
      </c>
      <c r="B11" s="3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0"/>
    </row>
    <row r="12" spans="1:15" s="3" customFormat="1" ht="12.75">
      <c r="A12" s="15" t="s">
        <v>16</v>
      </c>
      <c r="B12" s="287">
        <f>SUM(C12:G12)</f>
        <v>24595</v>
      </c>
      <c r="C12" s="287">
        <v>11172</v>
      </c>
      <c r="D12" s="287">
        <v>13423</v>
      </c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52"/>
    </row>
    <row r="13" spans="1:15" s="3" customFormat="1" ht="12.75">
      <c r="A13" s="15" t="s">
        <v>17</v>
      </c>
      <c r="B13" s="287">
        <f>SUM(C13:G13)</f>
        <v>9718</v>
      </c>
      <c r="C13" s="287">
        <v>4651</v>
      </c>
      <c r="D13" s="287">
        <v>5067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52"/>
    </row>
    <row r="14" spans="1:15" s="3" customFormat="1" ht="12.75">
      <c r="A14" s="15" t="s">
        <v>35</v>
      </c>
      <c r="B14" s="287">
        <f>SUM(C14:G14)</f>
        <v>77438</v>
      </c>
      <c r="C14" s="287">
        <f>C13+C12</f>
        <v>15823</v>
      </c>
      <c r="D14" s="287">
        <f>D13+D12</f>
        <v>18490</v>
      </c>
      <c r="E14" s="287">
        <v>14444</v>
      </c>
      <c r="F14" s="287">
        <v>15564</v>
      </c>
      <c r="G14" s="287">
        <v>13117</v>
      </c>
      <c r="H14" s="287">
        <v>14849</v>
      </c>
      <c r="I14" s="287">
        <v>11853</v>
      </c>
      <c r="J14" s="287">
        <v>11387</v>
      </c>
      <c r="K14" s="287">
        <v>9557604.89</v>
      </c>
      <c r="L14" s="287">
        <v>15167546.97</v>
      </c>
      <c r="M14" s="287">
        <v>19923078.4</v>
      </c>
      <c r="N14" s="262">
        <v>22360770.42</v>
      </c>
      <c r="O14" s="252"/>
    </row>
    <row r="15" spans="1:15" s="3" customFormat="1" ht="12.75">
      <c r="A15" s="16" t="s">
        <v>1</v>
      </c>
      <c r="B15" s="298">
        <f>SUM(C15:G15)</f>
        <v>77438000</v>
      </c>
      <c r="C15" s="298">
        <f>C14*1000</f>
        <v>15823000</v>
      </c>
      <c r="D15" s="298">
        <f aca="true" t="shared" si="1" ref="D15:J15">D14*1000</f>
        <v>18490000</v>
      </c>
      <c r="E15" s="298">
        <f t="shared" si="1"/>
        <v>14444000</v>
      </c>
      <c r="F15" s="298">
        <f t="shared" si="1"/>
        <v>15564000</v>
      </c>
      <c r="G15" s="298">
        <f t="shared" si="1"/>
        <v>13117000</v>
      </c>
      <c r="H15" s="298">
        <f t="shared" si="1"/>
        <v>14849000</v>
      </c>
      <c r="I15" s="298">
        <f t="shared" si="1"/>
        <v>11853000</v>
      </c>
      <c r="J15" s="298">
        <f t="shared" si="1"/>
        <v>11387000</v>
      </c>
      <c r="K15" s="298">
        <f>K14</f>
        <v>9557604.89</v>
      </c>
      <c r="L15" s="298">
        <f>L14</f>
        <v>15167546.97</v>
      </c>
      <c r="M15" s="298">
        <f>M14</f>
        <v>19923078.4</v>
      </c>
      <c r="N15" s="298">
        <f>N14</f>
        <v>22360770.42</v>
      </c>
      <c r="O15" s="258">
        <f>SUM(C15:N15)</f>
        <v>182536000.68</v>
      </c>
    </row>
    <row r="16" spans="1:15" s="3" customFormat="1" ht="12.75">
      <c r="A16" s="2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3" customFormat="1" ht="12.75">
      <c r="A17" s="43" t="s">
        <v>43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0"/>
    </row>
    <row r="18" spans="1:15" s="3" customFormat="1" ht="12.75">
      <c r="A18" s="15" t="s">
        <v>16</v>
      </c>
      <c r="B18" s="265">
        <f>SUM(C18:G18)</f>
        <v>33095</v>
      </c>
      <c r="C18" s="265">
        <v>15113</v>
      </c>
      <c r="D18" s="265">
        <v>17982</v>
      </c>
      <c r="E18" s="265"/>
      <c r="F18" s="265"/>
      <c r="G18" s="265"/>
      <c r="H18" s="265"/>
      <c r="I18" s="265"/>
      <c r="J18" s="265"/>
      <c r="K18" s="265"/>
      <c r="L18" s="265"/>
      <c r="M18" s="265">
        <v>15461</v>
      </c>
      <c r="N18" s="267">
        <v>14712</v>
      </c>
      <c r="O18" s="265">
        <f>SUM(C18:N18)</f>
        <v>63268</v>
      </c>
    </row>
    <row r="19" spans="1:15" s="3" customFormat="1" ht="12.75">
      <c r="A19" s="15" t="s">
        <v>17</v>
      </c>
      <c r="B19" s="265">
        <f>SUM(C19:G19)</f>
        <v>17285</v>
      </c>
      <c r="C19" s="265">
        <v>8275</v>
      </c>
      <c r="D19" s="265">
        <v>9010</v>
      </c>
      <c r="E19" s="265"/>
      <c r="F19" s="265"/>
      <c r="G19" s="265"/>
      <c r="H19" s="265"/>
      <c r="I19" s="265"/>
      <c r="J19" s="265"/>
      <c r="K19" s="265"/>
      <c r="L19" s="265"/>
      <c r="M19" s="265">
        <v>24499</v>
      </c>
      <c r="N19" s="267">
        <v>25295</v>
      </c>
      <c r="O19" s="265">
        <f>SUM(C19:N19)</f>
        <v>67079</v>
      </c>
    </row>
    <row r="20" spans="1:15" s="3" customFormat="1" ht="12.75">
      <c r="A20" s="16" t="s">
        <v>35</v>
      </c>
      <c r="B20" s="278">
        <f>SUM(C20:G20)</f>
        <v>129021</v>
      </c>
      <c r="C20" s="278">
        <f>SUM(C18:C19)</f>
        <v>23388</v>
      </c>
      <c r="D20" s="278">
        <f>SUM(D18:D19)</f>
        <v>26992</v>
      </c>
      <c r="E20" s="278">
        <v>24786</v>
      </c>
      <c r="F20" s="278">
        <v>26345</v>
      </c>
      <c r="G20" s="278">
        <v>27510</v>
      </c>
      <c r="H20" s="278">
        <v>26379</v>
      </c>
      <c r="I20" s="278">
        <v>25740</v>
      </c>
      <c r="J20" s="278">
        <v>24066</v>
      </c>
      <c r="K20" s="278">
        <v>21282</v>
      </c>
      <c r="L20" s="278">
        <v>31287</v>
      </c>
      <c r="M20" s="278">
        <f>SUM(M18:M19)</f>
        <v>39960</v>
      </c>
      <c r="N20" s="278">
        <f>SUM(N18:N19)</f>
        <v>40007</v>
      </c>
      <c r="O20" s="278">
        <f>SUM(C20:N20)</f>
        <v>337742</v>
      </c>
    </row>
    <row r="21" spans="1:15" s="3" customFormat="1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4"/>
    </row>
    <row r="22" spans="1:15" s="3" customFormat="1" ht="12.75">
      <c r="A22" s="43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/>
    </row>
    <row r="23" spans="1:15" s="3" customFormat="1" ht="12.75">
      <c r="A23" s="43" t="s">
        <v>7</v>
      </c>
      <c r="B23" s="40" t="s">
        <v>8</v>
      </c>
      <c r="C23" s="40" t="s">
        <v>8</v>
      </c>
      <c r="D23" s="40" t="s">
        <v>8</v>
      </c>
      <c r="E23" s="40" t="s">
        <v>8</v>
      </c>
      <c r="F23" s="40" t="s">
        <v>8</v>
      </c>
      <c r="G23" s="40" t="s">
        <v>8</v>
      </c>
      <c r="H23" s="40" t="s">
        <v>8</v>
      </c>
      <c r="I23" s="40" t="s">
        <v>8</v>
      </c>
      <c r="J23" s="45" t="s">
        <v>8</v>
      </c>
      <c r="K23" s="45" t="s">
        <v>8</v>
      </c>
      <c r="L23" s="45" t="s">
        <v>8</v>
      </c>
      <c r="M23" s="45" t="s">
        <v>8</v>
      </c>
      <c r="N23" s="45" t="s">
        <v>8</v>
      </c>
      <c r="O23" s="44" t="s">
        <v>8</v>
      </c>
    </row>
    <row r="24" spans="1:15" ht="12.75">
      <c r="A24" s="15" t="s">
        <v>14</v>
      </c>
      <c r="B24" s="265">
        <f>SUM(C24:G24)</f>
        <v>73068</v>
      </c>
      <c r="C24" s="265">
        <v>12224</v>
      </c>
      <c r="D24" s="265">
        <v>15703</v>
      </c>
      <c r="E24" s="265">
        <v>14621</v>
      </c>
      <c r="F24" s="265">
        <v>15499</v>
      </c>
      <c r="G24" s="265">
        <v>15021</v>
      </c>
      <c r="H24" s="265">
        <v>11545</v>
      </c>
      <c r="I24" s="265">
        <v>13323</v>
      </c>
      <c r="J24" s="265">
        <v>4973</v>
      </c>
      <c r="K24" s="265">
        <v>4771</v>
      </c>
      <c r="L24" s="265">
        <v>8087</v>
      </c>
      <c r="M24" s="265">
        <v>12364</v>
      </c>
      <c r="N24" s="267">
        <v>13149</v>
      </c>
      <c r="O24" s="265">
        <f>SUM(C24:N24)</f>
        <v>141280</v>
      </c>
    </row>
    <row r="25" spans="1:15" ht="12.75">
      <c r="A25" s="15" t="s">
        <v>10</v>
      </c>
      <c r="B25" s="265">
        <f>SUM(C25:G25)</f>
        <v>1095661</v>
      </c>
      <c r="C25" s="265">
        <v>183354</v>
      </c>
      <c r="D25" s="265">
        <v>235546</v>
      </c>
      <c r="E25" s="265">
        <v>219320</v>
      </c>
      <c r="F25" s="265">
        <v>232484</v>
      </c>
      <c r="G25" s="265">
        <v>224957</v>
      </c>
      <c r="H25" s="265">
        <v>173181</v>
      </c>
      <c r="I25" s="265">
        <v>199843</v>
      </c>
      <c r="J25" s="265">
        <v>83068</v>
      </c>
      <c r="K25" s="265">
        <v>83807</v>
      </c>
      <c r="L25" s="265">
        <v>135866</v>
      </c>
      <c r="M25" s="265">
        <v>210355</v>
      </c>
      <c r="N25" s="267">
        <v>227057</v>
      </c>
      <c r="O25" s="265">
        <f>SUM(C25:N25)</f>
        <v>2208838</v>
      </c>
    </row>
    <row r="26" spans="1:15" ht="12.75">
      <c r="A26" s="2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58"/>
      <c r="O26" s="44"/>
    </row>
    <row r="27" spans="1:15" ht="12.75">
      <c r="A27" s="43" t="s">
        <v>133</v>
      </c>
      <c r="B27" s="44" t="s">
        <v>11</v>
      </c>
      <c r="C27" s="44" t="s">
        <v>11</v>
      </c>
      <c r="D27" s="44" t="s">
        <v>11</v>
      </c>
      <c r="E27" s="44" t="s">
        <v>11</v>
      </c>
      <c r="F27" s="44" t="s">
        <v>11</v>
      </c>
      <c r="G27" s="44" t="s">
        <v>11</v>
      </c>
      <c r="H27" s="44" t="s">
        <v>11</v>
      </c>
      <c r="I27" s="44" t="s">
        <v>11</v>
      </c>
      <c r="J27" s="86" t="s">
        <v>11</v>
      </c>
      <c r="K27" s="86" t="s">
        <v>11</v>
      </c>
      <c r="L27" s="86" t="s">
        <v>11</v>
      </c>
      <c r="M27" s="86" t="s">
        <v>11</v>
      </c>
      <c r="N27" s="90" t="s">
        <v>11</v>
      </c>
      <c r="O27" s="44" t="s">
        <v>11</v>
      </c>
    </row>
    <row r="28" spans="1:15" ht="12.75">
      <c r="A28" s="15" t="s">
        <v>36</v>
      </c>
      <c r="B28" s="265">
        <f>SUM(C28:G28)</f>
        <v>62634</v>
      </c>
      <c r="C28" s="265">
        <v>10761</v>
      </c>
      <c r="D28" s="265">
        <v>13825</v>
      </c>
      <c r="E28" s="265">
        <v>12254</v>
      </c>
      <c r="F28" s="265">
        <v>13065</v>
      </c>
      <c r="G28" s="265">
        <v>12729</v>
      </c>
      <c r="H28" s="265">
        <v>9651</v>
      </c>
      <c r="I28" s="265">
        <v>10666</v>
      </c>
      <c r="J28" s="265">
        <v>2710</v>
      </c>
      <c r="K28" s="265">
        <v>1804</v>
      </c>
      <c r="L28" s="265">
        <v>4825</v>
      </c>
      <c r="M28" s="265">
        <v>6845</v>
      </c>
      <c r="N28" s="267">
        <v>6715</v>
      </c>
      <c r="O28" s="265">
        <f>SUM(C28:N28)</f>
        <v>105850</v>
      </c>
    </row>
    <row r="29" spans="1:15" ht="12.75">
      <c r="A29" s="4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44"/>
    </row>
    <row r="30" spans="1:15" ht="12.75">
      <c r="A30" s="43" t="s">
        <v>12</v>
      </c>
      <c r="B30" s="44" t="s">
        <v>13</v>
      </c>
      <c r="C30" s="44" t="s">
        <v>13</v>
      </c>
      <c r="D30" s="44" t="s">
        <v>13</v>
      </c>
      <c r="E30" s="44" t="s">
        <v>13</v>
      </c>
      <c r="F30" s="44" t="s">
        <v>13</v>
      </c>
      <c r="G30" s="44" t="s">
        <v>13</v>
      </c>
      <c r="H30" s="44" t="s">
        <v>13</v>
      </c>
      <c r="I30" s="44" t="s">
        <v>13</v>
      </c>
      <c r="J30" s="86" t="s">
        <v>13</v>
      </c>
      <c r="K30" s="86" t="s">
        <v>13</v>
      </c>
      <c r="L30" s="86" t="s">
        <v>13</v>
      </c>
      <c r="M30" s="86" t="s">
        <v>13</v>
      </c>
      <c r="N30" s="90" t="s">
        <v>13</v>
      </c>
      <c r="O30" s="44" t="s">
        <v>13</v>
      </c>
    </row>
    <row r="31" spans="1:15" ht="12.75">
      <c r="A31" s="15" t="s">
        <v>14</v>
      </c>
      <c r="B31" s="265">
        <f>SUM(C31:G31)</f>
        <v>654419</v>
      </c>
      <c r="C31" s="265">
        <v>117212</v>
      </c>
      <c r="D31" s="265">
        <v>144346</v>
      </c>
      <c r="E31" s="265">
        <v>118900</v>
      </c>
      <c r="F31" s="265">
        <v>135002</v>
      </c>
      <c r="G31" s="265">
        <v>138959</v>
      </c>
      <c r="H31" s="265">
        <v>231174</v>
      </c>
      <c r="I31" s="265">
        <v>205199</v>
      </c>
      <c r="J31" s="265">
        <v>167668</v>
      </c>
      <c r="K31" s="265">
        <v>202257</v>
      </c>
      <c r="L31" s="265">
        <v>259633</v>
      </c>
      <c r="M31" s="265">
        <v>343759</v>
      </c>
      <c r="N31" s="267">
        <v>343517</v>
      </c>
      <c r="O31" s="265">
        <f>SUM(C31:N31)</f>
        <v>2407626</v>
      </c>
    </row>
    <row r="32" spans="1:15" ht="12.75">
      <c r="A32" s="15" t="s">
        <v>10</v>
      </c>
      <c r="B32" s="265">
        <f>SUM(C32:G32)</f>
        <v>12328739</v>
      </c>
      <c r="C32" s="265">
        <v>2344252</v>
      </c>
      <c r="D32" s="265">
        <v>2886917</v>
      </c>
      <c r="E32" s="265">
        <v>2172633</v>
      </c>
      <c r="F32" s="265">
        <v>2431125</v>
      </c>
      <c r="G32" s="265">
        <v>2493812</v>
      </c>
      <c r="H32" s="265">
        <v>3095022</v>
      </c>
      <c r="I32" s="265">
        <v>3830587</v>
      </c>
      <c r="J32" s="265">
        <v>3285309</v>
      </c>
      <c r="K32" s="265">
        <v>3952255</v>
      </c>
      <c r="L32" s="265">
        <v>5096054</v>
      </c>
      <c r="M32" s="265">
        <v>6779179</v>
      </c>
      <c r="N32" s="267">
        <v>6728822</v>
      </c>
      <c r="O32" s="265">
        <f>SUM(C32:N32)</f>
        <v>45095967</v>
      </c>
    </row>
    <row r="33" ht="12.75">
      <c r="A33" s="2" t="s">
        <v>356</v>
      </c>
    </row>
    <row r="34" spans="1:3" ht="12.75">
      <c r="A34" s="5"/>
      <c r="B34" s="5"/>
      <c r="C34" s="7"/>
    </row>
    <row r="35" ht="12.75">
      <c r="C35" s="8"/>
    </row>
    <row r="36" spans="1:2" ht="12.75">
      <c r="A36" s="2"/>
      <c r="B36" s="2"/>
    </row>
    <row r="37" spans="1:26" ht="12.75">
      <c r="A37" s="2"/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2"/>
      <c r="B38" s="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2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2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3" ht="12.75">
      <c r="A41" s="2"/>
      <c r="B41" s="2"/>
      <c r="C41" s="8"/>
    </row>
    <row r="42" spans="1:2" ht="12.75">
      <c r="A42" s="2"/>
      <c r="B42" s="2"/>
    </row>
    <row r="43" spans="1:18" ht="12.75">
      <c r="A43" s="2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2.75">
      <c r="C44" s="8"/>
    </row>
    <row r="45" spans="1:2" ht="12.75">
      <c r="A45" s="2"/>
      <c r="B45" s="2"/>
    </row>
    <row r="46" spans="1:18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>
      <c r="A48" s="2"/>
      <c r="B48" s="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3" ht="12.75">
      <c r="A50" s="2"/>
      <c r="B50" s="2"/>
      <c r="C50" s="8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</sheetData>
  <sheetProtection/>
  <mergeCells count="2">
    <mergeCell ref="A1:O1"/>
    <mergeCell ref="A9:O9"/>
  </mergeCells>
  <printOptions/>
  <pageMargins left="0.55" right="0.57" top="0.57" bottom="0.82" header="0.5" footer="0.5"/>
  <pageSetup fitToHeight="1" fitToWidth="1" horizontalDpi="600" verticalDpi="600" orientation="landscape" scale="81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3" max="255" man="1"/>
  </rowBreaks>
  <ignoredErrors>
    <ignoredError sqref="F4:M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Z133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7.00390625" style="3" customWidth="1"/>
    <col min="2" max="2" width="14.8515625" style="3" bestFit="1" customWidth="1"/>
    <col min="3" max="5" width="16.140625" style="6" hidden="1" customWidth="1"/>
    <col min="6" max="6" width="15.421875" style="6" hidden="1" customWidth="1"/>
    <col min="7" max="7" width="13.8515625" style="6" hidden="1" customWidth="1"/>
    <col min="8" max="8" width="13.8515625" style="6" bestFit="1" customWidth="1"/>
    <col min="9" max="9" width="15.57421875" style="6" bestFit="1" customWidth="1"/>
    <col min="10" max="10" width="13.8515625" style="6" customWidth="1"/>
    <col min="11" max="14" width="14.421875" style="6" bestFit="1" customWidth="1"/>
    <col min="15" max="15" width="15.421875" style="6" bestFit="1" customWidth="1"/>
    <col min="16" max="16" width="10.8515625" style="6" bestFit="1" customWidth="1"/>
    <col min="17" max="16384" width="10.7109375" style="6" customWidth="1"/>
  </cols>
  <sheetData>
    <row r="1" spans="1:15" ht="15.75">
      <c r="A1" s="382" t="s">
        <v>93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7" ht="12.75">
      <c r="A2" s="21"/>
      <c r="B2" s="21"/>
      <c r="P2" s="3"/>
      <c r="Q2" s="3"/>
    </row>
    <row r="3" spans="1:17" ht="25.5">
      <c r="A3" s="30" t="s">
        <v>255</v>
      </c>
      <c r="B3" s="207" t="s">
        <v>354</v>
      </c>
      <c r="C3" s="28">
        <v>2001</v>
      </c>
      <c r="D3" s="28">
        <v>2002</v>
      </c>
      <c r="E3" s="28">
        <v>2003</v>
      </c>
      <c r="F3" s="28">
        <v>2004</v>
      </c>
      <c r="G3" s="28">
        <v>2005</v>
      </c>
      <c r="H3" s="28">
        <v>2006</v>
      </c>
      <c r="I3" s="28">
        <v>2007</v>
      </c>
      <c r="J3" s="28">
        <v>2008</v>
      </c>
      <c r="K3" s="28">
        <v>2009</v>
      </c>
      <c r="L3" s="28">
        <v>2010</v>
      </c>
      <c r="M3" s="28">
        <v>2011</v>
      </c>
      <c r="N3" s="207" t="s">
        <v>423</v>
      </c>
      <c r="O3" s="126" t="s">
        <v>427</v>
      </c>
      <c r="P3" s="3"/>
      <c r="Q3" s="3"/>
    </row>
    <row r="4" spans="1:17" ht="12.75">
      <c r="A4" s="18" t="s">
        <v>55</v>
      </c>
      <c r="B4" s="287">
        <f>SUM(C4:G4)</f>
        <v>49904</v>
      </c>
      <c r="C4" s="295">
        <v>21551</v>
      </c>
      <c r="D4" s="295">
        <v>28353</v>
      </c>
      <c r="E4" s="295"/>
      <c r="F4" s="295"/>
      <c r="G4" s="287"/>
      <c r="H4" s="287"/>
      <c r="I4" s="287"/>
      <c r="J4" s="287"/>
      <c r="K4" s="293"/>
      <c r="L4" s="293"/>
      <c r="M4" s="293"/>
      <c r="N4" s="293"/>
      <c r="O4" s="293"/>
      <c r="P4" s="3"/>
      <c r="Q4" s="3"/>
    </row>
    <row r="5" spans="1:17" ht="12.75">
      <c r="A5" s="18" t="s">
        <v>56</v>
      </c>
      <c r="B5" s="287">
        <f aca="true" t="shared" si="0" ref="B5:B11">SUM(C5:G5)</f>
        <v>1926</v>
      </c>
      <c r="C5" s="295">
        <v>984</v>
      </c>
      <c r="D5" s="295">
        <v>942</v>
      </c>
      <c r="E5" s="295"/>
      <c r="F5" s="295"/>
      <c r="G5" s="287"/>
      <c r="H5" s="287"/>
      <c r="I5" s="287"/>
      <c r="J5" s="287"/>
      <c r="K5" s="293"/>
      <c r="L5" s="293"/>
      <c r="M5" s="293"/>
      <c r="N5" s="293"/>
      <c r="O5" s="293"/>
      <c r="P5" s="3"/>
      <c r="Q5" s="3"/>
    </row>
    <row r="6" spans="1:17" ht="12.75">
      <c r="A6" s="18" t="s">
        <v>57</v>
      </c>
      <c r="B6" s="287">
        <f t="shared" si="0"/>
        <v>1094</v>
      </c>
      <c r="C6" s="295">
        <v>445</v>
      </c>
      <c r="D6" s="295">
        <v>649</v>
      </c>
      <c r="E6" s="295"/>
      <c r="F6" s="295"/>
      <c r="G6" s="287"/>
      <c r="H6" s="287"/>
      <c r="I6" s="287"/>
      <c r="J6" s="287"/>
      <c r="K6" s="293"/>
      <c r="L6" s="293"/>
      <c r="M6" s="293"/>
      <c r="N6" s="293"/>
      <c r="O6" s="293"/>
      <c r="P6" s="3"/>
      <c r="Q6" s="3"/>
    </row>
    <row r="7" spans="1:17" ht="12.75">
      <c r="A7" s="19" t="s">
        <v>58</v>
      </c>
      <c r="B7" s="287">
        <f t="shared" si="0"/>
        <v>9762</v>
      </c>
      <c r="C7" s="295"/>
      <c r="D7" s="295"/>
      <c r="E7" s="295">
        <v>3145</v>
      </c>
      <c r="F7" s="295">
        <v>3317</v>
      </c>
      <c r="G7" s="287">
        <v>3300</v>
      </c>
      <c r="H7" s="287">
        <v>3811</v>
      </c>
      <c r="I7" s="287">
        <v>4000</v>
      </c>
      <c r="J7" s="287">
        <v>4503</v>
      </c>
      <c r="K7" s="293">
        <v>10691720.49</v>
      </c>
      <c r="L7" s="293">
        <v>6813711.71</v>
      </c>
      <c r="M7" s="293">
        <v>6867143.41</v>
      </c>
      <c r="N7" s="294">
        <v>4524122.02</v>
      </c>
      <c r="O7" s="293"/>
      <c r="P7" s="3"/>
      <c r="Q7" s="3"/>
    </row>
    <row r="8" spans="1:17" ht="12.75">
      <c r="A8" s="19" t="s">
        <v>61</v>
      </c>
      <c r="B8" s="287">
        <f t="shared" si="0"/>
        <v>66762</v>
      </c>
      <c r="C8" s="295"/>
      <c r="D8" s="295"/>
      <c r="E8" s="295">
        <v>24089</v>
      </c>
      <c r="F8" s="295">
        <v>21773</v>
      </c>
      <c r="G8" s="287">
        <v>20900</v>
      </c>
      <c r="H8" s="287">
        <v>25180</v>
      </c>
      <c r="I8" s="287">
        <v>26068</v>
      </c>
      <c r="J8" s="287">
        <v>22596</v>
      </c>
      <c r="K8" s="293">
        <v>22020298.02</v>
      </c>
      <c r="L8" s="293">
        <v>35109759.59</v>
      </c>
      <c r="M8" s="293">
        <v>45899451.3</v>
      </c>
      <c r="N8" s="294">
        <v>57257018.97</v>
      </c>
      <c r="O8" s="293"/>
      <c r="P8" s="3"/>
      <c r="Q8" s="3"/>
    </row>
    <row r="9" spans="1:17" ht="12.75">
      <c r="A9" s="19" t="s">
        <v>62</v>
      </c>
      <c r="B9" s="287">
        <f t="shared" si="0"/>
        <v>15279</v>
      </c>
      <c r="C9" s="295"/>
      <c r="D9" s="295"/>
      <c r="E9" s="295">
        <v>6670</v>
      </c>
      <c r="F9" s="295">
        <v>5109</v>
      </c>
      <c r="G9" s="287">
        <v>3500</v>
      </c>
      <c r="H9" s="287">
        <v>3872</v>
      </c>
      <c r="I9" s="287">
        <v>5000</v>
      </c>
      <c r="J9" s="287">
        <v>3737</v>
      </c>
      <c r="K9" s="293">
        <v>7103223.98</v>
      </c>
      <c r="L9" s="293"/>
      <c r="M9" s="293"/>
      <c r="N9" s="293"/>
      <c r="O9" s="293"/>
      <c r="P9" s="3"/>
      <c r="Q9" s="3"/>
    </row>
    <row r="10" spans="1:17" ht="12.75">
      <c r="A10" s="16" t="s">
        <v>60</v>
      </c>
      <c r="B10" s="287">
        <f t="shared" si="0"/>
        <v>144727</v>
      </c>
      <c r="C10" s="295">
        <f aca="true" t="shared" si="1" ref="C10:J10">SUM(C4:C9)</f>
        <v>22980</v>
      </c>
      <c r="D10" s="295">
        <f t="shared" si="1"/>
        <v>29944</v>
      </c>
      <c r="E10" s="295">
        <f t="shared" si="1"/>
        <v>33904</v>
      </c>
      <c r="F10" s="287">
        <f t="shared" si="1"/>
        <v>30199</v>
      </c>
      <c r="G10" s="287">
        <f t="shared" si="1"/>
        <v>27700</v>
      </c>
      <c r="H10" s="287">
        <f t="shared" si="1"/>
        <v>32863</v>
      </c>
      <c r="I10" s="287">
        <f t="shared" si="1"/>
        <v>35068</v>
      </c>
      <c r="J10" s="287">
        <f t="shared" si="1"/>
        <v>30836</v>
      </c>
      <c r="K10" s="293"/>
      <c r="L10" s="293"/>
      <c r="M10" s="293"/>
      <c r="N10" s="293"/>
      <c r="O10" s="293"/>
      <c r="P10" s="4"/>
      <c r="Q10" s="3"/>
    </row>
    <row r="11" spans="1:17" ht="12.75">
      <c r="A11" s="16" t="s">
        <v>254</v>
      </c>
      <c r="B11" s="231">
        <f t="shared" si="0"/>
        <v>144727000</v>
      </c>
      <c r="C11" s="357">
        <f>C10*1000</f>
        <v>22980000</v>
      </c>
      <c r="D11" s="357">
        <f aca="true" t="shared" si="2" ref="D11:J11">D10*1000</f>
        <v>29944000</v>
      </c>
      <c r="E11" s="357">
        <f t="shared" si="2"/>
        <v>33904000</v>
      </c>
      <c r="F11" s="357">
        <f t="shared" si="2"/>
        <v>30199000</v>
      </c>
      <c r="G11" s="231">
        <f t="shared" si="2"/>
        <v>27700000</v>
      </c>
      <c r="H11" s="231">
        <f t="shared" si="2"/>
        <v>32863000</v>
      </c>
      <c r="I11" s="231">
        <f t="shared" si="2"/>
        <v>35068000</v>
      </c>
      <c r="J11" s="231">
        <f t="shared" si="2"/>
        <v>30836000</v>
      </c>
      <c r="K11" s="231">
        <f>SUM(K4:K9)</f>
        <v>39815242.489999995</v>
      </c>
      <c r="L11" s="231">
        <f>SUM(L4:L9)</f>
        <v>41923471.300000004</v>
      </c>
      <c r="M11" s="231">
        <f>SUM(M4:M9)</f>
        <v>52766594.70999999</v>
      </c>
      <c r="N11" s="231">
        <f>SUM(N4:N9)</f>
        <v>61781140.989999995</v>
      </c>
      <c r="O11" s="231">
        <f>SUM(C11:N11)</f>
        <v>439780449.49</v>
      </c>
      <c r="P11" s="4"/>
      <c r="Q11" s="3"/>
    </row>
    <row r="12" spans="1:17" ht="26.25" customHeight="1">
      <c r="A12" s="384" t="s">
        <v>343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4"/>
      <c r="Q12" s="3"/>
    </row>
    <row r="13" spans="1:17" ht="12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3"/>
      <c r="Q13" s="3"/>
    </row>
    <row r="14" spans="1:17" ht="12.75">
      <c r="A14" s="30" t="s">
        <v>308</v>
      </c>
      <c r="B14" s="123"/>
      <c r="C14" s="41"/>
      <c r="D14" s="41"/>
      <c r="E14" s="41"/>
      <c r="F14" s="41"/>
      <c r="G14" s="123"/>
      <c r="H14" s="123"/>
      <c r="I14" s="123"/>
      <c r="J14" s="123"/>
      <c r="K14" s="123"/>
      <c r="L14" s="123"/>
      <c r="M14" s="123"/>
      <c r="N14" s="123"/>
      <c r="O14" s="104"/>
      <c r="P14" s="3"/>
      <c r="Q14" s="3"/>
    </row>
    <row r="15" spans="1:15" s="3" customFormat="1" ht="12.75">
      <c r="A15" s="18" t="s">
        <v>55</v>
      </c>
      <c r="B15" s="287">
        <f aca="true" t="shared" si="3" ref="B15:B22">SUM(C15:G15)</f>
        <v>50617</v>
      </c>
      <c r="C15" s="295">
        <v>12346</v>
      </c>
      <c r="D15" s="295">
        <v>38271</v>
      </c>
      <c r="E15" s="295"/>
      <c r="F15" s="295"/>
      <c r="G15" s="287"/>
      <c r="H15" s="287"/>
      <c r="I15" s="287"/>
      <c r="J15" s="287"/>
      <c r="K15" s="121"/>
      <c r="L15" s="121"/>
      <c r="M15" s="121"/>
      <c r="N15" s="121"/>
      <c r="O15" s="121"/>
    </row>
    <row r="16" spans="1:15" s="3" customFormat="1" ht="12.75">
      <c r="A16" s="18" t="s">
        <v>56</v>
      </c>
      <c r="B16" s="287">
        <f t="shared" si="3"/>
        <v>592</v>
      </c>
      <c r="C16" s="295">
        <v>96</v>
      </c>
      <c r="D16" s="295">
        <v>496</v>
      </c>
      <c r="E16" s="295"/>
      <c r="F16" s="295"/>
      <c r="G16" s="287"/>
      <c r="H16" s="287"/>
      <c r="I16" s="287"/>
      <c r="J16" s="287"/>
      <c r="K16" s="121"/>
      <c r="L16" s="121"/>
      <c r="M16" s="121"/>
      <c r="N16" s="121"/>
      <c r="O16" s="121"/>
    </row>
    <row r="17" spans="1:15" s="3" customFormat="1" ht="12.75">
      <c r="A17" s="18" t="s">
        <v>57</v>
      </c>
      <c r="B17" s="287">
        <f t="shared" si="3"/>
        <v>131</v>
      </c>
      <c r="C17" s="295">
        <v>59</v>
      </c>
      <c r="D17" s="295">
        <v>72</v>
      </c>
      <c r="E17" s="295"/>
      <c r="F17" s="295"/>
      <c r="G17" s="287"/>
      <c r="H17" s="287"/>
      <c r="I17" s="287"/>
      <c r="J17" s="287"/>
      <c r="K17" s="121"/>
      <c r="L17" s="121"/>
      <c r="M17" s="121"/>
      <c r="N17" s="121"/>
      <c r="O17" s="121"/>
    </row>
    <row r="18" spans="1:15" s="3" customFormat="1" ht="12.75">
      <c r="A18" s="19" t="s">
        <v>58</v>
      </c>
      <c r="B18" s="287">
        <f t="shared" si="3"/>
        <v>11464</v>
      </c>
      <c r="C18" s="295"/>
      <c r="D18" s="295"/>
      <c r="E18" s="295">
        <v>3832</v>
      </c>
      <c r="F18" s="295">
        <v>3902</v>
      </c>
      <c r="G18" s="287">
        <v>3730</v>
      </c>
      <c r="H18" s="287">
        <v>1422</v>
      </c>
      <c r="I18" s="287">
        <v>2358</v>
      </c>
      <c r="J18" s="287">
        <v>1544</v>
      </c>
      <c r="K18" s="294">
        <v>2240924.83</v>
      </c>
      <c r="L18" s="294">
        <v>2446568.3</v>
      </c>
      <c r="M18" s="294">
        <v>2387636.95</v>
      </c>
      <c r="N18" s="294">
        <v>2211895.72</v>
      </c>
      <c r="O18" s="121"/>
    </row>
    <row r="19" spans="1:15" s="3" customFormat="1" ht="12.75">
      <c r="A19" s="19" t="s">
        <v>61</v>
      </c>
      <c r="B19" s="287">
        <f t="shared" si="3"/>
        <v>65128</v>
      </c>
      <c r="C19" s="295"/>
      <c r="D19" s="295"/>
      <c r="E19" s="295">
        <v>25095</v>
      </c>
      <c r="F19" s="295">
        <v>22686</v>
      </c>
      <c r="G19" s="287">
        <v>17347</v>
      </c>
      <c r="H19" s="287">
        <v>16973</v>
      </c>
      <c r="I19" s="287">
        <v>13047</v>
      </c>
      <c r="J19" s="287">
        <v>11710</v>
      </c>
      <c r="K19" s="294">
        <v>14410530.34</v>
      </c>
      <c r="L19" s="294">
        <v>17220583.18</v>
      </c>
      <c r="M19" s="294">
        <v>15697501.92</v>
      </c>
      <c r="N19" s="294">
        <v>33463190.76</v>
      </c>
      <c r="O19" s="121"/>
    </row>
    <row r="20" spans="1:15" s="3" customFormat="1" ht="12.75">
      <c r="A20" s="19" t="s">
        <v>62</v>
      </c>
      <c r="B20" s="287">
        <f t="shared" si="3"/>
        <v>8061</v>
      </c>
      <c r="C20" s="295"/>
      <c r="D20" s="295"/>
      <c r="E20" s="295">
        <v>1628</v>
      </c>
      <c r="F20" s="295">
        <v>3073</v>
      </c>
      <c r="G20" s="287">
        <v>3360</v>
      </c>
      <c r="H20" s="287">
        <v>1672</v>
      </c>
      <c r="I20" s="287">
        <v>843</v>
      </c>
      <c r="J20" s="287">
        <v>1085</v>
      </c>
      <c r="K20" s="294">
        <v>1006162.63</v>
      </c>
      <c r="L20" s="294"/>
      <c r="M20" s="294"/>
      <c r="N20" s="294"/>
      <c r="O20" s="121"/>
    </row>
    <row r="21" spans="1:16" s="3" customFormat="1" ht="12.75">
      <c r="A21" s="16" t="s">
        <v>60</v>
      </c>
      <c r="B21" s="287">
        <f t="shared" si="3"/>
        <v>135993</v>
      </c>
      <c r="C21" s="295">
        <f aca="true" t="shared" si="4" ref="C21:J21">SUM(C15:C20)</f>
        <v>12501</v>
      </c>
      <c r="D21" s="295">
        <f t="shared" si="4"/>
        <v>38839</v>
      </c>
      <c r="E21" s="295">
        <f t="shared" si="4"/>
        <v>30555</v>
      </c>
      <c r="F21" s="295">
        <f t="shared" si="4"/>
        <v>29661</v>
      </c>
      <c r="G21" s="287">
        <f t="shared" si="4"/>
        <v>24437</v>
      </c>
      <c r="H21" s="287">
        <f t="shared" si="4"/>
        <v>20067</v>
      </c>
      <c r="I21" s="287">
        <f t="shared" si="4"/>
        <v>16248</v>
      </c>
      <c r="J21" s="287">
        <f t="shared" si="4"/>
        <v>14339</v>
      </c>
      <c r="K21" s="294"/>
      <c r="L21" s="294"/>
      <c r="M21" s="294"/>
      <c r="N21" s="294"/>
      <c r="O21" s="121"/>
      <c r="P21" s="4"/>
    </row>
    <row r="22" spans="1:15" s="3" customFormat="1" ht="12.75">
      <c r="A22" s="16" t="s">
        <v>254</v>
      </c>
      <c r="B22" s="231">
        <f t="shared" si="3"/>
        <v>135993000</v>
      </c>
      <c r="C22" s="357">
        <f>C21*1000</f>
        <v>12501000</v>
      </c>
      <c r="D22" s="357">
        <f aca="true" t="shared" si="5" ref="D22:J22">D21*1000</f>
        <v>38839000</v>
      </c>
      <c r="E22" s="357">
        <f t="shared" si="5"/>
        <v>30555000</v>
      </c>
      <c r="F22" s="357">
        <f t="shared" si="5"/>
        <v>29661000</v>
      </c>
      <c r="G22" s="231">
        <f t="shared" si="5"/>
        <v>24437000</v>
      </c>
      <c r="H22" s="231">
        <f t="shared" si="5"/>
        <v>20067000</v>
      </c>
      <c r="I22" s="231">
        <f t="shared" si="5"/>
        <v>16248000</v>
      </c>
      <c r="J22" s="231">
        <f t="shared" si="5"/>
        <v>14339000</v>
      </c>
      <c r="K22" s="304">
        <f>SUM(K15:K20)</f>
        <v>17657617.8</v>
      </c>
      <c r="L22" s="304">
        <f>SUM(L15:L20)</f>
        <v>19667151.48</v>
      </c>
      <c r="M22" s="304">
        <f>SUM(M15:M20)</f>
        <v>18085138.87</v>
      </c>
      <c r="N22" s="304">
        <f>SUM(N15:N20)</f>
        <v>35675086.480000004</v>
      </c>
      <c r="O22" s="304">
        <f>SUM(C22:N22)</f>
        <v>277731994.63</v>
      </c>
    </row>
    <row r="23" spans="1:16" s="3" customFormat="1" ht="12.75">
      <c r="A23" s="43"/>
      <c r="B23" s="98"/>
      <c r="C23" s="42"/>
      <c r="D23" s="42"/>
      <c r="E23" s="42"/>
      <c r="F23" s="42"/>
      <c r="G23" s="98"/>
      <c r="H23" s="98"/>
      <c r="I23" s="98"/>
      <c r="J23" s="98"/>
      <c r="K23" s="98"/>
      <c r="L23" s="98"/>
      <c r="M23" s="98"/>
      <c r="N23" s="98"/>
      <c r="O23" s="98"/>
      <c r="P23" s="4"/>
    </row>
    <row r="24" spans="1:16" s="3" customFormat="1" ht="12.75">
      <c r="A24" s="356" t="s">
        <v>20</v>
      </c>
      <c r="B24" s="98"/>
      <c r="C24" s="42"/>
      <c r="D24" s="42"/>
      <c r="E24" s="42"/>
      <c r="F24" s="42"/>
      <c r="G24" s="98"/>
      <c r="H24" s="98"/>
      <c r="I24" s="98"/>
      <c r="J24" s="98"/>
      <c r="K24" s="98"/>
      <c r="L24" s="98"/>
      <c r="M24" s="98"/>
      <c r="N24" s="98"/>
      <c r="O24" s="98"/>
      <c r="P24" s="4"/>
    </row>
    <row r="25" spans="1:16" s="3" customFormat="1" ht="12.75">
      <c r="A25" s="19" t="s">
        <v>58</v>
      </c>
      <c r="B25" s="354"/>
      <c r="C25" s="355"/>
      <c r="D25" s="355"/>
      <c r="E25" s="355"/>
      <c r="F25" s="355"/>
      <c r="G25" s="354"/>
      <c r="H25" s="354"/>
      <c r="I25" s="354"/>
      <c r="J25" s="354"/>
      <c r="K25" s="294"/>
      <c r="L25" s="294"/>
      <c r="M25" s="294"/>
      <c r="N25" s="294">
        <v>816292.57</v>
      </c>
      <c r="O25" s="98"/>
      <c r="P25" s="4"/>
    </row>
    <row r="26" spans="1:16" s="3" customFormat="1" ht="12.75">
      <c r="A26" s="19" t="s">
        <v>61</v>
      </c>
      <c r="B26" s="354"/>
      <c r="C26" s="355"/>
      <c r="D26" s="355"/>
      <c r="E26" s="355"/>
      <c r="F26" s="355"/>
      <c r="G26" s="354"/>
      <c r="H26" s="354"/>
      <c r="I26" s="354"/>
      <c r="J26" s="354"/>
      <c r="K26" s="294"/>
      <c r="L26" s="294"/>
      <c r="M26" s="294"/>
      <c r="N26" s="294">
        <v>24239268.42</v>
      </c>
      <c r="O26" s="98"/>
      <c r="P26" s="4"/>
    </row>
    <row r="27" spans="1:16" s="3" customFormat="1" ht="12.75">
      <c r="A27" s="16" t="s">
        <v>60</v>
      </c>
      <c r="B27" s="298">
        <f>SUM(C27:G27)</f>
        <v>0</v>
      </c>
      <c r="C27" s="315"/>
      <c r="D27" s="315"/>
      <c r="E27" s="315"/>
      <c r="F27" s="315"/>
      <c r="G27" s="298"/>
      <c r="H27" s="298"/>
      <c r="I27" s="298">
        <v>13474</v>
      </c>
      <c r="J27" s="298">
        <f>2997+13425+1234</f>
        <v>17656</v>
      </c>
      <c r="K27" s="304">
        <v>22124461.33</v>
      </c>
      <c r="L27" s="304">
        <v>16665840</v>
      </c>
      <c r="M27" s="304">
        <f>2430340+21743160</f>
        <v>24173500</v>
      </c>
      <c r="N27" s="304">
        <f>SUM(N25:N26)</f>
        <v>25055560.990000002</v>
      </c>
      <c r="O27" s="98"/>
      <c r="P27" s="4"/>
    </row>
    <row r="28" spans="1:15" s="3" customFormat="1" ht="12.75">
      <c r="A28" s="2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3" customFormat="1" ht="12.75">
      <c r="A29" s="43" t="s">
        <v>63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3" customFormat="1" ht="12.75">
      <c r="A30" s="18" t="s">
        <v>55</v>
      </c>
      <c r="B30" s="265">
        <f aca="true" t="shared" si="6" ref="B30:B36">SUM(C30:G30)</f>
        <v>10702</v>
      </c>
      <c r="C30" s="265">
        <v>1632</v>
      </c>
      <c r="D30" s="265">
        <v>9070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>
        <f aca="true" t="shared" si="7" ref="O30:O36">SUM(C30:N30)</f>
        <v>10702</v>
      </c>
    </row>
    <row r="31" spans="1:15" s="3" customFormat="1" ht="12.75">
      <c r="A31" s="18" t="s">
        <v>56</v>
      </c>
      <c r="B31" s="265">
        <f t="shared" si="6"/>
        <v>87</v>
      </c>
      <c r="C31" s="265">
        <v>11</v>
      </c>
      <c r="D31" s="265">
        <v>76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>
        <f t="shared" si="7"/>
        <v>87</v>
      </c>
    </row>
    <row r="32" spans="1:15" s="3" customFormat="1" ht="12.75">
      <c r="A32" s="18" t="s">
        <v>57</v>
      </c>
      <c r="B32" s="265">
        <f t="shared" si="6"/>
        <v>24</v>
      </c>
      <c r="C32" s="265">
        <v>7</v>
      </c>
      <c r="D32" s="265">
        <v>17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>
        <f t="shared" si="7"/>
        <v>24</v>
      </c>
    </row>
    <row r="33" spans="1:15" s="3" customFormat="1" ht="12.75">
      <c r="A33" s="19" t="s">
        <v>58</v>
      </c>
      <c r="B33" s="265">
        <f t="shared" si="6"/>
        <v>562</v>
      </c>
      <c r="C33" s="265"/>
      <c r="D33" s="265"/>
      <c r="E33" s="265">
        <v>188</v>
      </c>
      <c r="F33" s="265">
        <v>176</v>
      </c>
      <c r="G33" s="265">
        <v>198</v>
      </c>
      <c r="H33" s="265">
        <v>187</v>
      </c>
      <c r="I33" s="265">
        <v>113</v>
      </c>
      <c r="J33" s="265">
        <v>111</v>
      </c>
      <c r="K33" s="265">
        <v>96</v>
      </c>
      <c r="L33" s="265">
        <v>97</v>
      </c>
      <c r="M33" s="265">
        <v>136</v>
      </c>
      <c r="N33" s="267">
        <v>109</v>
      </c>
      <c r="O33" s="265">
        <f t="shared" si="7"/>
        <v>1411</v>
      </c>
    </row>
    <row r="34" spans="1:15" s="3" customFormat="1" ht="12.75">
      <c r="A34" s="19" t="s">
        <v>61</v>
      </c>
      <c r="B34" s="265">
        <f t="shared" si="6"/>
        <v>9304</v>
      </c>
      <c r="C34" s="265"/>
      <c r="D34" s="265"/>
      <c r="E34" s="265">
        <v>3818</v>
      </c>
      <c r="F34" s="265">
        <v>3563</v>
      </c>
      <c r="G34" s="265">
        <v>1923</v>
      </c>
      <c r="H34" s="265">
        <v>1798</v>
      </c>
      <c r="I34" s="265">
        <v>1129</v>
      </c>
      <c r="J34" s="265">
        <v>1172</v>
      </c>
      <c r="K34" s="265">
        <v>1393</v>
      </c>
      <c r="L34" s="265">
        <v>1888</v>
      </c>
      <c r="M34" s="265">
        <v>1718</v>
      </c>
      <c r="N34" s="267">
        <v>3521</v>
      </c>
      <c r="O34" s="265">
        <f t="shared" si="7"/>
        <v>21923</v>
      </c>
    </row>
    <row r="35" spans="1:15" s="3" customFormat="1" ht="12.75">
      <c r="A35" s="19" t="s">
        <v>62</v>
      </c>
      <c r="B35" s="265">
        <f t="shared" si="6"/>
        <v>713</v>
      </c>
      <c r="C35" s="265"/>
      <c r="D35" s="265"/>
      <c r="E35" s="265">
        <v>203</v>
      </c>
      <c r="F35" s="265">
        <v>244</v>
      </c>
      <c r="G35" s="265">
        <v>266</v>
      </c>
      <c r="H35" s="265">
        <v>109</v>
      </c>
      <c r="I35" s="265">
        <v>55</v>
      </c>
      <c r="J35" s="265">
        <v>118</v>
      </c>
      <c r="K35" s="265">
        <v>118</v>
      </c>
      <c r="L35" s="265"/>
      <c r="M35" s="265"/>
      <c r="N35" s="265"/>
      <c r="O35" s="265">
        <f t="shared" si="7"/>
        <v>1113</v>
      </c>
    </row>
    <row r="36" spans="1:16" s="3" customFormat="1" ht="12.75">
      <c r="A36" s="16" t="s">
        <v>60</v>
      </c>
      <c r="B36" s="278">
        <f t="shared" si="6"/>
        <v>21392</v>
      </c>
      <c r="C36" s="278">
        <f>SUM(C30:C35)</f>
        <v>1650</v>
      </c>
      <c r="D36" s="278">
        <f>SUM(D30:D35)</f>
        <v>9163</v>
      </c>
      <c r="E36" s="278">
        <f aca="true" t="shared" si="8" ref="E36:M36">SUM(E30:E35)</f>
        <v>4209</v>
      </c>
      <c r="F36" s="278">
        <f t="shared" si="8"/>
        <v>3983</v>
      </c>
      <c r="G36" s="278">
        <f t="shared" si="8"/>
        <v>2387</v>
      </c>
      <c r="H36" s="278">
        <f t="shared" si="8"/>
        <v>2094</v>
      </c>
      <c r="I36" s="278">
        <f t="shared" si="8"/>
        <v>1297</v>
      </c>
      <c r="J36" s="278">
        <f t="shared" si="8"/>
        <v>1401</v>
      </c>
      <c r="K36" s="278">
        <f t="shared" si="8"/>
        <v>1607</v>
      </c>
      <c r="L36" s="278">
        <f t="shared" si="8"/>
        <v>1985</v>
      </c>
      <c r="M36" s="278">
        <f t="shared" si="8"/>
        <v>1854</v>
      </c>
      <c r="N36" s="278">
        <f>SUM(N30:N35)</f>
        <v>3630</v>
      </c>
      <c r="O36" s="278">
        <f t="shared" si="7"/>
        <v>35260</v>
      </c>
      <c r="P36" s="6"/>
    </row>
    <row r="37" spans="1:15" s="3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s="3" customFormat="1" ht="12.75">
      <c r="A38" s="43" t="s">
        <v>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s="3" customFormat="1" ht="12.75">
      <c r="A39" s="19" t="s">
        <v>58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265">
        <v>105</v>
      </c>
      <c r="N39" s="267">
        <v>118</v>
      </c>
      <c r="O39" s="265">
        <f>SUM(C39:N39)</f>
        <v>223</v>
      </c>
    </row>
    <row r="40" spans="1:15" s="3" customFormat="1" ht="12.75">
      <c r="A40" s="19" t="s">
        <v>61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265"/>
      <c r="N40" s="267"/>
      <c r="O40" s="265">
        <f>SUM(C40:N40)</f>
        <v>0</v>
      </c>
    </row>
    <row r="41" spans="1:16" s="3" customFormat="1" ht="12.75">
      <c r="A41" s="15" t="s">
        <v>135</v>
      </c>
      <c r="B41" s="265">
        <f>SUM(C41:G41)</f>
        <v>13837</v>
      </c>
      <c r="C41" s="265">
        <v>4205</v>
      </c>
      <c r="D41" s="265">
        <v>2016</v>
      </c>
      <c r="E41" s="265">
        <v>2603</v>
      </c>
      <c r="F41" s="265">
        <v>2707</v>
      </c>
      <c r="G41" s="265">
        <v>2306</v>
      </c>
      <c r="H41" s="265">
        <f>150+936+64</f>
        <v>1150</v>
      </c>
      <c r="I41" s="265">
        <v>1026</v>
      </c>
      <c r="J41" s="265">
        <v>1709</v>
      </c>
      <c r="K41" s="299">
        <v>2306</v>
      </c>
      <c r="L41" s="300">
        <v>1993</v>
      </c>
      <c r="M41" s="332"/>
      <c r="N41" s="331"/>
      <c r="O41" s="265">
        <f>SUM(C41:N41)</f>
        <v>22021</v>
      </c>
      <c r="P41" s="132"/>
    </row>
    <row r="42" spans="1:16" s="3" customFormat="1" ht="12.75">
      <c r="A42" s="16" t="s">
        <v>60</v>
      </c>
      <c r="B42" s="278">
        <f>SUM(C42:G42)</f>
        <v>13837</v>
      </c>
      <c r="C42" s="278">
        <f>SUM(C39:C41)</f>
        <v>4205</v>
      </c>
      <c r="D42" s="278">
        <f aca="true" t="shared" si="9" ref="D42:O42">SUM(D39:D41)</f>
        <v>2016</v>
      </c>
      <c r="E42" s="278">
        <f t="shared" si="9"/>
        <v>2603</v>
      </c>
      <c r="F42" s="278">
        <f t="shared" si="9"/>
        <v>2707</v>
      </c>
      <c r="G42" s="278">
        <f t="shared" si="9"/>
        <v>2306</v>
      </c>
      <c r="H42" s="278">
        <f t="shared" si="9"/>
        <v>1150</v>
      </c>
      <c r="I42" s="278">
        <f t="shared" si="9"/>
        <v>1026</v>
      </c>
      <c r="J42" s="278">
        <f t="shared" si="9"/>
        <v>1709</v>
      </c>
      <c r="K42" s="278">
        <f t="shared" si="9"/>
        <v>2306</v>
      </c>
      <c r="L42" s="278">
        <f t="shared" si="9"/>
        <v>1993</v>
      </c>
      <c r="M42" s="278">
        <f t="shared" si="9"/>
        <v>105</v>
      </c>
      <c r="N42" s="278">
        <f t="shared" si="9"/>
        <v>118</v>
      </c>
      <c r="O42" s="278">
        <f t="shared" si="9"/>
        <v>22244</v>
      </c>
      <c r="P42" s="132"/>
    </row>
    <row r="43" spans="1:15" s="3" customFormat="1" ht="12.75">
      <c r="A43" s="2" t="s">
        <v>356</v>
      </c>
      <c r="B43" s="2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s="3" customFormat="1" ht="15.75">
      <c r="A44" s="382" t="s">
        <v>93</v>
      </c>
      <c r="B44" s="382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</row>
    <row r="45" spans="1:15" s="3" customFormat="1" ht="12.75">
      <c r="A45" s="21"/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s="3" customFormat="1" ht="25.5">
      <c r="A46" s="43" t="s">
        <v>6</v>
      </c>
      <c r="B46" s="207" t="str">
        <f>B3</f>
        <v>Summary 
2001 to 2005*</v>
      </c>
      <c r="C46" s="28">
        <v>2001</v>
      </c>
      <c r="D46" s="28">
        <v>2002</v>
      </c>
      <c r="E46" s="28">
        <v>2003</v>
      </c>
      <c r="F46" s="28">
        <v>2004</v>
      </c>
      <c r="G46" s="28">
        <v>2005</v>
      </c>
      <c r="H46" s="28">
        <v>2006</v>
      </c>
      <c r="I46" s="28">
        <v>2007</v>
      </c>
      <c r="J46" s="28">
        <v>2008</v>
      </c>
      <c r="K46" s="28">
        <v>2009</v>
      </c>
      <c r="L46" s="28">
        <v>2010</v>
      </c>
      <c r="M46" s="28">
        <v>2011</v>
      </c>
      <c r="N46" s="363" t="str">
        <f>N3</f>
        <v>(18 month)
2012-2013</v>
      </c>
      <c r="O46" s="126" t="str">
        <f>O3</f>
        <v>Total 
2001-2013</v>
      </c>
    </row>
    <row r="47" spans="1:15" s="3" customFormat="1" ht="12.75">
      <c r="A47" s="212" t="s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3" customFormat="1" ht="12.75">
      <c r="A48" s="43" t="s">
        <v>149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5" t="s">
        <v>8</v>
      </c>
      <c r="K48" s="45" t="s">
        <v>8</v>
      </c>
      <c r="L48" s="45" t="s">
        <v>8</v>
      </c>
      <c r="M48" s="45" t="s">
        <v>8</v>
      </c>
      <c r="N48" s="89" t="s">
        <v>8</v>
      </c>
      <c r="O48" s="40" t="s">
        <v>8</v>
      </c>
    </row>
    <row r="49" spans="1:17" ht="12.75">
      <c r="A49" s="57" t="s">
        <v>144</v>
      </c>
      <c r="B49" s="265">
        <f>SUM(C49:G49)</f>
        <v>45389</v>
      </c>
      <c r="C49" s="265"/>
      <c r="D49" s="265"/>
      <c r="E49" s="265"/>
      <c r="F49" s="265">
        <v>31538</v>
      </c>
      <c r="G49" s="265">
        <v>13851</v>
      </c>
      <c r="H49" s="265">
        <v>17351</v>
      </c>
      <c r="I49" s="265">
        <v>6572</v>
      </c>
      <c r="J49" s="265">
        <v>21782</v>
      </c>
      <c r="K49" s="265">
        <v>14993</v>
      </c>
      <c r="L49" s="265">
        <v>7062</v>
      </c>
      <c r="M49" s="265">
        <v>16912</v>
      </c>
      <c r="N49" s="267">
        <v>7693</v>
      </c>
      <c r="O49" s="265">
        <f>SUM(C49:N49)</f>
        <v>137754</v>
      </c>
      <c r="P49" s="213" t="s">
        <v>360</v>
      </c>
      <c r="Q49" s="214"/>
    </row>
    <row r="50" spans="1:17" ht="12.75">
      <c r="A50" s="15" t="s">
        <v>145</v>
      </c>
      <c r="B50" s="265">
        <f>SUM(C50:G50)</f>
        <v>284449</v>
      </c>
      <c r="C50" s="265"/>
      <c r="D50" s="265"/>
      <c r="E50" s="265"/>
      <c r="F50" s="265">
        <v>163631</v>
      </c>
      <c r="G50" s="301">
        <v>120818</v>
      </c>
      <c r="H50" s="265">
        <v>78194</v>
      </c>
      <c r="I50" s="265">
        <v>81933</v>
      </c>
      <c r="J50" s="265">
        <v>74430</v>
      </c>
      <c r="K50" s="265">
        <v>75806</v>
      </c>
      <c r="L50" s="265">
        <v>119500</v>
      </c>
      <c r="M50" s="265">
        <v>103360</v>
      </c>
      <c r="N50" s="267">
        <v>153265</v>
      </c>
      <c r="O50" s="265">
        <f>SUM(C50:N50)</f>
        <v>970937</v>
      </c>
      <c r="P50" s="215" t="s">
        <v>359</v>
      </c>
      <c r="Q50" s="214"/>
    </row>
    <row r="51" spans="1:15" ht="12.75">
      <c r="A51" s="15" t="s">
        <v>146</v>
      </c>
      <c r="B51" s="265">
        <f>SUM(C51:G51)</f>
        <v>22558</v>
      </c>
      <c r="C51" s="265"/>
      <c r="D51" s="265"/>
      <c r="E51" s="265"/>
      <c r="F51" s="265">
        <v>8975</v>
      </c>
      <c r="G51" s="265">
        <v>13583</v>
      </c>
      <c r="H51" s="265">
        <v>2832</v>
      </c>
      <c r="I51" s="265">
        <v>2084</v>
      </c>
      <c r="J51" s="265">
        <v>3310</v>
      </c>
      <c r="K51" s="265">
        <v>4992</v>
      </c>
      <c r="L51" s="265"/>
      <c r="M51" s="265"/>
      <c r="N51" s="267"/>
      <c r="O51" s="265">
        <f>SUM(C51:N51)</f>
        <v>35776</v>
      </c>
    </row>
    <row r="52" spans="1:15" ht="12.75">
      <c r="A52" s="16" t="s">
        <v>143</v>
      </c>
      <c r="B52" s="278">
        <f>SUM(C52:G52)</f>
        <v>725321</v>
      </c>
      <c r="C52" s="278">
        <v>30943</v>
      </c>
      <c r="D52" s="278">
        <v>144635</v>
      </c>
      <c r="E52" s="278">
        <v>197347</v>
      </c>
      <c r="F52" s="278">
        <f aca="true" t="shared" si="10" ref="F52:M52">SUM(F49:F51)</f>
        <v>204144</v>
      </c>
      <c r="G52" s="278">
        <f t="shared" si="10"/>
        <v>148252</v>
      </c>
      <c r="H52" s="278">
        <f t="shared" si="10"/>
        <v>98377</v>
      </c>
      <c r="I52" s="278">
        <f t="shared" si="10"/>
        <v>90589</v>
      </c>
      <c r="J52" s="278">
        <f t="shared" si="10"/>
        <v>99522</v>
      </c>
      <c r="K52" s="278">
        <f t="shared" si="10"/>
        <v>95791</v>
      </c>
      <c r="L52" s="278">
        <f t="shared" si="10"/>
        <v>126562</v>
      </c>
      <c r="M52" s="278">
        <f t="shared" si="10"/>
        <v>120272</v>
      </c>
      <c r="N52" s="269">
        <f>SUM(N49:N51)</f>
        <v>160958</v>
      </c>
      <c r="O52" s="278">
        <f>SUM(C52:N52)</f>
        <v>1517392</v>
      </c>
    </row>
    <row r="53" spans="1:15" ht="12.75">
      <c r="A53" s="71" t="s">
        <v>186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8"/>
      <c r="O53" s="44"/>
    </row>
    <row r="54" spans="1:15" ht="12.75">
      <c r="A54" s="2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8"/>
      <c r="O54" s="44"/>
    </row>
    <row r="55" spans="1:15" ht="12.75">
      <c r="A55" s="43" t="s">
        <v>150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5" t="s">
        <v>8</v>
      </c>
      <c r="K55" s="45" t="s">
        <v>8</v>
      </c>
      <c r="L55" s="45" t="s">
        <v>8</v>
      </c>
      <c r="M55" s="45" t="s">
        <v>8</v>
      </c>
      <c r="N55" s="89" t="s">
        <v>8</v>
      </c>
      <c r="O55" s="40" t="s">
        <v>8</v>
      </c>
    </row>
    <row r="56" spans="1:15" ht="12.75">
      <c r="A56" s="57" t="s">
        <v>144</v>
      </c>
      <c r="B56" s="265">
        <f>SUM(C56:G56)</f>
        <v>680834</v>
      </c>
      <c r="C56" s="265"/>
      <c r="D56" s="265"/>
      <c r="E56" s="265"/>
      <c r="F56" s="265">
        <v>473065</v>
      </c>
      <c r="G56" s="265">
        <v>207769</v>
      </c>
      <c r="H56" s="265">
        <v>260265</v>
      </c>
      <c r="I56" s="265">
        <v>101184</v>
      </c>
      <c r="J56" s="265">
        <v>109975</v>
      </c>
      <c r="K56" s="265">
        <v>225004</v>
      </c>
      <c r="L56" s="265">
        <v>108815</v>
      </c>
      <c r="M56" s="265">
        <v>264120</v>
      </c>
      <c r="N56" s="267">
        <v>115970</v>
      </c>
      <c r="O56" s="265">
        <f>SUM(C56:N56)</f>
        <v>1866167</v>
      </c>
    </row>
    <row r="57" spans="1:15" ht="12.75">
      <c r="A57" s="15" t="s">
        <v>145</v>
      </c>
      <c r="B57" s="265">
        <f>SUM(C57:G57)</f>
        <v>4266377</v>
      </c>
      <c r="C57" s="265"/>
      <c r="D57" s="265"/>
      <c r="E57" s="265"/>
      <c r="F57" s="265">
        <v>2454112</v>
      </c>
      <c r="G57" s="265">
        <v>1812265</v>
      </c>
      <c r="H57" s="265">
        <v>1172904</v>
      </c>
      <c r="I57" s="265">
        <v>1252717</v>
      </c>
      <c r="J57" s="265">
        <v>1349840</v>
      </c>
      <c r="K57" s="265">
        <v>1141755</v>
      </c>
      <c r="L57" s="265">
        <v>1516908</v>
      </c>
      <c r="M57" s="265">
        <v>1642577</v>
      </c>
      <c r="N57" s="267">
        <v>2379957</v>
      </c>
      <c r="O57" s="265">
        <f>SUM(C57:N57)</f>
        <v>14723035</v>
      </c>
    </row>
    <row r="58" spans="1:15" ht="12.75">
      <c r="A58" s="15" t="s">
        <v>146</v>
      </c>
      <c r="B58" s="265">
        <f>SUM(C58:G58)</f>
        <v>338360</v>
      </c>
      <c r="C58" s="265"/>
      <c r="D58" s="265"/>
      <c r="E58" s="265"/>
      <c r="F58" s="265">
        <v>134622</v>
      </c>
      <c r="G58" s="265">
        <v>203738</v>
      </c>
      <c r="H58" s="265">
        <v>42480</v>
      </c>
      <c r="I58" s="265">
        <v>31536</v>
      </c>
      <c r="J58" s="265">
        <v>46637</v>
      </c>
      <c r="K58" s="265">
        <v>43977</v>
      </c>
      <c r="L58" s="265"/>
      <c r="M58" s="265"/>
      <c r="N58" s="267"/>
      <c r="O58" s="265">
        <f>SUM(C58:N58)</f>
        <v>502990</v>
      </c>
    </row>
    <row r="59" spans="1:15" ht="12.75">
      <c r="A59" s="16" t="s">
        <v>148</v>
      </c>
      <c r="B59" s="278">
        <f>SUM(C59:G59)</f>
        <v>10858893</v>
      </c>
      <c r="C59" s="278">
        <v>464149</v>
      </c>
      <c r="D59" s="278">
        <v>2164648</v>
      </c>
      <c r="E59" s="278">
        <v>2944525</v>
      </c>
      <c r="F59" s="278">
        <f aca="true" t="shared" si="11" ref="F59:K59">SUM(F56:F58)</f>
        <v>3061799</v>
      </c>
      <c r="G59" s="278">
        <f t="shared" si="11"/>
        <v>2223772</v>
      </c>
      <c r="H59" s="278">
        <f t="shared" si="11"/>
        <v>1475649</v>
      </c>
      <c r="I59" s="278">
        <f t="shared" si="11"/>
        <v>1385437</v>
      </c>
      <c r="J59" s="278">
        <f t="shared" si="11"/>
        <v>1506452</v>
      </c>
      <c r="K59" s="278">
        <f t="shared" si="11"/>
        <v>1410736</v>
      </c>
      <c r="L59" s="278">
        <f>SUM(L56:L58)</f>
        <v>1625723</v>
      </c>
      <c r="M59" s="278">
        <f>SUM(M56:M58)</f>
        <v>1906697</v>
      </c>
      <c r="N59" s="269">
        <f>SUM(N56:N58)</f>
        <v>2495927</v>
      </c>
      <c r="O59" s="278">
        <f>SUM(C59:N59)</f>
        <v>22665514</v>
      </c>
    </row>
    <row r="60" spans="1:15" ht="12.75">
      <c r="A60" s="2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8"/>
      <c r="O60" s="44"/>
    </row>
    <row r="61" spans="1:15" ht="12.75">
      <c r="A61" s="43" t="s">
        <v>133</v>
      </c>
      <c r="B61" s="44" t="s">
        <v>11</v>
      </c>
      <c r="C61" s="44" t="s">
        <v>11</v>
      </c>
      <c r="D61" s="44" t="s">
        <v>11</v>
      </c>
      <c r="E61" s="44" t="s">
        <v>11</v>
      </c>
      <c r="F61" s="44" t="s">
        <v>11</v>
      </c>
      <c r="G61" s="44" t="s">
        <v>11</v>
      </c>
      <c r="H61" s="44" t="s">
        <v>11</v>
      </c>
      <c r="I61" s="44" t="s">
        <v>11</v>
      </c>
      <c r="J61" s="86" t="s">
        <v>11</v>
      </c>
      <c r="K61" s="86" t="s">
        <v>11</v>
      </c>
      <c r="L61" s="86" t="s">
        <v>11</v>
      </c>
      <c r="M61" s="86" t="s">
        <v>11</v>
      </c>
      <c r="N61" s="90" t="s">
        <v>11</v>
      </c>
      <c r="O61" s="44" t="s">
        <v>11</v>
      </c>
    </row>
    <row r="62" spans="1:15" ht="12.75">
      <c r="A62" s="57" t="s">
        <v>144</v>
      </c>
      <c r="B62" s="265">
        <f>SUM(C62:G62)</f>
        <v>9928</v>
      </c>
      <c r="C62" s="265"/>
      <c r="D62" s="265"/>
      <c r="E62" s="265"/>
      <c r="F62" s="265">
        <v>6380</v>
      </c>
      <c r="G62" s="265">
        <v>3548</v>
      </c>
      <c r="H62" s="265">
        <v>3861</v>
      </c>
      <c r="I62" s="265">
        <v>1796</v>
      </c>
      <c r="J62" s="265">
        <v>1399</v>
      </c>
      <c r="K62" s="265">
        <v>2935</v>
      </c>
      <c r="L62" s="265">
        <v>1915</v>
      </c>
      <c r="M62" s="265">
        <v>4650</v>
      </c>
      <c r="N62" s="267">
        <v>1736</v>
      </c>
      <c r="O62" s="265">
        <f>SUM(C62:N62)</f>
        <v>28220</v>
      </c>
    </row>
    <row r="63" spans="1:15" ht="12.75">
      <c r="A63" s="15" t="s">
        <v>145</v>
      </c>
      <c r="B63" s="265">
        <f>SUM(C63:G63)</f>
        <v>62229</v>
      </c>
      <c r="C63" s="265"/>
      <c r="D63" s="265"/>
      <c r="E63" s="265"/>
      <c r="F63" s="265">
        <v>33751</v>
      </c>
      <c r="G63" s="265">
        <v>28478</v>
      </c>
      <c r="H63" s="265">
        <v>21539</v>
      </c>
      <c r="I63" s="265">
        <v>15252</v>
      </c>
      <c r="J63" s="265">
        <v>14186</v>
      </c>
      <c r="K63" s="267">
        <v>15312</v>
      </c>
      <c r="L63" s="267">
        <v>20887</v>
      </c>
      <c r="M63" s="267">
        <v>69567</v>
      </c>
      <c r="N63" s="267">
        <v>28158</v>
      </c>
      <c r="O63" s="265">
        <f>SUM(C63:N63)</f>
        <v>247130</v>
      </c>
    </row>
    <row r="64" spans="1:15" ht="12.75">
      <c r="A64" s="15" t="s">
        <v>146</v>
      </c>
      <c r="B64" s="265">
        <f>SUM(C64:G64)</f>
        <v>7555</v>
      </c>
      <c r="C64" s="265"/>
      <c r="D64" s="265"/>
      <c r="E64" s="265"/>
      <c r="F64" s="265">
        <v>3199</v>
      </c>
      <c r="G64" s="265">
        <v>4356</v>
      </c>
      <c r="H64" s="265">
        <v>901</v>
      </c>
      <c r="I64" s="265">
        <v>454</v>
      </c>
      <c r="J64" s="265">
        <v>853</v>
      </c>
      <c r="K64" s="265">
        <v>534</v>
      </c>
      <c r="L64" s="265"/>
      <c r="M64" s="265"/>
      <c r="N64" s="267"/>
      <c r="O64" s="265">
        <f>SUM(C64:N64)</f>
        <v>10297</v>
      </c>
    </row>
    <row r="65" spans="1:15" ht="12.75">
      <c r="A65" s="16" t="s">
        <v>36</v>
      </c>
      <c r="B65" s="278">
        <f>SUM(C65:G65)</f>
        <v>151121</v>
      </c>
      <c r="C65" s="278">
        <v>6364</v>
      </c>
      <c r="D65" s="278">
        <v>26750</v>
      </c>
      <c r="E65" s="278">
        <v>38155</v>
      </c>
      <c r="F65" s="278">
        <f>SUM(F62:F64)+140</f>
        <v>43470</v>
      </c>
      <c r="G65" s="278">
        <f aca="true" t="shared" si="12" ref="G65:M65">SUM(G62:G64)</f>
        <v>36382</v>
      </c>
      <c r="H65" s="278">
        <f t="shared" si="12"/>
        <v>26301</v>
      </c>
      <c r="I65" s="278">
        <f t="shared" si="12"/>
        <v>17502</v>
      </c>
      <c r="J65" s="278">
        <f t="shared" si="12"/>
        <v>16438</v>
      </c>
      <c r="K65" s="278">
        <f t="shared" si="12"/>
        <v>18781</v>
      </c>
      <c r="L65" s="278">
        <f t="shared" si="12"/>
        <v>22802</v>
      </c>
      <c r="M65" s="278">
        <f t="shared" si="12"/>
        <v>74217</v>
      </c>
      <c r="N65" s="269">
        <f>SUM(N62:N64)</f>
        <v>29894</v>
      </c>
      <c r="O65" s="278">
        <f>SUM(C65:N65)</f>
        <v>357056</v>
      </c>
    </row>
    <row r="66" spans="1:15" ht="12.75">
      <c r="A66" s="2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8"/>
      <c r="O66" s="44"/>
    </row>
    <row r="67" spans="1:15" ht="12.75">
      <c r="A67" s="43" t="s">
        <v>151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58"/>
      <c r="O67" s="44"/>
    </row>
    <row r="68" spans="1:15" ht="12.75">
      <c r="A68" s="6"/>
      <c r="B68" s="44" t="s">
        <v>13</v>
      </c>
      <c r="C68" s="44" t="s">
        <v>13</v>
      </c>
      <c r="D68" s="44" t="s">
        <v>13</v>
      </c>
      <c r="E68" s="44" t="s">
        <v>13</v>
      </c>
      <c r="F68" s="44" t="s">
        <v>13</v>
      </c>
      <c r="G68" s="44" t="s">
        <v>13</v>
      </c>
      <c r="H68" s="44" t="s">
        <v>13</v>
      </c>
      <c r="I68" s="44" t="s">
        <v>13</v>
      </c>
      <c r="J68" s="86" t="s">
        <v>13</v>
      </c>
      <c r="K68" s="86" t="s">
        <v>13</v>
      </c>
      <c r="L68" s="86" t="s">
        <v>13</v>
      </c>
      <c r="M68" s="86" t="s">
        <v>13</v>
      </c>
      <c r="N68" s="90" t="s">
        <v>13</v>
      </c>
      <c r="O68" s="44" t="s">
        <v>13</v>
      </c>
    </row>
    <row r="69" spans="1:15" ht="12.75">
      <c r="A69" s="57" t="s">
        <v>144</v>
      </c>
      <c r="B69" s="265">
        <f>SUM(C69:G69)</f>
        <v>16911</v>
      </c>
      <c r="C69" s="265"/>
      <c r="D69" s="265"/>
      <c r="E69" s="265"/>
      <c r="F69" s="265">
        <v>4576</v>
      </c>
      <c r="G69" s="265">
        <v>12335</v>
      </c>
      <c r="H69" s="265">
        <v>2855</v>
      </c>
      <c r="I69" s="265">
        <v>6303</v>
      </c>
      <c r="J69" s="265">
        <v>18311</v>
      </c>
      <c r="K69" s="267">
        <v>1368</v>
      </c>
      <c r="L69" s="267">
        <v>104998</v>
      </c>
      <c r="M69" s="267">
        <v>4361</v>
      </c>
      <c r="N69" s="267">
        <v>3407</v>
      </c>
      <c r="O69" s="265">
        <f>SUM(C69:N69)</f>
        <v>158514</v>
      </c>
    </row>
    <row r="70" spans="1:15" ht="12.75">
      <c r="A70" s="15" t="s">
        <v>145</v>
      </c>
      <c r="B70" s="265">
        <f>SUM(C70:G70)</f>
        <v>216052</v>
      </c>
      <c r="C70" s="265"/>
      <c r="D70" s="265"/>
      <c r="E70" s="265"/>
      <c r="F70" s="265">
        <v>40439</v>
      </c>
      <c r="G70" s="265">
        <v>175613</v>
      </c>
      <c r="H70" s="265">
        <v>171062</v>
      </c>
      <c r="I70" s="265">
        <v>32282</v>
      </c>
      <c r="J70" s="265">
        <v>38647</v>
      </c>
      <c r="K70" s="267">
        <v>42012</v>
      </c>
      <c r="L70" s="267">
        <v>148987</v>
      </c>
      <c r="M70" s="267">
        <v>56381</v>
      </c>
      <c r="N70" s="267">
        <v>138155</v>
      </c>
      <c r="O70" s="265">
        <f>SUM(C70:N70)</f>
        <v>843578</v>
      </c>
    </row>
    <row r="71" spans="1:15" ht="12.75">
      <c r="A71" s="15" t="s">
        <v>146</v>
      </c>
      <c r="B71" s="265">
        <f>SUM(C71:G71)</f>
        <v>11682</v>
      </c>
      <c r="C71" s="265"/>
      <c r="D71" s="265"/>
      <c r="E71" s="265"/>
      <c r="F71" s="265">
        <v>9629</v>
      </c>
      <c r="G71" s="265">
        <v>2053</v>
      </c>
      <c r="H71" s="265">
        <v>27913</v>
      </c>
      <c r="I71" s="265">
        <v>2228</v>
      </c>
      <c r="J71" s="265">
        <v>6396</v>
      </c>
      <c r="K71" s="267">
        <v>10132</v>
      </c>
      <c r="L71" s="267"/>
      <c r="M71" s="267"/>
      <c r="N71" s="267"/>
      <c r="O71" s="265">
        <f>SUM(C71:N71)</f>
        <v>58351</v>
      </c>
    </row>
    <row r="72" spans="1:15" ht="12.75">
      <c r="A72" s="16" t="s">
        <v>14</v>
      </c>
      <c r="B72" s="269">
        <f>SUM(C72:G72)</f>
        <v>400256</v>
      </c>
      <c r="C72" s="278">
        <v>33802</v>
      </c>
      <c r="D72" s="278">
        <v>33504</v>
      </c>
      <c r="E72" s="278">
        <v>88305</v>
      </c>
      <c r="F72" s="278">
        <f>SUM(F69:F71)</f>
        <v>54644</v>
      </c>
      <c r="G72" s="269">
        <v>190001</v>
      </c>
      <c r="H72" s="269">
        <f aca="true" t="shared" si="13" ref="H72:M72">SUM(H69:H71)</f>
        <v>201830</v>
      </c>
      <c r="I72" s="269">
        <f t="shared" si="13"/>
        <v>40813</v>
      </c>
      <c r="J72" s="269">
        <f t="shared" si="13"/>
        <v>63354</v>
      </c>
      <c r="K72" s="269">
        <f t="shared" si="13"/>
        <v>53512</v>
      </c>
      <c r="L72" s="269">
        <f t="shared" si="13"/>
        <v>253985</v>
      </c>
      <c r="M72" s="269">
        <f t="shared" si="13"/>
        <v>60742</v>
      </c>
      <c r="N72" s="269">
        <f>SUM(N69:N71)</f>
        <v>141562</v>
      </c>
      <c r="O72" s="278">
        <f>SUM(C72:N72)</f>
        <v>1216054</v>
      </c>
    </row>
    <row r="73" spans="1:15" ht="12.75">
      <c r="A73" s="21"/>
      <c r="B73" s="58"/>
      <c r="C73" s="44"/>
      <c r="D73" s="44"/>
      <c r="E73" s="44"/>
      <c r="F73" s="44"/>
      <c r="G73" s="58"/>
      <c r="H73" s="58"/>
      <c r="I73" s="58"/>
      <c r="J73" s="58"/>
      <c r="K73" s="58"/>
      <c r="L73" s="58"/>
      <c r="M73" s="58"/>
      <c r="N73" s="58"/>
      <c r="O73" s="44"/>
    </row>
    <row r="74" spans="1:15" ht="12.75">
      <c r="A74" s="43" t="s">
        <v>152</v>
      </c>
      <c r="B74" s="44" t="s">
        <v>13</v>
      </c>
      <c r="C74" s="44" t="s">
        <v>13</v>
      </c>
      <c r="D74" s="44" t="s">
        <v>13</v>
      </c>
      <c r="E74" s="44" t="s">
        <v>13</v>
      </c>
      <c r="F74" s="44" t="s">
        <v>13</v>
      </c>
      <c r="G74" s="44" t="s">
        <v>13</v>
      </c>
      <c r="H74" s="44" t="s">
        <v>13</v>
      </c>
      <c r="I74" s="44" t="s">
        <v>13</v>
      </c>
      <c r="J74" s="86" t="s">
        <v>13</v>
      </c>
      <c r="K74" s="86" t="s">
        <v>13</v>
      </c>
      <c r="L74" s="86" t="s">
        <v>13</v>
      </c>
      <c r="M74" s="86" t="s">
        <v>13</v>
      </c>
      <c r="N74" s="86" t="s">
        <v>13</v>
      </c>
      <c r="O74" s="44" t="s">
        <v>13</v>
      </c>
    </row>
    <row r="75" spans="1:15" ht="12.75">
      <c r="A75" s="57" t="s">
        <v>144</v>
      </c>
      <c r="B75" s="267">
        <f>SUM(C75:G75)</f>
        <v>310993</v>
      </c>
      <c r="C75" s="265"/>
      <c r="D75" s="265"/>
      <c r="E75" s="265"/>
      <c r="F75" s="265">
        <v>68637</v>
      </c>
      <c r="G75" s="267">
        <v>242356</v>
      </c>
      <c r="H75" s="267">
        <v>44603</v>
      </c>
      <c r="I75" s="267">
        <v>99355</v>
      </c>
      <c r="J75" s="267">
        <v>230222</v>
      </c>
      <c r="K75" s="267">
        <v>13529</v>
      </c>
      <c r="L75" s="267">
        <v>1891984</v>
      </c>
      <c r="M75" s="267">
        <v>67666</v>
      </c>
      <c r="N75" s="267">
        <v>68120</v>
      </c>
      <c r="O75" s="265">
        <f>SUM(C75:N75)</f>
        <v>2726472</v>
      </c>
    </row>
    <row r="76" spans="1:15" ht="12.75">
      <c r="A76" s="15" t="s">
        <v>145</v>
      </c>
      <c r="B76" s="267">
        <f>SUM(C76:G76)</f>
        <v>3768859</v>
      </c>
      <c r="C76" s="265"/>
      <c r="D76" s="265"/>
      <c r="E76" s="265"/>
      <c r="F76" s="265">
        <v>606584</v>
      </c>
      <c r="G76" s="267">
        <v>3162275</v>
      </c>
      <c r="H76" s="267">
        <v>2681281</v>
      </c>
      <c r="I76" s="267">
        <v>535493</v>
      </c>
      <c r="J76" s="267">
        <v>675862</v>
      </c>
      <c r="K76" s="267">
        <v>628140</v>
      </c>
      <c r="L76" s="267">
        <v>2723921</v>
      </c>
      <c r="M76" s="267">
        <v>1026019</v>
      </c>
      <c r="N76" s="267">
        <v>2541686</v>
      </c>
      <c r="O76" s="265">
        <f>SUM(C76:N76)</f>
        <v>14581261</v>
      </c>
    </row>
    <row r="77" spans="1:15" ht="12.75">
      <c r="A77" s="15" t="s">
        <v>146</v>
      </c>
      <c r="B77" s="267">
        <f>SUM(C77:G77)</f>
        <v>176049</v>
      </c>
      <c r="C77" s="265"/>
      <c r="D77" s="265"/>
      <c r="E77" s="265"/>
      <c r="F77" s="265">
        <v>144434</v>
      </c>
      <c r="G77" s="267">
        <v>31615</v>
      </c>
      <c r="H77" s="267">
        <v>419977</v>
      </c>
      <c r="I77" s="267">
        <v>44563</v>
      </c>
      <c r="J77" s="267">
        <v>127836</v>
      </c>
      <c r="K77" s="267">
        <v>175841</v>
      </c>
      <c r="L77" s="267"/>
      <c r="M77" s="267"/>
      <c r="N77" s="267"/>
      <c r="O77" s="265">
        <f>SUM(C77:N77)</f>
        <v>944266</v>
      </c>
    </row>
    <row r="78" spans="1:15" ht="12.75">
      <c r="A78" s="16" t="s">
        <v>148</v>
      </c>
      <c r="B78" s="269">
        <f>SUM(C78:G78)</f>
        <v>6885363</v>
      </c>
      <c r="C78" s="278">
        <v>616099</v>
      </c>
      <c r="D78" s="278">
        <v>502563</v>
      </c>
      <c r="E78" s="278">
        <v>1510800</v>
      </c>
      <c r="F78" s="278">
        <f>SUM(F75:F77)</f>
        <v>819655</v>
      </c>
      <c r="G78" s="269">
        <v>3436246</v>
      </c>
      <c r="H78" s="269">
        <f aca="true" t="shared" si="14" ref="H78:M78">SUM(H75:H77)</f>
        <v>3145861</v>
      </c>
      <c r="I78" s="269">
        <f t="shared" si="14"/>
        <v>679411</v>
      </c>
      <c r="J78" s="269">
        <f t="shared" si="14"/>
        <v>1033920</v>
      </c>
      <c r="K78" s="269">
        <f t="shared" si="14"/>
        <v>817510</v>
      </c>
      <c r="L78" s="269">
        <f t="shared" si="14"/>
        <v>4615905</v>
      </c>
      <c r="M78" s="269">
        <f t="shared" si="14"/>
        <v>1093685</v>
      </c>
      <c r="N78" s="269">
        <f>SUM(N75:N77)</f>
        <v>2609806</v>
      </c>
      <c r="O78" s="278">
        <f>SUM(C78:N78)</f>
        <v>20881461</v>
      </c>
    </row>
    <row r="79" spans="1:15" ht="12.75">
      <c r="A79" s="2" t="str">
        <f>A43</f>
        <v>* These columns/years have been hidden in this worksheet for viewing &amp; printing purposes</v>
      </c>
      <c r="B79" s="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.75">
      <c r="A80" s="382" t="s">
        <v>93</v>
      </c>
      <c r="B80" s="382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</row>
    <row r="81" spans="1:15" ht="15.75">
      <c r="A81" s="211"/>
      <c r="B81" s="211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</row>
    <row r="82" spans="1:18" ht="25.5">
      <c r="A82" s="212" t="s">
        <v>23</v>
      </c>
      <c r="B82" s="207" t="str">
        <f>B3</f>
        <v>Summary 
2001 to 2005*</v>
      </c>
      <c r="C82" s="28">
        <f>C3</f>
        <v>2001</v>
      </c>
      <c r="D82" s="28">
        <f aca="true" t="shared" si="15" ref="D82:N82">D3</f>
        <v>2002</v>
      </c>
      <c r="E82" s="28">
        <f t="shared" si="15"/>
        <v>2003</v>
      </c>
      <c r="F82" s="28">
        <f t="shared" si="15"/>
        <v>2004</v>
      </c>
      <c r="G82" s="28">
        <f t="shared" si="15"/>
        <v>2005</v>
      </c>
      <c r="H82" s="28">
        <f t="shared" si="15"/>
        <v>2006</v>
      </c>
      <c r="I82" s="28">
        <f t="shared" si="15"/>
        <v>2007</v>
      </c>
      <c r="J82" s="28">
        <f t="shared" si="15"/>
        <v>2008</v>
      </c>
      <c r="K82" s="28">
        <f t="shared" si="15"/>
        <v>2009</v>
      </c>
      <c r="L82" s="28">
        <f t="shared" si="15"/>
        <v>2010</v>
      </c>
      <c r="M82" s="28">
        <f t="shared" si="15"/>
        <v>2011</v>
      </c>
      <c r="N82" s="207" t="str">
        <f t="shared" si="15"/>
        <v>(18 month)
2012-2013</v>
      </c>
      <c r="O82" s="40"/>
      <c r="P82" s="3"/>
      <c r="Q82" s="3"/>
      <c r="R82" s="3"/>
    </row>
    <row r="83" spans="1:18" ht="12.75">
      <c r="A83" s="43" t="s">
        <v>149</v>
      </c>
      <c r="B83" s="40" t="s">
        <v>8</v>
      </c>
      <c r="C83" s="40" t="s">
        <v>8</v>
      </c>
      <c r="D83" s="40" t="s">
        <v>8</v>
      </c>
      <c r="E83" s="40" t="s">
        <v>8</v>
      </c>
      <c r="F83" s="40" t="s">
        <v>8</v>
      </c>
      <c r="G83" s="40" t="s">
        <v>29</v>
      </c>
      <c r="H83" s="40" t="s">
        <v>29</v>
      </c>
      <c r="I83" s="40" t="s">
        <v>8</v>
      </c>
      <c r="J83" s="45" t="s">
        <v>8</v>
      </c>
      <c r="K83" s="45" t="s">
        <v>8</v>
      </c>
      <c r="L83" s="45" t="s">
        <v>8</v>
      </c>
      <c r="M83" s="45" t="s">
        <v>8</v>
      </c>
      <c r="N83" s="45" t="s">
        <v>8</v>
      </c>
      <c r="O83" s="40"/>
      <c r="P83" s="3"/>
      <c r="Q83" s="3"/>
      <c r="R83" s="3"/>
    </row>
    <row r="84" spans="1:18" ht="12.75">
      <c r="A84" s="57" t="s">
        <v>144</v>
      </c>
      <c r="B84" s="265">
        <f>SUM(C84:G84)</f>
        <v>34081</v>
      </c>
      <c r="C84" s="265"/>
      <c r="D84" s="265"/>
      <c r="E84" s="265"/>
      <c r="F84" s="265">
        <v>13099</v>
      </c>
      <c r="G84" s="265">
        <v>20982</v>
      </c>
      <c r="H84" s="265">
        <v>11603</v>
      </c>
      <c r="I84" s="265">
        <v>14759</v>
      </c>
      <c r="J84" s="265">
        <v>8440</v>
      </c>
      <c r="K84" s="265">
        <v>13000</v>
      </c>
      <c r="L84" s="265">
        <v>17988</v>
      </c>
      <c r="M84" s="265">
        <v>19178</v>
      </c>
      <c r="N84" s="267">
        <v>3082</v>
      </c>
      <c r="O84" s="40"/>
      <c r="P84" s="3"/>
      <c r="Q84" s="3"/>
      <c r="R84" s="3"/>
    </row>
    <row r="85" spans="1:18" ht="12.75">
      <c r="A85" s="15" t="s">
        <v>145</v>
      </c>
      <c r="B85" s="265">
        <f>SUM(C85:G85)</f>
        <v>158451</v>
      </c>
      <c r="C85" s="265"/>
      <c r="D85" s="265"/>
      <c r="E85" s="265"/>
      <c r="F85" s="265">
        <v>93010</v>
      </c>
      <c r="G85" s="265">
        <v>65441</v>
      </c>
      <c r="H85" s="265">
        <v>31020</v>
      </c>
      <c r="I85" s="265">
        <v>153001</v>
      </c>
      <c r="J85" s="265">
        <v>46312</v>
      </c>
      <c r="K85" s="265">
        <v>102876</v>
      </c>
      <c r="L85" s="265">
        <v>80452</v>
      </c>
      <c r="M85" s="265">
        <v>124518</v>
      </c>
      <c r="N85" s="267">
        <v>127375</v>
      </c>
      <c r="O85" s="40"/>
      <c r="P85" s="3"/>
      <c r="Q85" s="3"/>
      <c r="R85" s="3"/>
    </row>
    <row r="86" spans="1:18" ht="12.75">
      <c r="A86" s="15" t="s">
        <v>146</v>
      </c>
      <c r="B86" s="265">
        <f>SUM(C86:G86)</f>
        <v>15741</v>
      </c>
      <c r="C86" s="265"/>
      <c r="D86" s="265"/>
      <c r="E86" s="265"/>
      <c r="F86" s="265">
        <v>6074</v>
      </c>
      <c r="G86" s="265">
        <v>9667</v>
      </c>
      <c r="H86" s="265">
        <v>3116</v>
      </c>
      <c r="I86" s="265">
        <v>3825</v>
      </c>
      <c r="J86" s="265">
        <v>4523</v>
      </c>
      <c r="K86" s="265">
        <v>5860</v>
      </c>
      <c r="L86" s="265"/>
      <c r="M86" s="265"/>
      <c r="N86" s="265"/>
      <c r="O86" s="40"/>
      <c r="P86" s="3"/>
      <c r="Q86" s="3"/>
      <c r="R86" s="3"/>
    </row>
    <row r="87" spans="1:18" ht="12.75">
      <c r="A87" s="15" t="s">
        <v>147</v>
      </c>
      <c r="B87" s="265">
        <f>SUM(C87:G87)</f>
        <v>0</v>
      </c>
      <c r="C87" s="265"/>
      <c r="D87" s="265"/>
      <c r="E87" s="265"/>
      <c r="F87" s="265"/>
      <c r="G87" s="265"/>
      <c r="H87" s="265"/>
      <c r="I87" s="265"/>
      <c r="J87" s="265"/>
      <c r="K87" s="265">
        <v>354</v>
      </c>
      <c r="L87" s="265"/>
      <c r="M87" s="265"/>
      <c r="N87" s="265"/>
      <c r="O87" s="40"/>
      <c r="P87" s="3"/>
      <c r="Q87" s="3"/>
      <c r="R87" s="3"/>
    </row>
    <row r="88" spans="1:15" ht="12.75">
      <c r="A88" s="16" t="s">
        <v>153</v>
      </c>
      <c r="B88" s="278">
        <f>SUM(C88:G88)</f>
        <v>484514</v>
      </c>
      <c r="C88" s="278">
        <v>62505</v>
      </c>
      <c r="D88" s="278">
        <v>51226</v>
      </c>
      <c r="E88" s="278">
        <v>162510</v>
      </c>
      <c r="F88" s="278">
        <f>SUM(F84:F86)</f>
        <v>112183</v>
      </c>
      <c r="G88" s="278">
        <f>SUM(G84:G86)</f>
        <v>96090</v>
      </c>
      <c r="H88" s="278">
        <f>SUM(H84:H86)</f>
        <v>45739</v>
      </c>
      <c r="I88" s="278">
        <f>SUM(I84:I86)</f>
        <v>171585</v>
      </c>
      <c r="J88" s="278">
        <f>SUM(J84:J86)</f>
        <v>59275</v>
      </c>
      <c r="K88" s="278">
        <f>SUM(K84:K87)</f>
        <v>122090</v>
      </c>
      <c r="L88" s="278">
        <f>SUM(L84:L87)</f>
        <v>98440</v>
      </c>
      <c r="M88" s="278">
        <f>SUM(M84:M87)</f>
        <v>143696</v>
      </c>
      <c r="N88" s="278">
        <f>SUM(N84:N87)</f>
        <v>130457</v>
      </c>
      <c r="O88" s="44"/>
    </row>
    <row r="89" spans="1:15" ht="12.75">
      <c r="A89" s="21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2.75">
      <c r="A90" s="43" t="s">
        <v>133</v>
      </c>
      <c r="B90" s="44" t="s">
        <v>11</v>
      </c>
      <c r="C90" s="44" t="s">
        <v>11</v>
      </c>
      <c r="D90" s="44" t="s">
        <v>11</v>
      </c>
      <c r="E90" s="44" t="s">
        <v>11</v>
      </c>
      <c r="F90" s="44" t="s">
        <v>11</v>
      </c>
      <c r="G90" s="44" t="s">
        <v>11</v>
      </c>
      <c r="H90" s="44" t="s">
        <v>11</v>
      </c>
      <c r="I90" s="44" t="s">
        <v>11</v>
      </c>
      <c r="J90" s="86" t="s">
        <v>11</v>
      </c>
      <c r="K90" s="86" t="s">
        <v>11</v>
      </c>
      <c r="L90" s="86" t="s">
        <v>11</v>
      </c>
      <c r="M90" s="86" t="s">
        <v>11</v>
      </c>
      <c r="N90" s="86" t="s">
        <v>11</v>
      </c>
      <c r="O90" s="44"/>
    </row>
    <row r="91" spans="1:15" ht="12.75">
      <c r="A91" s="57" t="s">
        <v>144</v>
      </c>
      <c r="B91" s="265">
        <f>SUM(C91:G91)</f>
        <v>4603</v>
      </c>
      <c r="C91" s="265"/>
      <c r="D91" s="265"/>
      <c r="E91" s="265"/>
      <c r="F91" s="265"/>
      <c r="G91" s="265">
        <v>4603</v>
      </c>
      <c r="H91" s="265">
        <v>1823</v>
      </c>
      <c r="I91" s="265">
        <v>3106</v>
      </c>
      <c r="J91" s="265">
        <v>9084</v>
      </c>
      <c r="K91" s="265">
        <v>3159</v>
      </c>
      <c r="L91" s="265">
        <v>3061</v>
      </c>
      <c r="M91" s="265">
        <v>19234</v>
      </c>
      <c r="N91" s="267">
        <v>989</v>
      </c>
      <c r="O91" s="44"/>
    </row>
    <row r="92" spans="1:15" ht="12.75">
      <c r="A92" s="15" t="s">
        <v>145</v>
      </c>
      <c r="B92" s="265">
        <f>SUM(C92:G92)</f>
        <v>15183</v>
      </c>
      <c r="C92" s="265"/>
      <c r="D92" s="265"/>
      <c r="E92" s="265"/>
      <c r="F92" s="265"/>
      <c r="G92" s="265">
        <v>15183</v>
      </c>
      <c r="H92" s="265">
        <v>7380</v>
      </c>
      <c r="I92" s="265">
        <v>20072</v>
      </c>
      <c r="J92" s="265">
        <v>9358</v>
      </c>
      <c r="K92" s="267">
        <v>21620</v>
      </c>
      <c r="L92" s="267">
        <v>16653</v>
      </c>
      <c r="M92" s="267">
        <v>102585</v>
      </c>
      <c r="N92" s="267">
        <v>31594</v>
      </c>
      <c r="O92" s="44"/>
    </row>
    <row r="93" spans="1:15" ht="12.75">
      <c r="A93" s="15" t="s">
        <v>146</v>
      </c>
      <c r="B93" s="265">
        <f>SUM(C93:G93)</f>
        <v>2439</v>
      </c>
      <c r="C93" s="265"/>
      <c r="D93" s="265"/>
      <c r="E93" s="265"/>
      <c r="F93" s="265"/>
      <c r="G93" s="265">
        <v>2439</v>
      </c>
      <c r="H93" s="265">
        <v>835</v>
      </c>
      <c r="I93" s="265">
        <v>995</v>
      </c>
      <c r="J93" s="265">
        <v>554</v>
      </c>
      <c r="K93" s="265">
        <v>757</v>
      </c>
      <c r="L93" s="265"/>
      <c r="M93" s="265"/>
      <c r="N93" s="265"/>
      <c r="O93" s="44"/>
    </row>
    <row r="94" spans="1:15" ht="12.75">
      <c r="A94" s="16" t="s">
        <v>36</v>
      </c>
      <c r="B94" s="278">
        <f>SUM(C94:G94)</f>
        <v>22225</v>
      </c>
      <c r="C94" s="278">
        <v>0</v>
      </c>
      <c r="D94" s="278">
        <v>0</v>
      </c>
      <c r="E94" s="278">
        <v>0</v>
      </c>
      <c r="F94" s="278">
        <v>0</v>
      </c>
      <c r="G94" s="278">
        <f aca="true" t="shared" si="16" ref="G94:M94">SUM(G91:G93)</f>
        <v>22225</v>
      </c>
      <c r="H94" s="278">
        <f t="shared" si="16"/>
        <v>10038</v>
      </c>
      <c r="I94" s="278">
        <f t="shared" si="16"/>
        <v>24173</v>
      </c>
      <c r="J94" s="278">
        <f t="shared" si="16"/>
        <v>18996</v>
      </c>
      <c r="K94" s="278">
        <f t="shared" si="16"/>
        <v>25536</v>
      </c>
      <c r="L94" s="278">
        <f t="shared" si="16"/>
        <v>19714</v>
      </c>
      <c r="M94" s="278">
        <f t="shared" si="16"/>
        <v>121819</v>
      </c>
      <c r="N94" s="278">
        <f>SUM(N91:N93)</f>
        <v>32583</v>
      </c>
      <c r="O94" s="44"/>
    </row>
    <row r="95" spans="1:15" ht="12.75">
      <c r="A95" s="2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2.75">
      <c r="A96" s="43" t="s">
        <v>150</v>
      </c>
      <c r="B96" s="40" t="s">
        <v>8</v>
      </c>
      <c r="C96" s="40" t="s">
        <v>8</v>
      </c>
      <c r="D96" s="40" t="s">
        <v>8</v>
      </c>
      <c r="E96" s="40" t="s">
        <v>8</v>
      </c>
      <c r="F96" s="40" t="s">
        <v>8</v>
      </c>
      <c r="G96" s="40" t="s">
        <v>8</v>
      </c>
      <c r="H96" s="40" t="s">
        <v>8</v>
      </c>
      <c r="I96" s="40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89" t="s">
        <v>8</v>
      </c>
      <c r="O96" s="40"/>
    </row>
    <row r="97" spans="1:15" ht="12.75">
      <c r="A97" s="57" t="s">
        <v>144</v>
      </c>
      <c r="B97" s="265">
        <f>SUM(C97:G97)</f>
        <v>314730</v>
      </c>
      <c r="C97" s="265"/>
      <c r="D97" s="265"/>
      <c r="E97" s="265"/>
      <c r="F97" s="265"/>
      <c r="G97" s="265">
        <v>314730</v>
      </c>
      <c r="H97" s="265">
        <v>173295</v>
      </c>
      <c r="I97" s="265">
        <v>218561</v>
      </c>
      <c r="J97" s="265">
        <v>117747</v>
      </c>
      <c r="K97" s="265">
        <v>201659</v>
      </c>
      <c r="L97" s="265">
        <v>271627</v>
      </c>
      <c r="M97" s="265">
        <v>288849</v>
      </c>
      <c r="N97" s="267">
        <v>46239</v>
      </c>
      <c r="O97" s="44"/>
    </row>
    <row r="98" spans="1:15" ht="12.75">
      <c r="A98" s="15" t="s">
        <v>145</v>
      </c>
      <c r="B98" s="265">
        <f>SUM(C98:G98)</f>
        <v>981618</v>
      </c>
      <c r="C98" s="265"/>
      <c r="D98" s="265"/>
      <c r="E98" s="265"/>
      <c r="F98" s="265"/>
      <c r="G98" s="265">
        <v>981618</v>
      </c>
      <c r="H98" s="265">
        <v>454080</v>
      </c>
      <c r="I98" s="265">
        <v>2287261</v>
      </c>
      <c r="J98" s="265">
        <v>717163</v>
      </c>
      <c r="K98" s="265">
        <v>1496091</v>
      </c>
      <c r="L98" s="265">
        <v>1247663</v>
      </c>
      <c r="M98" s="265">
        <v>1971230</v>
      </c>
      <c r="N98" s="267">
        <v>1934753</v>
      </c>
      <c r="O98" s="44"/>
    </row>
    <row r="99" spans="1:15" ht="12.75">
      <c r="A99" s="15" t="s">
        <v>146</v>
      </c>
      <c r="B99" s="265">
        <f>SUM(C99:G99)</f>
        <v>145005</v>
      </c>
      <c r="C99" s="265"/>
      <c r="D99" s="265"/>
      <c r="E99" s="265"/>
      <c r="F99" s="265"/>
      <c r="G99" s="265">
        <v>145005</v>
      </c>
      <c r="H99" s="265">
        <v>46740</v>
      </c>
      <c r="I99" s="265">
        <v>57725</v>
      </c>
      <c r="J99" s="265">
        <v>42284</v>
      </c>
      <c r="K99" s="265">
        <v>63572</v>
      </c>
      <c r="L99" s="265"/>
      <c r="M99" s="265"/>
      <c r="N99" s="267"/>
      <c r="O99" s="44"/>
    </row>
    <row r="100" spans="1:15" ht="12.75">
      <c r="A100" s="16" t="s">
        <v>148</v>
      </c>
      <c r="B100" s="278">
        <f>SUM(C100:G100)</f>
        <v>7357979</v>
      </c>
      <c r="C100" s="278">
        <v>937582</v>
      </c>
      <c r="D100" s="278">
        <v>654800</v>
      </c>
      <c r="E100" s="278">
        <v>2441633</v>
      </c>
      <c r="F100" s="278">
        <v>1682736</v>
      </c>
      <c r="G100" s="278">
        <v>1641228</v>
      </c>
      <c r="H100" s="278">
        <f aca="true" t="shared" si="17" ref="H100:M100">SUM(H97:H99)</f>
        <v>674115</v>
      </c>
      <c r="I100" s="278">
        <f t="shared" si="17"/>
        <v>2563547</v>
      </c>
      <c r="J100" s="278">
        <f t="shared" si="17"/>
        <v>877194</v>
      </c>
      <c r="K100" s="278">
        <f t="shared" si="17"/>
        <v>1761322</v>
      </c>
      <c r="L100" s="278">
        <f t="shared" si="17"/>
        <v>1519290</v>
      </c>
      <c r="M100" s="278">
        <f t="shared" si="17"/>
        <v>2260079</v>
      </c>
      <c r="N100" s="269">
        <f>SUM(N97:N99)</f>
        <v>1980992</v>
      </c>
      <c r="O100" s="44"/>
    </row>
    <row r="101" spans="1:26" ht="12.75">
      <c r="A101" s="40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8"/>
      <c r="O101" s="44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43" t="s">
        <v>151</v>
      </c>
      <c r="B102" s="44" t="s">
        <v>13</v>
      </c>
      <c r="C102" s="44" t="s">
        <v>13</v>
      </c>
      <c r="D102" s="44" t="s">
        <v>13</v>
      </c>
      <c r="E102" s="44" t="s">
        <v>13</v>
      </c>
      <c r="F102" s="44" t="s">
        <v>13</v>
      </c>
      <c r="G102" s="44" t="s">
        <v>13</v>
      </c>
      <c r="H102" s="44" t="s">
        <v>13</v>
      </c>
      <c r="I102" s="44" t="s">
        <v>13</v>
      </c>
      <c r="J102" s="44" t="s">
        <v>13</v>
      </c>
      <c r="K102" s="44" t="s">
        <v>13</v>
      </c>
      <c r="L102" s="44" t="s">
        <v>13</v>
      </c>
      <c r="M102" s="86" t="s">
        <v>13</v>
      </c>
      <c r="N102" s="90" t="s">
        <v>13</v>
      </c>
      <c r="O102" s="44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57" t="s">
        <v>144</v>
      </c>
      <c r="B103" s="265">
        <f>SUM(C103:G103)</f>
        <v>6368</v>
      </c>
      <c r="C103" s="265"/>
      <c r="D103" s="265"/>
      <c r="E103" s="265"/>
      <c r="F103" s="265"/>
      <c r="G103" s="265">
        <v>6368</v>
      </c>
      <c r="H103" s="265">
        <v>6760</v>
      </c>
      <c r="I103" s="265">
        <v>1573</v>
      </c>
      <c r="J103" s="265">
        <v>124072</v>
      </c>
      <c r="K103" s="265">
        <v>161750</v>
      </c>
      <c r="L103" s="265">
        <v>35107</v>
      </c>
      <c r="M103" s="265">
        <v>31528</v>
      </c>
      <c r="N103" s="267">
        <v>4051</v>
      </c>
      <c r="O103" s="44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15" t="s">
        <v>145</v>
      </c>
      <c r="B104" s="265">
        <f>SUM(C104:G104)</f>
        <v>148756</v>
      </c>
      <c r="C104" s="265"/>
      <c r="D104" s="265"/>
      <c r="E104" s="265"/>
      <c r="F104" s="265"/>
      <c r="G104" s="265">
        <v>148756</v>
      </c>
      <c r="H104" s="265">
        <v>38822</v>
      </c>
      <c r="I104" s="265">
        <v>49590</v>
      </c>
      <c r="J104" s="265">
        <v>79322</v>
      </c>
      <c r="K104" s="265">
        <v>90574</v>
      </c>
      <c r="L104" s="265">
        <v>48061</v>
      </c>
      <c r="M104" s="265">
        <v>224832</v>
      </c>
      <c r="N104" s="267">
        <v>81439</v>
      </c>
      <c r="O104" s="44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15" t="s">
        <v>146</v>
      </c>
      <c r="B105" s="265">
        <f>SUM(C105:G105)</f>
        <v>12326</v>
      </c>
      <c r="C105" s="265"/>
      <c r="D105" s="265"/>
      <c r="E105" s="265"/>
      <c r="F105" s="265"/>
      <c r="G105" s="265">
        <v>12326</v>
      </c>
      <c r="H105" s="265">
        <v>13178</v>
      </c>
      <c r="I105" s="265">
        <v>6596</v>
      </c>
      <c r="J105" s="265">
        <v>14742</v>
      </c>
      <c r="K105" s="265">
        <v>14414</v>
      </c>
      <c r="L105" s="265"/>
      <c r="M105" s="265"/>
      <c r="N105" s="267"/>
      <c r="O105" s="44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16" t="s">
        <v>153</v>
      </c>
      <c r="B106" s="269">
        <f>SUM(C106:G106)</f>
        <v>380387</v>
      </c>
      <c r="C106" s="278">
        <v>0</v>
      </c>
      <c r="D106" s="278">
        <v>31802</v>
      </c>
      <c r="E106" s="278">
        <v>27617</v>
      </c>
      <c r="F106" s="278">
        <v>153518</v>
      </c>
      <c r="G106" s="269">
        <f aca="true" t="shared" si="18" ref="G106:M106">SUM(G103:G105)</f>
        <v>167450</v>
      </c>
      <c r="H106" s="269">
        <f t="shared" si="18"/>
        <v>58760</v>
      </c>
      <c r="I106" s="269">
        <f t="shared" si="18"/>
        <v>57759</v>
      </c>
      <c r="J106" s="269">
        <f t="shared" si="18"/>
        <v>218136</v>
      </c>
      <c r="K106" s="269">
        <f t="shared" si="18"/>
        <v>266738</v>
      </c>
      <c r="L106" s="269">
        <f t="shared" si="18"/>
        <v>83168</v>
      </c>
      <c r="M106" s="269">
        <f t="shared" si="18"/>
        <v>256360</v>
      </c>
      <c r="N106" s="269">
        <f>SUM(N103:N105)</f>
        <v>85490</v>
      </c>
      <c r="O106" s="44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21"/>
      <c r="B107" s="58"/>
      <c r="C107" s="44"/>
      <c r="D107" s="44"/>
      <c r="E107" s="44"/>
      <c r="F107" s="44"/>
      <c r="G107" s="58"/>
      <c r="H107" s="58"/>
      <c r="I107" s="58"/>
      <c r="J107" s="58"/>
      <c r="K107" s="58"/>
      <c r="L107" s="58"/>
      <c r="M107" s="58"/>
      <c r="N107" s="58"/>
      <c r="O107" s="44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43" t="s">
        <v>152</v>
      </c>
      <c r="B108" s="44" t="s">
        <v>13</v>
      </c>
      <c r="C108" s="44" t="s">
        <v>13</v>
      </c>
      <c r="D108" s="44" t="s">
        <v>13</v>
      </c>
      <c r="E108" s="44" t="s">
        <v>13</v>
      </c>
      <c r="F108" s="44" t="s">
        <v>13</v>
      </c>
      <c r="G108" s="44" t="s">
        <v>13</v>
      </c>
      <c r="H108" s="44" t="s">
        <v>13</v>
      </c>
      <c r="I108" s="44" t="s">
        <v>13</v>
      </c>
      <c r="J108" s="44" t="s">
        <v>13</v>
      </c>
      <c r="K108" s="44" t="s">
        <v>13</v>
      </c>
      <c r="L108" s="44" t="s">
        <v>13</v>
      </c>
      <c r="M108" s="86" t="s">
        <v>13</v>
      </c>
      <c r="N108" s="90" t="s">
        <v>13</v>
      </c>
      <c r="O108" s="44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57" t="s">
        <v>144</v>
      </c>
      <c r="B109" s="267">
        <f>SUM(C109:G109)</f>
        <v>95526</v>
      </c>
      <c r="C109" s="265"/>
      <c r="D109" s="265"/>
      <c r="E109" s="265"/>
      <c r="F109" s="265"/>
      <c r="G109" s="267">
        <v>95526</v>
      </c>
      <c r="H109" s="267">
        <v>101400</v>
      </c>
      <c r="I109" s="267">
        <v>31200</v>
      </c>
      <c r="J109" s="267">
        <v>269286</v>
      </c>
      <c r="K109" s="267">
        <v>2533483</v>
      </c>
      <c r="L109" s="267">
        <v>567517</v>
      </c>
      <c r="M109" s="267">
        <v>504953</v>
      </c>
      <c r="N109" s="267">
        <v>72665</v>
      </c>
      <c r="O109" s="44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15" t="s">
        <v>145</v>
      </c>
      <c r="B110" s="267">
        <f>SUM(C110:G110)</f>
        <v>2340823</v>
      </c>
      <c r="C110" s="265"/>
      <c r="D110" s="265"/>
      <c r="E110" s="265"/>
      <c r="F110" s="265"/>
      <c r="G110" s="267">
        <v>2340823</v>
      </c>
      <c r="H110" s="267">
        <v>582460</v>
      </c>
      <c r="I110" s="267">
        <v>717372</v>
      </c>
      <c r="J110" s="267">
        <v>1026722</v>
      </c>
      <c r="K110" s="267">
        <v>1505918</v>
      </c>
      <c r="L110" s="267">
        <v>906166</v>
      </c>
      <c r="M110" s="267">
        <v>4392557</v>
      </c>
      <c r="N110" s="267">
        <v>1431661</v>
      </c>
      <c r="O110" s="44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15" t="s">
        <v>146</v>
      </c>
      <c r="B111" s="267">
        <f>SUM(C111:G111)</f>
        <v>190177</v>
      </c>
      <c r="C111" s="265"/>
      <c r="D111" s="265"/>
      <c r="E111" s="265"/>
      <c r="F111" s="265"/>
      <c r="G111" s="267">
        <v>190177</v>
      </c>
      <c r="H111" s="267">
        <v>209420</v>
      </c>
      <c r="I111" s="267">
        <v>130004</v>
      </c>
      <c r="J111" s="267">
        <v>194886</v>
      </c>
      <c r="K111" s="267">
        <v>233551</v>
      </c>
      <c r="L111" s="267"/>
      <c r="M111" s="267"/>
      <c r="N111" s="267"/>
      <c r="O111" s="44"/>
      <c r="S111" s="9"/>
      <c r="T111" s="9"/>
      <c r="U111" s="9"/>
      <c r="V111" s="9"/>
      <c r="W111" s="9"/>
      <c r="X111" s="9"/>
      <c r="Y111" s="9"/>
      <c r="Z111" s="9"/>
    </row>
    <row r="112" spans="1:15" ht="12.75">
      <c r="A112" s="16" t="s">
        <v>148</v>
      </c>
      <c r="B112" s="269">
        <f>SUM(C112:G112)</f>
        <v>5822680</v>
      </c>
      <c r="C112" s="278">
        <v>0</v>
      </c>
      <c r="D112" s="278">
        <v>477024</v>
      </c>
      <c r="E112" s="278">
        <v>416360</v>
      </c>
      <c r="F112" s="278">
        <v>2302770</v>
      </c>
      <c r="G112" s="269">
        <f aca="true" t="shared" si="19" ref="G112:M112">SUM(G109:G111)</f>
        <v>2626526</v>
      </c>
      <c r="H112" s="269">
        <f t="shared" si="19"/>
        <v>893280</v>
      </c>
      <c r="I112" s="269">
        <f t="shared" si="19"/>
        <v>878576</v>
      </c>
      <c r="J112" s="269">
        <f t="shared" si="19"/>
        <v>1490894</v>
      </c>
      <c r="K112" s="269">
        <f t="shared" si="19"/>
        <v>4272952</v>
      </c>
      <c r="L112" s="269">
        <f t="shared" si="19"/>
        <v>1473683</v>
      </c>
      <c r="M112" s="269">
        <f t="shared" si="19"/>
        <v>4897510</v>
      </c>
      <c r="N112" s="269">
        <f>SUM(N109:N111)</f>
        <v>1504326</v>
      </c>
      <c r="O112" s="44"/>
    </row>
    <row r="113" spans="1:15" ht="12.75">
      <c r="A113" s="2" t="str">
        <f>A43</f>
        <v>* These columns/years have been hidden in this worksheet for viewing &amp; printing purposes</v>
      </c>
      <c r="B113" s="21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2" ht="12.75">
      <c r="A114" s="2"/>
      <c r="B114" s="2"/>
    </row>
    <row r="115" spans="1:14" ht="12.75">
      <c r="A115" s="5"/>
      <c r="B115" s="5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7" spans="1:2" ht="12.75">
      <c r="A117" s="2"/>
      <c r="B117" s="2"/>
    </row>
    <row r="118" spans="1:18" ht="12.75">
      <c r="A118" s="2"/>
      <c r="B118" s="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>
      <c r="A119" s="2"/>
      <c r="B119" s="2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3" ht="12.75">
      <c r="A120" s="2"/>
      <c r="B120" s="2"/>
      <c r="C120" s="3"/>
    </row>
    <row r="121" spans="1:2" ht="12.75">
      <c r="A121" s="2"/>
      <c r="B121" s="2"/>
    </row>
    <row r="122" spans="1:18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2"/>
      <c r="B124" s="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6"/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>
      <c r="A130" s="2"/>
      <c r="B130" s="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>
      <c r="A131" s="2"/>
      <c r="B131" s="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2" ht="12.75">
      <c r="A132" s="2"/>
      <c r="B132" s="2"/>
    </row>
    <row r="133" spans="1:2" ht="12.75">
      <c r="A133" s="2"/>
      <c r="B133" s="2"/>
    </row>
  </sheetData>
  <sheetProtection/>
  <mergeCells count="4">
    <mergeCell ref="A1:O1"/>
    <mergeCell ref="A44:O44"/>
    <mergeCell ref="A12:O12"/>
    <mergeCell ref="A80:O80"/>
  </mergeCells>
  <printOptions/>
  <pageMargins left="0.55" right="0.57" top="0.65" bottom="0.79" header="0.5" footer="0.5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43" max="255" man="1"/>
    <brk id="79" max="12" man="1"/>
  </rowBreaks>
  <ignoredErrors>
    <ignoredError sqref="C10:F10" formulaRange="1"/>
    <ignoredError sqref="G65:H6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26.421875" style="0" customWidth="1"/>
    <col min="2" max="2" width="13.8515625" style="0" bestFit="1" customWidth="1"/>
    <col min="3" max="5" width="9.28125" style="0" hidden="1" customWidth="1"/>
    <col min="6" max="6" width="12.421875" style="0" hidden="1" customWidth="1"/>
    <col min="7" max="7" width="13.00390625" style="0" hidden="1" customWidth="1"/>
    <col min="8" max="8" width="14.140625" style="0" bestFit="1" customWidth="1"/>
    <col min="9" max="10" width="13.8515625" style="0" customWidth="1"/>
    <col min="11" max="14" width="13.421875" style="0" customWidth="1"/>
    <col min="15" max="15" width="13.8515625" style="0" customWidth="1"/>
  </cols>
  <sheetData>
    <row r="1" spans="1:15" ht="15.75">
      <c r="A1" s="382" t="s">
        <v>182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2" ht="15">
      <c r="A2" s="112"/>
      <c r="B2" s="112"/>
    </row>
    <row r="3" spans="2:15" ht="25.5">
      <c r="B3" s="82" t="s">
        <v>354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25">
        <v>2010</v>
      </c>
      <c r="M3" s="25">
        <v>2011</v>
      </c>
      <c r="N3" s="82" t="s">
        <v>423</v>
      </c>
      <c r="O3" s="126" t="s">
        <v>427</v>
      </c>
    </row>
    <row r="4" ht="12.75">
      <c r="A4" s="5" t="s">
        <v>255</v>
      </c>
    </row>
    <row r="5" spans="1:15" ht="12.75">
      <c r="A5" s="22" t="s">
        <v>59</v>
      </c>
      <c r="B5" s="252">
        <f>SUM(C5:G5)</f>
        <v>12750000</v>
      </c>
      <c r="C5" s="252"/>
      <c r="D5" s="252"/>
      <c r="E5" s="252"/>
      <c r="F5" s="252">
        <f>5000*1000</f>
        <v>5000000</v>
      </c>
      <c r="G5" s="252">
        <f>7750*1000</f>
        <v>7750000</v>
      </c>
      <c r="H5" s="252">
        <f>6681*1000</f>
        <v>6681000</v>
      </c>
      <c r="I5" s="252">
        <f>7857*1000</f>
        <v>7857000</v>
      </c>
      <c r="J5" s="252">
        <f>15914*1000</f>
        <v>15914000</v>
      </c>
      <c r="K5" s="252">
        <v>11784675.15</v>
      </c>
      <c r="L5" s="252">
        <v>5859508.79</v>
      </c>
      <c r="M5" s="252">
        <v>1002122.83</v>
      </c>
      <c r="N5" s="254">
        <v>13500000</v>
      </c>
      <c r="O5" s="252">
        <f>SUM(C5:N5)</f>
        <v>75348306.77</v>
      </c>
    </row>
    <row r="6" spans="2:15" ht="12.75">
      <c r="B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" t="s">
        <v>256</v>
      </c>
      <c r="B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22" t="s">
        <v>215</v>
      </c>
      <c r="B8" s="252">
        <f>SUM(C8:G8)</f>
        <v>534000</v>
      </c>
      <c r="C8" s="252"/>
      <c r="D8" s="252"/>
      <c r="E8" s="252"/>
      <c r="F8" s="252">
        <f>32*1000</f>
        <v>32000</v>
      </c>
      <c r="G8" s="252">
        <f>502*1000</f>
        <v>502000</v>
      </c>
      <c r="H8" s="252">
        <f>1875*1000</f>
        <v>1875000</v>
      </c>
      <c r="I8" s="252">
        <f>3024*1000</f>
        <v>3024000</v>
      </c>
      <c r="J8" s="252">
        <f>2119*1000</f>
        <v>2119000</v>
      </c>
      <c r="K8" s="252">
        <v>1003184.76</v>
      </c>
      <c r="L8" s="252">
        <v>2708013.72</v>
      </c>
      <c r="M8" s="252">
        <v>0</v>
      </c>
      <c r="N8" s="254">
        <v>200654</v>
      </c>
      <c r="O8" s="252">
        <f>SUM(C8:N8)</f>
        <v>11463852.48</v>
      </c>
    </row>
    <row r="9" spans="1:15" ht="12.75">
      <c r="A9" s="85" t="s">
        <v>23</v>
      </c>
      <c r="B9" s="252">
        <f>SUM(C9:G9)</f>
        <v>0</v>
      </c>
      <c r="C9" s="252"/>
      <c r="D9" s="252"/>
      <c r="E9" s="252"/>
      <c r="F9" s="252"/>
      <c r="G9" s="252"/>
      <c r="H9" s="252"/>
      <c r="I9" s="252">
        <f>7037*1000</f>
        <v>7037000</v>
      </c>
      <c r="J9" s="252">
        <f>9067*1000</f>
        <v>9067000</v>
      </c>
      <c r="K9" s="252">
        <v>7842812</v>
      </c>
      <c r="L9" s="252">
        <v>2000000</v>
      </c>
      <c r="M9" s="252">
        <v>1000000</v>
      </c>
      <c r="N9" s="254">
        <v>5911320</v>
      </c>
      <c r="O9" s="302"/>
    </row>
    <row r="10" spans="1:15" ht="12.75">
      <c r="A10" s="85" t="s">
        <v>1</v>
      </c>
      <c r="B10" s="252">
        <f>SUM(C10:G10)</f>
        <v>0</v>
      </c>
      <c r="C10" s="252"/>
      <c r="D10" s="252"/>
      <c r="E10" s="252"/>
      <c r="F10" s="252"/>
      <c r="G10" s="252"/>
      <c r="H10" s="252"/>
      <c r="I10" s="252">
        <f aca="true" t="shared" si="0" ref="I10:N10">SUM(I8:I9)</f>
        <v>10061000</v>
      </c>
      <c r="J10" s="252">
        <f t="shared" si="0"/>
        <v>11186000</v>
      </c>
      <c r="K10" s="252">
        <f t="shared" si="0"/>
        <v>8845996.76</v>
      </c>
      <c r="L10" s="252">
        <f t="shared" si="0"/>
        <v>4708013.720000001</v>
      </c>
      <c r="M10" s="252">
        <f t="shared" si="0"/>
        <v>1000000</v>
      </c>
      <c r="N10" s="252">
        <f t="shared" si="0"/>
        <v>6111974</v>
      </c>
      <c r="O10" s="302"/>
    </row>
    <row r="12" ht="12.75">
      <c r="A12" s="1" t="s">
        <v>63</v>
      </c>
    </row>
    <row r="13" spans="1:15" ht="12.75">
      <c r="A13" s="22" t="s">
        <v>434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33">
        <v>1</v>
      </c>
      <c r="O13" s="372">
        <f>SUM(C13:N13)</f>
        <v>1</v>
      </c>
    </row>
    <row r="14" spans="1:15" ht="12.75">
      <c r="A14" s="22" t="s">
        <v>435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33">
        <v>0</v>
      </c>
      <c r="O14" s="372">
        <f>SUM(C14:N14)</f>
        <v>0</v>
      </c>
    </row>
    <row r="15" spans="1:15" ht="12.75">
      <c r="A15" s="14" t="s">
        <v>436</v>
      </c>
      <c r="B15" s="373">
        <f>SUM(C15:G15)</f>
        <v>2</v>
      </c>
      <c r="C15" s="373"/>
      <c r="D15" s="373"/>
      <c r="E15" s="373"/>
      <c r="F15" s="373"/>
      <c r="G15" s="373">
        <v>2</v>
      </c>
      <c r="H15" s="373">
        <v>4</v>
      </c>
      <c r="I15" s="373">
        <v>5</v>
      </c>
      <c r="J15" s="373">
        <v>4</v>
      </c>
      <c r="K15" s="373">
        <v>1</v>
      </c>
      <c r="L15" s="373">
        <v>6</v>
      </c>
      <c r="M15" s="373">
        <v>0</v>
      </c>
      <c r="N15" s="374">
        <f>SUM(N13:N14)</f>
        <v>1</v>
      </c>
      <c r="O15" s="373">
        <f>SUM(C15:N15)</f>
        <v>23</v>
      </c>
    </row>
    <row r="16" ht="12.75">
      <c r="O16" s="23"/>
    </row>
    <row r="17" spans="1:15" ht="12.75">
      <c r="A17" s="1" t="s">
        <v>64</v>
      </c>
      <c r="O17" s="23"/>
    </row>
    <row r="18" spans="1:15" ht="12.75">
      <c r="A18" s="22" t="s">
        <v>434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33">
        <v>13</v>
      </c>
      <c r="O18" s="23"/>
    </row>
    <row r="19" spans="1:15" ht="12.75">
      <c r="A19" s="22" t="s">
        <v>435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33">
        <v>5</v>
      </c>
      <c r="O19" s="23"/>
    </row>
    <row r="20" spans="1:16" ht="12.75">
      <c r="A20" s="14" t="s">
        <v>436</v>
      </c>
      <c r="B20" s="260">
        <f>SUM(C20:G20)</f>
        <v>0</v>
      </c>
      <c r="C20" s="260"/>
      <c r="D20" s="260"/>
      <c r="E20" s="260"/>
      <c r="F20" s="260"/>
      <c r="G20" s="260"/>
      <c r="H20" s="260"/>
      <c r="I20" s="260">
        <v>13</v>
      </c>
      <c r="J20" s="282">
        <v>15</v>
      </c>
      <c r="K20" s="282">
        <v>9</v>
      </c>
      <c r="L20" s="282">
        <v>2</v>
      </c>
      <c r="M20" s="282">
        <v>0</v>
      </c>
      <c r="N20" s="282">
        <f>SUM(N18:N19)</f>
        <v>18</v>
      </c>
      <c r="O20" s="62"/>
      <c r="P20" s="132"/>
    </row>
    <row r="21" spans="2:15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1"/>
    </row>
    <row r="22" spans="1:15" ht="15.75">
      <c r="A22" s="56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52"/>
      <c r="O22" s="101"/>
    </row>
    <row r="23" spans="1:15" ht="12.75">
      <c r="A23" s="1" t="s">
        <v>149</v>
      </c>
      <c r="B23" s="25" t="s">
        <v>8</v>
      </c>
      <c r="C23" s="25" t="s">
        <v>8</v>
      </c>
      <c r="D23" s="25" t="s">
        <v>8</v>
      </c>
      <c r="E23" s="25" t="s">
        <v>8</v>
      </c>
      <c r="F23" s="25" t="s">
        <v>8</v>
      </c>
      <c r="G23" s="25" t="s">
        <v>8</v>
      </c>
      <c r="H23" s="25" t="s">
        <v>8</v>
      </c>
      <c r="I23" s="25" t="s">
        <v>8</v>
      </c>
      <c r="J23" s="25" t="s">
        <v>8</v>
      </c>
      <c r="K23" s="25" t="s">
        <v>8</v>
      </c>
      <c r="L23" s="25" t="s">
        <v>8</v>
      </c>
      <c r="M23" s="25" t="s">
        <v>8</v>
      </c>
      <c r="N23" s="152" t="s">
        <v>8</v>
      </c>
      <c r="O23" s="101" t="s">
        <v>8</v>
      </c>
    </row>
    <row r="24" spans="1:15" ht="12.75">
      <c r="A24" s="22" t="s">
        <v>434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33">
        <v>0</v>
      </c>
      <c r="O24" s="371">
        <f>SUM(C24:N24)</f>
        <v>0</v>
      </c>
    </row>
    <row r="25" spans="1:15" ht="12.75">
      <c r="A25" s="22" t="s">
        <v>435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33">
        <v>0</v>
      </c>
      <c r="O25" s="371">
        <f>SUM(C25:N25)</f>
        <v>0</v>
      </c>
    </row>
    <row r="26" spans="1:15" ht="12.75">
      <c r="A26" s="14" t="s">
        <v>436</v>
      </c>
      <c r="B26" s="260">
        <f>SUM(C26:G26)</f>
        <v>0</v>
      </c>
      <c r="C26" s="260"/>
      <c r="D26" s="260"/>
      <c r="E26" s="260"/>
      <c r="F26" s="260"/>
      <c r="G26" s="260"/>
      <c r="H26" s="260"/>
      <c r="I26" s="260"/>
      <c r="J26" s="282">
        <v>141</v>
      </c>
      <c r="K26" s="282">
        <v>0</v>
      </c>
      <c r="L26" s="282">
        <v>2000</v>
      </c>
      <c r="M26" s="282"/>
      <c r="N26" s="282">
        <f>SUM(N24:N25)</f>
        <v>0</v>
      </c>
      <c r="O26" s="260">
        <f>SUM(C26:N26)</f>
        <v>2141</v>
      </c>
    </row>
    <row r="27" spans="1:15" ht="12.75">
      <c r="A27" s="24"/>
      <c r="B27" s="62"/>
      <c r="C27" s="24"/>
      <c r="D27" s="24"/>
      <c r="E27" s="24"/>
      <c r="F27" s="24"/>
      <c r="G27" s="62"/>
      <c r="H27" s="62"/>
      <c r="I27" s="62"/>
      <c r="J27" s="99"/>
      <c r="K27" s="99"/>
      <c r="L27" s="99"/>
      <c r="M27" s="99"/>
      <c r="N27" s="99"/>
      <c r="O27" s="62"/>
    </row>
    <row r="28" spans="1:15" ht="12.75">
      <c r="A28" s="1" t="s">
        <v>150</v>
      </c>
      <c r="B28" s="25" t="s">
        <v>8</v>
      </c>
      <c r="C28" s="25" t="s">
        <v>8</v>
      </c>
      <c r="D28" s="25" t="s">
        <v>8</v>
      </c>
      <c r="E28" s="25" t="s">
        <v>8</v>
      </c>
      <c r="F28" s="25" t="s">
        <v>8</v>
      </c>
      <c r="G28" s="25" t="s">
        <v>8</v>
      </c>
      <c r="H28" s="25" t="s">
        <v>8</v>
      </c>
      <c r="I28" s="25" t="s">
        <v>8</v>
      </c>
      <c r="J28" s="25" t="s">
        <v>8</v>
      </c>
      <c r="K28" s="25" t="s">
        <v>8</v>
      </c>
      <c r="L28" s="25" t="s">
        <v>8</v>
      </c>
      <c r="M28" s="25" t="s">
        <v>8</v>
      </c>
      <c r="N28" s="152" t="s">
        <v>8</v>
      </c>
      <c r="O28" s="101" t="s">
        <v>8</v>
      </c>
    </row>
    <row r="29" spans="1:15" ht="12.75">
      <c r="A29" s="22" t="s">
        <v>434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33">
        <v>0</v>
      </c>
      <c r="O29" s="371">
        <f>SUM(C29:N29)</f>
        <v>0</v>
      </c>
    </row>
    <row r="30" spans="1:15" ht="12.75">
      <c r="A30" s="22" t="s">
        <v>435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33">
        <v>0</v>
      </c>
      <c r="O30" s="371">
        <f>SUM(C30:N30)</f>
        <v>0</v>
      </c>
    </row>
    <row r="31" spans="1:15" ht="12.75">
      <c r="A31" s="14" t="s">
        <v>436</v>
      </c>
      <c r="B31" s="260">
        <f>SUM(C31:G31)</f>
        <v>0</v>
      </c>
      <c r="C31" s="260"/>
      <c r="D31" s="260"/>
      <c r="E31" s="260"/>
      <c r="F31" s="260"/>
      <c r="G31" s="260"/>
      <c r="H31" s="260"/>
      <c r="I31" s="260"/>
      <c r="J31" s="282">
        <v>2119</v>
      </c>
      <c r="K31" s="282">
        <v>0</v>
      </c>
      <c r="L31" s="282">
        <v>24001</v>
      </c>
      <c r="M31" s="282"/>
      <c r="N31" s="282">
        <f>SUM(N29:N30)</f>
        <v>0</v>
      </c>
      <c r="O31" s="260">
        <f>SUM(C31:N31)</f>
        <v>26120</v>
      </c>
    </row>
    <row r="32" spans="1:15" ht="12.75">
      <c r="A32" s="24"/>
      <c r="B32" s="62"/>
      <c r="C32" s="24"/>
      <c r="D32" s="24"/>
      <c r="E32" s="24"/>
      <c r="F32" s="24"/>
      <c r="G32" s="62"/>
      <c r="H32" s="62"/>
      <c r="I32" s="62"/>
      <c r="J32" s="62"/>
      <c r="K32" s="62"/>
      <c r="L32" s="62"/>
      <c r="M32" s="62"/>
      <c r="N32" s="99"/>
      <c r="O32" s="62"/>
    </row>
    <row r="33" spans="1:15" ht="12.75">
      <c r="A33" s="1" t="s">
        <v>133</v>
      </c>
      <c r="B33" s="25" t="s">
        <v>11</v>
      </c>
      <c r="C33" s="25" t="s">
        <v>11</v>
      </c>
      <c r="D33" s="25" t="s">
        <v>11</v>
      </c>
      <c r="E33" s="25" t="s">
        <v>11</v>
      </c>
      <c r="F33" s="25" t="s">
        <v>11</v>
      </c>
      <c r="G33" s="25" t="s">
        <v>11</v>
      </c>
      <c r="H33" s="25" t="s">
        <v>11</v>
      </c>
      <c r="I33" s="25" t="s">
        <v>11</v>
      </c>
      <c r="J33" s="25" t="s">
        <v>11</v>
      </c>
      <c r="K33" s="25" t="s">
        <v>11</v>
      </c>
      <c r="L33" s="25" t="s">
        <v>11</v>
      </c>
      <c r="M33" s="25" t="s">
        <v>11</v>
      </c>
      <c r="N33" s="152" t="s">
        <v>11</v>
      </c>
      <c r="O33" s="101" t="s">
        <v>11</v>
      </c>
    </row>
    <row r="34" spans="1:15" ht="12.75">
      <c r="A34" s="22" t="s">
        <v>434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33">
        <v>0</v>
      </c>
      <c r="O34" s="371">
        <f>SUM(C34:N34)</f>
        <v>0</v>
      </c>
    </row>
    <row r="35" spans="1:15" ht="12.75">
      <c r="A35" s="22" t="s">
        <v>435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33">
        <v>0</v>
      </c>
      <c r="O35" s="371">
        <f>SUM(C35:N35)</f>
        <v>0</v>
      </c>
    </row>
    <row r="36" spans="1:15" ht="12.75">
      <c r="A36" s="14" t="s">
        <v>436</v>
      </c>
      <c r="B36" s="260">
        <f>SUM(C36:G36)</f>
        <v>0</v>
      </c>
      <c r="C36" s="260"/>
      <c r="D36" s="260"/>
      <c r="E36" s="260"/>
      <c r="F36" s="260"/>
      <c r="G36" s="260"/>
      <c r="H36" s="260"/>
      <c r="I36" s="260"/>
      <c r="J36" s="282">
        <v>30</v>
      </c>
      <c r="K36" s="282">
        <v>0</v>
      </c>
      <c r="L36" s="282">
        <v>275</v>
      </c>
      <c r="M36" s="282"/>
      <c r="N36" s="282">
        <f>SUM(N34:N35)</f>
        <v>0</v>
      </c>
      <c r="O36" s="260">
        <f>SUM(C36:N36)</f>
        <v>305</v>
      </c>
    </row>
    <row r="37" spans="1:15" ht="12.75">
      <c r="A37" s="24"/>
      <c r="B37" s="62"/>
      <c r="C37" s="24"/>
      <c r="D37" s="24"/>
      <c r="E37" s="24"/>
      <c r="F37" s="24"/>
      <c r="G37" s="62"/>
      <c r="H37" s="62"/>
      <c r="I37" s="62"/>
      <c r="J37" s="62"/>
      <c r="K37" s="62"/>
      <c r="L37" s="62"/>
      <c r="M37" s="62"/>
      <c r="N37" s="99"/>
      <c r="O37" s="62"/>
    </row>
    <row r="38" spans="1:15" ht="12.75">
      <c r="A38" s="1" t="s">
        <v>252</v>
      </c>
      <c r="B38" s="62"/>
      <c r="C38" s="24"/>
      <c r="D38" s="24"/>
      <c r="E38" s="24"/>
      <c r="F38" s="24"/>
      <c r="G38" s="62"/>
      <c r="H38" s="62"/>
      <c r="I38" s="62"/>
      <c r="J38" s="62"/>
      <c r="K38" s="62"/>
      <c r="L38" s="62"/>
      <c r="M38" s="62"/>
      <c r="N38" s="99"/>
      <c r="O38" s="62"/>
    </row>
    <row r="39" spans="1:15" ht="12.75">
      <c r="A39" s="1" t="s">
        <v>149</v>
      </c>
      <c r="B39" s="25" t="s">
        <v>8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152" t="s">
        <v>8</v>
      </c>
      <c r="O39" s="81"/>
    </row>
    <row r="40" spans="1:15" ht="12.75">
      <c r="A40" s="22" t="s">
        <v>434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33">
        <v>0</v>
      </c>
      <c r="O40" s="81"/>
    </row>
    <row r="41" spans="1:15" ht="12.75">
      <c r="A41" s="22" t="s">
        <v>435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33">
        <v>5655</v>
      </c>
      <c r="O41" s="81"/>
    </row>
    <row r="42" spans="1:15" ht="12.75">
      <c r="A42" s="14" t="s">
        <v>436</v>
      </c>
      <c r="B42" s="260"/>
      <c r="C42" s="260"/>
      <c r="D42" s="260"/>
      <c r="E42" s="260"/>
      <c r="F42" s="260"/>
      <c r="G42" s="260">
        <v>0</v>
      </c>
      <c r="H42" s="260"/>
      <c r="I42" s="260"/>
      <c r="J42" s="282"/>
      <c r="K42" s="282"/>
      <c r="L42" s="282"/>
      <c r="M42" s="282"/>
      <c r="N42" s="282">
        <f>SUM(N40:N41)</f>
        <v>5655</v>
      </c>
      <c r="O42" s="62"/>
    </row>
    <row r="43" spans="1:15" ht="12.75">
      <c r="A43" s="30"/>
      <c r="B43" s="376"/>
      <c r="C43" s="376"/>
      <c r="D43" s="376"/>
      <c r="E43" s="376"/>
      <c r="F43" s="376"/>
      <c r="G43" s="376"/>
      <c r="H43" s="376"/>
      <c r="I43" s="376"/>
      <c r="J43" s="377"/>
      <c r="K43" s="377"/>
      <c r="L43" s="377"/>
      <c r="M43" s="377"/>
      <c r="N43" s="377"/>
      <c r="O43" s="62"/>
    </row>
    <row r="44" spans="1:15" ht="12.75">
      <c r="A44" s="1" t="s">
        <v>150</v>
      </c>
      <c r="B44" s="25" t="s">
        <v>8</v>
      </c>
      <c r="C44" s="25" t="s">
        <v>8</v>
      </c>
      <c r="D44" s="25" t="s">
        <v>8</v>
      </c>
      <c r="E44" s="25" t="s">
        <v>8</v>
      </c>
      <c r="F44" s="25" t="s">
        <v>8</v>
      </c>
      <c r="G44" s="25" t="s">
        <v>8</v>
      </c>
      <c r="H44" s="25" t="s">
        <v>8</v>
      </c>
      <c r="I44" s="25" t="s">
        <v>8</v>
      </c>
      <c r="J44" s="25" t="s">
        <v>8</v>
      </c>
      <c r="K44" s="25" t="s">
        <v>8</v>
      </c>
      <c r="L44" s="25" t="s">
        <v>8</v>
      </c>
      <c r="M44" s="25" t="s">
        <v>8</v>
      </c>
      <c r="N44" s="152" t="s">
        <v>8</v>
      </c>
      <c r="O44" s="81"/>
    </row>
    <row r="45" spans="1:15" ht="12.75">
      <c r="A45" s="22" t="s">
        <v>434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33">
        <v>0</v>
      </c>
      <c r="O45" s="81"/>
    </row>
    <row r="46" spans="1:15" ht="12.75">
      <c r="A46" s="22" t="s">
        <v>435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33">
        <v>169644</v>
      </c>
      <c r="O46" s="81"/>
    </row>
    <row r="47" spans="1:15" ht="12.75">
      <c r="A47" s="14" t="s">
        <v>436</v>
      </c>
      <c r="B47" s="260">
        <f>SUM(C47:G47)</f>
        <v>0</v>
      </c>
      <c r="C47" s="260"/>
      <c r="D47" s="260"/>
      <c r="E47" s="260"/>
      <c r="F47" s="260"/>
      <c r="G47" s="260"/>
      <c r="H47" s="260"/>
      <c r="I47" s="260"/>
      <c r="J47" s="282"/>
      <c r="K47" s="282">
        <v>4245</v>
      </c>
      <c r="L47" s="282"/>
      <c r="M47" s="282"/>
      <c r="N47" s="282">
        <f>SUM(N45:N46)</f>
        <v>169644</v>
      </c>
      <c r="O47" s="62"/>
    </row>
    <row r="48" spans="1:15" ht="6" customHeight="1">
      <c r="A48" s="24"/>
      <c r="B48" s="62"/>
      <c r="C48" s="24"/>
      <c r="D48" s="24"/>
      <c r="E48" s="24"/>
      <c r="F48" s="24"/>
      <c r="G48" s="62"/>
      <c r="H48" s="62"/>
      <c r="I48" s="62"/>
      <c r="J48" s="62"/>
      <c r="K48" s="62"/>
      <c r="L48" s="62"/>
      <c r="M48" s="62"/>
      <c r="N48" s="99"/>
      <c r="O48" s="62"/>
    </row>
    <row r="49" spans="1:15" ht="12.75">
      <c r="A49" s="1" t="s">
        <v>151</v>
      </c>
      <c r="B49" s="25" t="s">
        <v>13</v>
      </c>
      <c r="C49" s="25" t="s">
        <v>13</v>
      </c>
      <c r="D49" s="25" t="s">
        <v>13</v>
      </c>
      <c r="E49" s="25" t="s">
        <v>13</v>
      </c>
      <c r="F49" s="25" t="s">
        <v>13</v>
      </c>
      <c r="G49" s="25" t="s">
        <v>13</v>
      </c>
      <c r="H49" s="25" t="s">
        <v>13</v>
      </c>
      <c r="I49" s="25" t="s">
        <v>13</v>
      </c>
      <c r="J49" s="25" t="s">
        <v>13</v>
      </c>
      <c r="K49" s="25" t="s">
        <v>13</v>
      </c>
      <c r="L49" s="25" t="s">
        <v>13</v>
      </c>
      <c r="M49" s="25" t="s">
        <v>13</v>
      </c>
      <c r="N49" s="152" t="s">
        <v>13</v>
      </c>
      <c r="O49" s="81"/>
    </row>
    <row r="50" spans="1:15" ht="12.75">
      <c r="A50" s="22" t="s">
        <v>434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33"/>
      <c r="O50" s="81"/>
    </row>
    <row r="51" spans="1:15" ht="12.75">
      <c r="A51" s="22" t="s">
        <v>435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33"/>
      <c r="O51" s="81"/>
    </row>
    <row r="52" spans="1:15" ht="12.75">
      <c r="A52" s="14" t="s">
        <v>436</v>
      </c>
      <c r="B52" s="260">
        <f>SUM(C52:G52)</f>
        <v>0</v>
      </c>
      <c r="C52" s="260"/>
      <c r="D52" s="260"/>
      <c r="E52" s="260"/>
      <c r="F52" s="260"/>
      <c r="G52" s="260">
        <v>0</v>
      </c>
      <c r="H52" s="260">
        <v>0</v>
      </c>
      <c r="I52" s="260">
        <v>526105</v>
      </c>
      <c r="J52" s="282">
        <v>52103</v>
      </c>
      <c r="K52" s="282">
        <v>176521</v>
      </c>
      <c r="L52" s="282">
        <v>171923</v>
      </c>
      <c r="M52" s="282"/>
      <c r="N52" s="282">
        <f>SUM(N50:N51)</f>
        <v>0</v>
      </c>
      <c r="O52" s="62"/>
    </row>
    <row r="53" spans="14:15" ht="6" customHeight="1">
      <c r="N53" s="140"/>
      <c r="O53" s="62"/>
    </row>
    <row r="54" spans="1:15" ht="12.75">
      <c r="A54" s="1" t="s">
        <v>152</v>
      </c>
      <c r="B54" s="25" t="s">
        <v>13</v>
      </c>
      <c r="C54" s="25" t="s">
        <v>13</v>
      </c>
      <c r="D54" s="25" t="s">
        <v>13</v>
      </c>
      <c r="E54" s="25" t="s">
        <v>13</v>
      </c>
      <c r="F54" s="25" t="s">
        <v>13</v>
      </c>
      <c r="G54" s="25" t="s">
        <v>13</v>
      </c>
      <c r="H54" s="25" t="s">
        <v>13</v>
      </c>
      <c r="I54" s="25" t="s">
        <v>13</v>
      </c>
      <c r="J54" s="25" t="s">
        <v>13</v>
      </c>
      <c r="K54" s="25" t="s">
        <v>13</v>
      </c>
      <c r="L54" s="25" t="s">
        <v>13</v>
      </c>
      <c r="M54" s="25" t="s">
        <v>13</v>
      </c>
      <c r="N54" s="152" t="s">
        <v>13</v>
      </c>
      <c r="O54" s="81"/>
    </row>
    <row r="55" spans="1:15" ht="12.75">
      <c r="A55" s="22" t="s">
        <v>434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33"/>
      <c r="O55" s="81"/>
    </row>
    <row r="56" spans="1:15" ht="12.75">
      <c r="A56" s="22" t="s">
        <v>435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33"/>
      <c r="O56" s="81"/>
    </row>
    <row r="57" spans="1:15" ht="12.75">
      <c r="A57" s="14" t="s">
        <v>436</v>
      </c>
      <c r="B57" s="260">
        <f>SUM(C57:G57)</f>
        <v>0</v>
      </c>
      <c r="C57" s="260"/>
      <c r="D57" s="260"/>
      <c r="E57" s="260"/>
      <c r="F57" s="260"/>
      <c r="G57" s="260">
        <v>0</v>
      </c>
      <c r="H57" s="260">
        <v>0</v>
      </c>
      <c r="I57" s="260">
        <v>6313260</v>
      </c>
      <c r="J57" s="282">
        <v>625236</v>
      </c>
      <c r="K57" s="282">
        <v>2118252</v>
      </c>
      <c r="L57" s="282">
        <v>2063074</v>
      </c>
      <c r="M57" s="282"/>
      <c r="N57" s="282">
        <f>SUM(N55:N56)</f>
        <v>0</v>
      </c>
      <c r="O57" s="62"/>
    </row>
    <row r="58" spans="1:15" ht="12.75">
      <c r="A58" s="24"/>
      <c r="B58" s="62"/>
      <c r="C58" s="24"/>
      <c r="D58" s="24"/>
      <c r="E58" s="24"/>
      <c r="F58" s="24"/>
      <c r="G58" s="24"/>
      <c r="H58" s="24"/>
      <c r="I58" s="62"/>
      <c r="J58" s="62"/>
      <c r="K58" s="62"/>
      <c r="L58" s="62"/>
      <c r="M58" s="62"/>
      <c r="N58" s="99"/>
      <c r="O58" s="62"/>
    </row>
    <row r="59" spans="1:15" ht="12.75">
      <c r="A59" s="1" t="s">
        <v>242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52"/>
      <c r="O59" s="101"/>
    </row>
    <row r="60" spans="1:15" ht="12.75">
      <c r="A60" s="1" t="s">
        <v>151</v>
      </c>
      <c r="B60" s="25" t="s">
        <v>13</v>
      </c>
      <c r="C60" s="25" t="s">
        <v>13</v>
      </c>
      <c r="D60" s="25" t="s">
        <v>13</v>
      </c>
      <c r="E60" s="25" t="s">
        <v>13</v>
      </c>
      <c r="F60" s="25" t="s">
        <v>13</v>
      </c>
      <c r="G60" s="25" t="s">
        <v>13</v>
      </c>
      <c r="H60" s="25" t="s">
        <v>13</v>
      </c>
      <c r="I60" s="25" t="s">
        <v>13</v>
      </c>
      <c r="J60" s="25" t="s">
        <v>13</v>
      </c>
      <c r="K60" s="25" t="s">
        <v>13</v>
      </c>
      <c r="L60" s="25" t="s">
        <v>13</v>
      </c>
      <c r="M60" s="25" t="s">
        <v>13</v>
      </c>
      <c r="N60" s="152" t="s">
        <v>13</v>
      </c>
      <c r="O60" s="101"/>
    </row>
    <row r="61" spans="1:15" ht="12.75">
      <c r="A61" s="22" t="s">
        <v>434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33">
        <v>74230</v>
      </c>
      <c r="O61" s="101"/>
    </row>
    <row r="62" spans="1:15" ht="12.75">
      <c r="A62" s="22" t="s">
        <v>435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33">
        <v>550048</v>
      </c>
      <c r="O62" s="101"/>
    </row>
    <row r="63" spans="1:15" ht="12.75">
      <c r="A63" s="14" t="s">
        <v>436</v>
      </c>
      <c r="B63" s="260">
        <f>SUM(C63:G63)</f>
        <v>217927</v>
      </c>
      <c r="C63" s="260"/>
      <c r="D63" s="260"/>
      <c r="E63" s="260"/>
      <c r="F63" s="260"/>
      <c r="G63" s="260">
        <v>217927</v>
      </c>
      <c r="H63" s="260">
        <v>0</v>
      </c>
      <c r="I63" s="260">
        <v>603845</v>
      </c>
      <c r="J63" s="282">
        <v>1254210</v>
      </c>
      <c r="K63" s="282">
        <v>962446</v>
      </c>
      <c r="L63" s="282">
        <v>235419</v>
      </c>
      <c r="M63" s="282">
        <v>5202</v>
      </c>
      <c r="N63" s="282">
        <f>SUM(N61:N62)</f>
        <v>624278</v>
      </c>
      <c r="O63" s="62"/>
    </row>
    <row r="64" spans="2:15" ht="12.75">
      <c r="B64" s="23"/>
      <c r="G64" s="23"/>
      <c r="H64" s="23"/>
      <c r="I64" s="23"/>
      <c r="J64" s="23"/>
      <c r="K64" s="23"/>
      <c r="L64" s="23"/>
      <c r="M64" s="23"/>
      <c r="N64" s="142"/>
      <c r="O64" s="101"/>
    </row>
    <row r="65" spans="1:15" ht="12.75">
      <c r="A65" s="1" t="s">
        <v>152</v>
      </c>
      <c r="B65" s="25" t="s">
        <v>13</v>
      </c>
      <c r="C65" s="25" t="s">
        <v>13</v>
      </c>
      <c r="D65" s="25" t="s">
        <v>13</v>
      </c>
      <c r="E65" s="25" t="s">
        <v>13</v>
      </c>
      <c r="F65" s="25" t="s">
        <v>13</v>
      </c>
      <c r="G65" s="25" t="s">
        <v>13</v>
      </c>
      <c r="H65" s="25" t="s">
        <v>13</v>
      </c>
      <c r="I65" s="25" t="s">
        <v>13</v>
      </c>
      <c r="J65" s="25" t="s">
        <v>13</v>
      </c>
      <c r="K65" s="25" t="s">
        <v>13</v>
      </c>
      <c r="L65" s="25" t="s">
        <v>13</v>
      </c>
      <c r="M65" s="25" t="s">
        <v>13</v>
      </c>
      <c r="N65" s="152" t="s">
        <v>13</v>
      </c>
      <c r="O65" s="25"/>
    </row>
    <row r="66" spans="1:15" ht="12.75">
      <c r="A66" s="22" t="s">
        <v>434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33">
        <v>930760</v>
      </c>
      <c r="O66" s="25"/>
    </row>
    <row r="67" spans="1:15" ht="12.75">
      <c r="A67" s="22" t="s">
        <v>435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33">
        <v>13248900</v>
      </c>
      <c r="O67" s="62"/>
    </row>
    <row r="68" spans="1:15" ht="12.75">
      <c r="A68" s="14" t="s">
        <v>436</v>
      </c>
      <c r="B68" s="260">
        <f>SUM(C68:G68)</f>
        <v>3268911</v>
      </c>
      <c r="C68" s="260"/>
      <c r="D68" s="260"/>
      <c r="E68" s="260"/>
      <c r="F68" s="260"/>
      <c r="G68" s="260">
        <v>3268911</v>
      </c>
      <c r="H68" s="260">
        <v>0</v>
      </c>
      <c r="I68" s="260">
        <v>7246151</v>
      </c>
      <c r="J68" s="282">
        <v>14391686</v>
      </c>
      <c r="K68" s="282">
        <v>11549352</v>
      </c>
      <c r="L68" s="282">
        <v>2825028</v>
      </c>
      <c r="M68" s="282">
        <v>62424</v>
      </c>
      <c r="N68" s="282">
        <f>SUM(N66:N67)</f>
        <v>14179660</v>
      </c>
      <c r="O68" s="62"/>
    </row>
    <row r="69" spans="1:15" ht="12.7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52"/>
      <c r="O69" s="25"/>
    </row>
    <row r="70" spans="1:15" ht="15.75">
      <c r="A70" s="56" t="s">
        <v>241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52"/>
      <c r="O70" s="25"/>
    </row>
    <row r="71" spans="1:14" ht="12.75">
      <c r="A71" s="1" t="s">
        <v>24</v>
      </c>
      <c r="N71" s="140"/>
    </row>
    <row r="72" spans="1:15" ht="12.75">
      <c r="A72" s="1" t="s">
        <v>149</v>
      </c>
      <c r="B72" s="25" t="s">
        <v>8</v>
      </c>
      <c r="C72" s="25" t="s">
        <v>8</v>
      </c>
      <c r="D72" s="25" t="s">
        <v>8</v>
      </c>
      <c r="E72" s="25" t="s">
        <v>8</v>
      </c>
      <c r="F72" s="25" t="s">
        <v>8</v>
      </c>
      <c r="G72" s="25" t="s">
        <v>8</v>
      </c>
      <c r="H72" s="25" t="s">
        <v>8</v>
      </c>
      <c r="I72" s="25" t="s">
        <v>8</v>
      </c>
      <c r="J72" s="25" t="s">
        <v>8</v>
      </c>
      <c r="K72" s="25" t="s">
        <v>8</v>
      </c>
      <c r="L72" s="25" t="s">
        <v>8</v>
      </c>
      <c r="M72" s="25" t="s">
        <v>8</v>
      </c>
      <c r="N72" s="152" t="s">
        <v>8</v>
      </c>
      <c r="O72" s="25" t="s">
        <v>8</v>
      </c>
    </row>
    <row r="73" spans="1:15" ht="12.75">
      <c r="A73" s="22" t="s">
        <v>434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70"/>
      <c r="O73" s="375">
        <f>SUM(C73:N73)</f>
        <v>0</v>
      </c>
    </row>
    <row r="74" spans="1:15" ht="12.75">
      <c r="A74" s="22" t="s">
        <v>435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70"/>
      <c r="O74" s="375">
        <f>SUM(C74:N74)</f>
        <v>0</v>
      </c>
    </row>
    <row r="75" spans="1:15" ht="12.75">
      <c r="A75" s="14" t="s">
        <v>436</v>
      </c>
      <c r="B75" s="260">
        <f>SUM(C75:G75)</f>
        <v>767</v>
      </c>
      <c r="C75" s="260"/>
      <c r="D75" s="260"/>
      <c r="E75" s="260"/>
      <c r="F75" s="260"/>
      <c r="G75" s="260">
        <v>767</v>
      </c>
      <c r="H75" s="260">
        <v>12575</v>
      </c>
      <c r="I75" s="260">
        <v>102125</v>
      </c>
      <c r="J75" s="282">
        <v>9114</v>
      </c>
      <c r="K75" s="282">
        <v>35317</v>
      </c>
      <c r="L75" s="282">
        <v>47743</v>
      </c>
      <c r="M75" s="282"/>
      <c r="N75" s="282">
        <v>0</v>
      </c>
      <c r="O75" s="260">
        <f>SUM(C75:N75)</f>
        <v>207641</v>
      </c>
    </row>
    <row r="76" ht="6" customHeight="1">
      <c r="N76" s="140"/>
    </row>
    <row r="77" spans="1:15" ht="12.75">
      <c r="A77" s="1" t="s">
        <v>150</v>
      </c>
      <c r="B77" s="25" t="s">
        <v>8</v>
      </c>
      <c r="C77" s="25" t="s">
        <v>8</v>
      </c>
      <c r="D77" s="25" t="s">
        <v>8</v>
      </c>
      <c r="E77" s="25" t="s">
        <v>8</v>
      </c>
      <c r="F77" s="25" t="s">
        <v>8</v>
      </c>
      <c r="G77" s="25" t="s">
        <v>8</v>
      </c>
      <c r="H77" s="25" t="s">
        <v>8</v>
      </c>
      <c r="I77" s="25" t="s">
        <v>8</v>
      </c>
      <c r="J77" s="25" t="s">
        <v>8</v>
      </c>
      <c r="K77" s="25" t="s">
        <v>8</v>
      </c>
      <c r="L77" s="25" t="s">
        <v>8</v>
      </c>
      <c r="M77" s="25" t="s">
        <v>8</v>
      </c>
      <c r="N77" s="152" t="s">
        <v>8</v>
      </c>
      <c r="O77" s="25" t="s">
        <v>8</v>
      </c>
    </row>
    <row r="78" spans="1:15" ht="12.75">
      <c r="A78" s="22" t="s">
        <v>434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70"/>
      <c r="O78" s="375">
        <f>SUM(C78:N78)</f>
        <v>0</v>
      </c>
    </row>
    <row r="79" spans="1:15" ht="12.75">
      <c r="A79" s="22" t="s">
        <v>435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70"/>
      <c r="O79" s="375">
        <f>SUM(C79:N79)</f>
        <v>0</v>
      </c>
    </row>
    <row r="80" spans="1:15" ht="12.75">
      <c r="A80" s="14" t="s">
        <v>436</v>
      </c>
      <c r="B80" s="260">
        <f>SUM(C80:G80)</f>
        <v>11498</v>
      </c>
      <c r="C80" s="260"/>
      <c r="D80" s="260"/>
      <c r="E80" s="260"/>
      <c r="F80" s="260"/>
      <c r="G80" s="260">
        <v>11498</v>
      </c>
      <c r="H80" s="260">
        <v>112759</v>
      </c>
      <c r="I80" s="260">
        <v>1225505</v>
      </c>
      <c r="J80" s="282">
        <v>109364</v>
      </c>
      <c r="K80" s="282">
        <v>423802</v>
      </c>
      <c r="L80" s="282">
        <v>524075</v>
      </c>
      <c r="M80" s="282"/>
      <c r="N80" s="282">
        <v>0</v>
      </c>
      <c r="O80" s="260">
        <f>SUM(C80:N80)</f>
        <v>2407003</v>
      </c>
    </row>
    <row r="81" ht="6" customHeight="1">
      <c r="N81" s="140"/>
    </row>
    <row r="82" spans="1:15" ht="12.75">
      <c r="A82" s="1" t="s">
        <v>133</v>
      </c>
      <c r="B82" s="25" t="s">
        <v>11</v>
      </c>
      <c r="C82" s="25" t="s">
        <v>11</v>
      </c>
      <c r="D82" s="25" t="s">
        <v>11</v>
      </c>
      <c r="E82" s="25" t="s">
        <v>11</v>
      </c>
      <c r="F82" s="25" t="s">
        <v>11</v>
      </c>
      <c r="G82" s="25" t="s">
        <v>11</v>
      </c>
      <c r="H82" s="25" t="s">
        <v>11</v>
      </c>
      <c r="I82" s="25" t="s">
        <v>11</v>
      </c>
      <c r="J82" s="25" t="s">
        <v>11</v>
      </c>
      <c r="K82" s="25" t="s">
        <v>11</v>
      </c>
      <c r="L82" s="25" t="s">
        <v>11</v>
      </c>
      <c r="M82" s="25" t="s">
        <v>11</v>
      </c>
      <c r="N82" s="152" t="s">
        <v>11</v>
      </c>
      <c r="O82" s="25" t="s">
        <v>11</v>
      </c>
    </row>
    <row r="83" spans="1:15" ht="12.75">
      <c r="A83" s="22" t="s">
        <v>434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70"/>
      <c r="O83" s="375">
        <f>SUM(C83:N83)</f>
        <v>0</v>
      </c>
    </row>
    <row r="84" spans="1:15" ht="12.75">
      <c r="A84" s="22" t="s">
        <v>435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70"/>
      <c r="O84" s="375">
        <f>SUM(C84:N84)</f>
        <v>0</v>
      </c>
    </row>
    <row r="85" spans="1:15" ht="12.75">
      <c r="A85" s="14" t="s">
        <v>436</v>
      </c>
      <c r="B85" s="260">
        <f>SUM(C85:G85)</f>
        <v>140</v>
      </c>
      <c r="C85" s="260"/>
      <c r="D85" s="260"/>
      <c r="E85" s="260"/>
      <c r="F85" s="260"/>
      <c r="G85" s="260">
        <v>140</v>
      </c>
      <c r="H85" s="260">
        <v>3175</v>
      </c>
      <c r="I85" s="260">
        <v>4925</v>
      </c>
      <c r="J85" s="282">
        <v>1276</v>
      </c>
      <c r="K85" s="282">
        <v>4700</v>
      </c>
      <c r="L85" s="282">
        <v>5535</v>
      </c>
      <c r="M85" s="282"/>
      <c r="N85" s="282">
        <v>0</v>
      </c>
      <c r="O85" s="260">
        <f>SUM(C85:N85)</f>
        <v>19751</v>
      </c>
    </row>
    <row r="86" ht="12.75">
      <c r="N86" s="140"/>
    </row>
    <row r="87" spans="1:14" ht="12.75">
      <c r="A87" s="1" t="s">
        <v>23</v>
      </c>
      <c r="N87" s="140"/>
    </row>
    <row r="88" spans="1:15" ht="12.75">
      <c r="A88" s="1" t="s">
        <v>149</v>
      </c>
      <c r="B88" s="25" t="s">
        <v>29</v>
      </c>
      <c r="C88" s="25" t="s">
        <v>8</v>
      </c>
      <c r="D88" s="25" t="s">
        <v>8</v>
      </c>
      <c r="E88" s="25" t="s">
        <v>8</v>
      </c>
      <c r="F88" s="25" t="s">
        <v>8</v>
      </c>
      <c r="G88" s="25" t="s">
        <v>29</v>
      </c>
      <c r="H88" s="25" t="s">
        <v>29</v>
      </c>
      <c r="I88" s="25" t="s">
        <v>8</v>
      </c>
      <c r="J88" s="25" t="s">
        <v>8</v>
      </c>
      <c r="K88" s="25" t="s">
        <v>8</v>
      </c>
      <c r="L88" s="25" t="s">
        <v>8</v>
      </c>
      <c r="M88" s="25" t="s">
        <v>8</v>
      </c>
      <c r="N88" s="152" t="s">
        <v>8</v>
      </c>
      <c r="O88" s="28"/>
    </row>
    <row r="89" spans="1:15" ht="12.75">
      <c r="A89" s="22" t="s">
        <v>434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33">
        <v>33304</v>
      </c>
      <c r="O89" s="28"/>
    </row>
    <row r="90" spans="1:15" ht="12.75">
      <c r="A90" s="22" t="s">
        <v>435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33">
        <v>102314</v>
      </c>
      <c r="O90" s="28"/>
    </row>
    <row r="91" spans="1:15" ht="12.75">
      <c r="A91" s="14" t="s">
        <v>436</v>
      </c>
      <c r="B91" s="260">
        <f>SUM(C91:G91)</f>
        <v>0</v>
      </c>
      <c r="C91" s="260"/>
      <c r="D91" s="260"/>
      <c r="E91" s="260"/>
      <c r="F91" s="260"/>
      <c r="G91" s="260"/>
      <c r="H91" s="260">
        <v>729628</v>
      </c>
      <c r="I91" s="260">
        <v>105252</v>
      </c>
      <c r="J91" s="260">
        <v>90800</v>
      </c>
      <c r="K91" s="260">
        <v>123895</v>
      </c>
      <c r="L91" s="260">
        <v>41718</v>
      </c>
      <c r="M91" s="260">
        <v>2455</v>
      </c>
      <c r="N91" s="282">
        <f>SUM(N89:N90)</f>
        <v>135618</v>
      </c>
      <c r="O91" s="62"/>
    </row>
    <row r="92" spans="14:15" ht="6" customHeight="1">
      <c r="N92" s="140"/>
      <c r="O92" s="24"/>
    </row>
    <row r="93" spans="1:15" ht="12.75">
      <c r="A93" s="1" t="s">
        <v>150</v>
      </c>
      <c r="B93" s="25" t="s">
        <v>8</v>
      </c>
      <c r="C93" s="25" t="s">
        <v>8</v>
      </c>
      <c r="D93" s="25" t="s">
        <v>8</v>
      </c>
      <c r="E93" s="25" t="s">
        <v>8</v>
      </c>
      <c r="F93" s="25" t="s">
        <v>8</v>
      </c>
      <c r="G93" s="25" t="s">
        <v>8</v>
      </c>
      <c r="H93" s="25" t="s">
        <v>8</v>
      </c>
      <c r="I93" s="25" t="s">
        <v>8</v>
      </c>
      <c r="J93" s="25" t="s">
        <v>8</v>
      </c>
      <c r="K93" s="25" t="s">
        <v>8</v>
      </c>
      <c r="L93" s="25" t="s">
        <v>8</v>
      </c>
      <c r="M93" s="25" t="s">
        <v>8</v>
      </c>
      <c r="N93" s="152" t="s">
        <v>8</v>
      </c>
      <c r="O93" s="28"/>
    </row>
    <row r="94" spans="1:15" ht="12.75">
      <c r="A94" s="22" t="s">
        <v>434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33">
        <v>399643</v>
      </c>
      <c r="O94" s="28"/>
    </row>
    <row r="95" spans="1:15" ht="12.75">
      <c r="A95" s="22" t="s">
        <v>435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33">
        <v>2168539</v>
      </c>
      <c r="O95" s="28"/>
    </row>
    <row r="96" spans="1:15" ht="12.75">
      <c r="A96" s="14" t="s">
        <v>436</v>
      </c>
      <c r="B96" s="260">
        <f>SUM(C96:G96)</f>
        <v>199875</v>
      </c>
      <c r="C96" s="260"/>
      <c r="D96" s="260"/>
      <c r="E96" s="260"/>
      <c r="F96" s="260"/>
      <c r="G96" s="260">
        <v>199875</v>
      </c>
      <c r="H96" s="260">
        <v>0</v>
      </c>
      <c r="I96" s="260">
        <v>1263019</v>
      </c>
      <c r="J96" s="260">
        <v>3705353</v>
      </c>
      <c r="K96" s="260">
        <v>1486741</v>
      </c>
      <c r="L96" s="260">
        <v>500620</v>
      </c>
      <c r="M96" s="260">
        <v>29465</v>
      </c>
      <c r="N96" s="282">
        <f>SUM(N94:N95)</f>
        <v>2568182</v>
      </c>
      <c r="O96" s="62"/>
    </row>
    <row r="97" spans="14:15" ht="6" customHeight="1">
      <c r="N97" s="140"/>
      <c r="O97" s="24"/>
    </row>
    <row r="98" spans="1:15" ht="12.75">
      <c r="A98" s="1" t="s">
        <v>133</v>
      </c>
      <c r="B98" s="25" t="s">
        <v>11</v>
      </c>
      <c r="C98" s="25" t="s">
        <v>11</v>
      </c>
      <c r="D98" s="25" t="s">
        <v>11</v>
      </c>
      <c r="E98" s="25" t="s">
        <v>11</v>
      </c>
      <c r="F98" s="25" t="s">
        <v>11</v>
      </c>
      <c r="G98" s="25" t="s">
        <v>11</v>
      </c>
      <c r="H98" s="25" t="s">
        <v>11</v>
      </c>
      <c r="I98" s="25" t="s">
        <v>11</v>
      </c>
      <c r="J98" s="25" t="s">
        <v>11</v>
      </c>
      <c r="K98" s="25" t="s">
        <v>11</v>
      </c>
      <c r="L98" s="25" t="s">
        <v>11</v>
      </c>
      <c r="M98" s="25" t="s">
        <v>11</v>
      </c>
      <c r="N98" s="152" t="s">
        <v>11</v>
      </c>
      <c r="O98" s="28"/>
    </row>
    <row r="99" spans="1:15" ht="12.75">
      <c r="A99" s="22" t="s">
        <v>434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33">
        <v>4425</v>
      </c>
      <c r="O99" s="28"/>
    </row>
    <row r="100" spans="1:15" ht="12.75">
      <c r="A100" s="22" t="s">
        <v>435</v>
      </c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33">
        <v>12579</v>
      </c>
      <c r="O100" s="28"/>
    </row>
    <row r="101" spans="1:15" ht="12.75">
      <c r="A101" s="14" t="s">
        <v>436</v>
      </c>
      <c r="B101" s="260">
        <f>SUM(C101:G101)</f>
        <v>2668</v>
      </c>
      <c r="C101" s="260"/>
      <c r="D101" s="260"/>
      <c r="E101" s="260"/>
      <c r="F101" s="260"/>
      <c r="G101" s="260">
        <v>2668</v>
      </c>
      <c r="H101" s="260">
        <v>0</v>
      </c>
      <c r="I101" s="260">
        <v>13685</v>
      </c>
      <c r="J101" s="260">
        <v>11365</v>
      </c>
      <c r="K101" s="260">
        <v>16367</v>
      </c>
      <c r="L101" s="260">
        <v>5970</v>
      </c>
      <c r="M101" s="260">
        <v>300</v>
      </c>
      <c r="N101" s="282">
        <f>SUM(N99:N100)</f>
        <v>17004</v>
      </c>
      <c r="O101" s="62"/>
    </row>
    <row r="102" spans="1:15" ht="12.75">
      <c r="A102" s="2" t="s">
        <v>356</v>
      </c>
      <c r="O102" s="62"/>
    </row>
    <row r="103" ht="12.75">
      <c r="O103" s="28"/>
    </row>
    <row r="104" ht="12.75">
      <c r="O104" s="62"/>
    </row>
  </sheetData>
  <sheetProtection/>
  <mergeCells count="1">
    <mergeCell ref="A1:O1"/>
  </mergeCells>
  <printOptions/>
  <pageMargins left="0.55" right="0.57" top="0.61" bottom="0.57" header="0.5" footer="0.28"/>
  <pageSetup horizontalDpi="600" verticalDpi="600" orientation="landscape" scale="6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47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0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23.140625" style="0" customWidth="1"/>
    <col min="2" max="2" width="13.57421875" style="0" customWidth="1"/>
    <col min="3" max="3" width="14.00390625" style="0" customWidth="1"/>
    <col min="4" max="6" width="14.421875" style="0" customWidth="1"/>
    <col min="7" max="7" width="15.421875" style="0" bestFit="1" customWidth="1"/>
  </cols>
  <sheetData>
    <row r="1" spans="1:7" ht="15.75" customHeight="1">
      <c r="A1" s="386" t="s">
        <v>286</v>
      </c>
      <c r="B1" s="386"/>
      <c r="C1" s="386"/>
      <c r="D1" s="386"/>
      <c r="E1" s="386"/>
      <c r="F1" s="386"/>
      <c r="G1" s="386"/>
    </row>
    <row r="3" spans="1:7" ht="25.5">
      <c r="A3" s="30" t="s">
        <v>255</v>
      </c>
      <c r="B3" s="28">
        <v>2008</v>
      </c>
      <c r="C3" s="25">
        <v>2009</v>
      </c>
      <c r="D3" s="25">
        <v>2010</v>
      </c>
      <c r="E3" s="25">
        <v>2011</v>
      </c>
      <c r="F3" s="128" t="s">
        <v>423</v>
      </c>
      <c r="G3" s="82" t="s">
        <v>430</v>
      </c>
    </row>
    <row r="4" spans="1:7" ht="12.75">
      <c r="A4" s="16"/>
      <c r="B4" s="296">
        <v>3000000</v>
      </c>
      <c r="C4" s="296">
        <v>23245128.080000002</v>
      </c>
      <c r="D4" s="296">
        <v>24532976.5</v>
      </c>
      <c r="E4" s="296">
        <v>35896150.92</v>
      </c>
      <c r="F4" s="304">
        <v>56632162.2</v>
      </c>
      <c r="G4" s="296">
        <f>SUM(B4:F4)</f>
        <v>143306417.7</v>
      </c>
    </row>
    <row r="5" spans="1:7" ht="6" customHeight="1">
      <c r="A5" s="21"/>
      <c r="B5" s="21"/>
      <c r="C5" s="103"/>
      <c r="D5" s="103"/>
      <c r="E5" s="103"/>
      <c r="F5" s="141"/>
      <c r="G5" s="103"/>
    </row>
    <row r="6" spans="1:7" ht="12.75">
      <c r="A6" s="30" t="s">
        <v>256</v>
      </c>
      <c r="B6" s="30"/>
      <c r="C6" s="103"/>
      <c r="D6" s="103"/>
      <c r="E6" s="103"/>
      <c r="F6" s="141"/>
      <c r="G6" s="103"/>
    </row>
    <row r="7" spans="1:7" ht="12.75">
      <c r="A7" s="16" t="s">
        <v>24</v>
      </c>
      <c r="B7" s="303">
        <v>0</v>
      </c>
      <c r="C7" s="293">
        <v>125000</v>
      </c>
      <c r="D7" s="293">
        <v>3970159.58</v>
      </c>
      <c r="E7" s="293">
        <v>21733218.78</v>
      </c>
      <c r="F7" s="294">
        <v>34203559.13</v>
      </c>
      <c r="G7" s="293">
        <f>SUM(B7:F7)</f>
        <v>60031937.49</v>
      </c>
    </row>
    <row r="8" spans="1:8" ht="12.75">
      <c r="A8" s="16" t="s">
        <v>23</v>
      </c>
      <c r="B8" s="303"/>
      <c r="C8" s="293"/>
      <c r="D8" s="293"/>
      <c r="E8" s="293">
        <v>1086568</v>
      </c>
      <c r="F8" s="294">
        <v>14874180.48</v>
      </c>
      <c r="G8" s="294"/>
      <c r="H8" s="151"/>
    </row>
    <row r="9" spans="1:8" ht="12.75">
      <c r="A9" s="16" t="s">
        <v>1</v>
      </c>
      <c r="B9" s="296"/>
      <c r="C9" s="296"/>
      <c r="D9" s="296"/>
      <c r="E9" s="296">
        <f>SUM(E7:E8)</f>
        <v>22819786.78</v>
      </c>
      <c r="F9" s="296">
        <f>SUM(F7:F8)</f>
        <v>49077739.61</v>
      </c>
      <c r="G9" s="304"/>
      <c r="H9" s="140"/>
    </row>
    <row r="10" spans="1:2" ht="6" customHeight="1">
      <c r="A10" s="21"/>
      <c r="B10" s="21"/>
    </row>
    <row r="11" spans="1:9" ht="12.75">
      <c r="A11" s="43" t="s">
        <v>5</v>
      </c>
      <c r="B11" s="43"/>
      <c r="E11" s="140"/>
      <c r="F11" s="140"/>
      <c r="G11" s="140"/>
      <c r="H11" s="140"/>
      <c r="I11" s="140"/>
    </row>
    <row r="12" spans="1:9" ht="12.75">
      <c r="A12" s="19" t="s">
        <v>24</v>
      </c>
      <c r="B12" s="305"/>
      <c r="C12" s="261"/>
      <c r="D12" s="261">
        <v>162</v>
      </c>
      <c r="E12" s="271">
        <v>1325</v>
      </c>
      <c r="F12" s="271">
        <v>2084</v>
      </c>
      <c r="G12" s="271">
        <f>SUM(B12:F12)</f>
        <v>3571</v>
      </c>
      <c r="H12" s="142"/>
      <c r="I12" s="140"/>
    </row>
    <row r="13" spans="1:9" ht="12.75">
      <c r="A13" s="19" t="s">
        <v>23</v>
      </c>
      <c r="B13" s="305"/>
      <c r="C13" s="261"/>
      <c r="D13" s="271">
        <v>443</v>
      </c>
      <c r="E13" s="271"/>
      <c r="F13" s="271"/>
      <c r="G13" s="271">
        <f>SUM(B13:F13)</f>
        <v>443</v>
      </c>
      <c r="H13" s="138"/>
      <c r="I13" s="140"/>
    </row>
    <row r="14" spans="1:9" ht="12.75">
      <c r="A14" s="16" t="s">
        <v>1</v>
      </c>
      <c r="B14" s="305"/>
      <c r="C14" s="260">
        <f>SUM(C12:C13)</f>
        <v>0</v>
      </c>
      <c r="D14" s="260">
        <f>SUM(D12:D13)</f>
        <v>605</v>
      </c>
      <c r="E14" s="282">
        <f>SUM(E12:E13)</f>
        <v>1325</v>
      </c>
      <c r="F14" s="282">
        <f>SUM(F12:F13)</f>
        <v>2084</v>
      </c>
      <c r="G14" s="282">
        <f>SUM(B14:F14)</f>
        <v>4014</v>
      </c>
      <c r="H14" s="160"/>
      <c r="I14" s="140"/>
    </row>
    <row r="15" spans="1:9" ht="12.75">
      <c r="A15" s="43"/>
      <c r="B15" s="43"/>
      <c r="C15" s="24"/>
      <c r="D15" s="24"/>
      <c r="E15" s="75"/>
      <c r="F15" s="75"/>
      <c r="G15" s="75"/>
      <c r="H15" s="140"/>
      <c r="I15" s="140"/>
    </row>
    <row r="16" spans="1:9" ht="12.75">
      <c r="A16" s="43" t="s">
        <v>289</v>
      </c>
      <c r="B16" s="21"/>
      <c r="E16" s="140"/>
      <c r="F16" s="140"/>
      <c r="G16" s="140"/>
      <c r="H16" s="140"/>
      <c r="I16" s="140"/>
    </row>
    <row r="17" spans="1:2" ht="12.75">
      <c r="A17" s="43" t="s">
        <v>132</v>
      </c>
      <c r="B17" s="43"/>
    </row>
    <row r="18" spans="1:7" ht="12.75">
      <c r="A18" s="21" t="s">
        <v>14</v>
      </c>
      <c r="B18" s="40" t="s">
        <v>8</v>
      </c>
      <c r="C18" s="40" t="s">
        <v>8</v>
      </c>
      <c r="D18" s="40" t="s">
        <v>8</v>
      </c>
      <c r="E18" s="40" t="s">
        <v>8</v>
      </c>
      <c r="F18" s="40" t="s">
        <v>8</v>
      </c>
      <c r="G18" s="40" t="s">
        <v>8</v>
      </c>
    </row>
    <row r="19" spans="1:7" ht="12.75">
      <c r="A19" s="16"/>
      <c r="B19" s="305"/>
      <c r="C19" s="261"/>
      <c r="D19" s="261">
        <v>5007</v>
      </c>
      <c r="E19" s="261">
        <v>41640</v>
      </c>
      <c r="F19" s="271">
        <v>61416</v>
      </c>
      <c r="G19" s="261">
        <f>SUM(B19:F19)</f>
        <v>108063</v>
      </c>
    </row>
    <row r="20" spans="1:7" ht="6" customHeight="1">
      <c r="A20" s="21"/>
      <c r="B20" s="21"/>
      <c r="D20" s="23"/>
      <c r="E20" s="23"/>
      <c r="F20" s="142"/>
      <c r="G20" s="23"/>
    </row>
    <row r="21" spans="1:7" ht="12.75">
      <c r="A21" s="21" t="s">
        <v>10</v>
      </c>
      <c r="B21" s="40" t="s">
        <v>8</v>
      </c>
      <c r="C21" s="40" t="s">
        <v>8</v>
      </c>
      <c r="D21" s="44" t="s">
        <v>8</v>
      </c>
      <c r="E21" s="44" t="s">
        <v>8</v>
      </c>
      <c r="F21" s="58" t="s">
        <v>8</v>
      </c>
      <c r="G21" s="44" t="s">
        <v>8</v>
      </c>
    </row>
    <row r="22" spans="1:7" ht="12.75">
      <c r="A22" s="16"/>
      <c r="B22" s="305"/>
      <c r="C22" s="261"/>
      <c r="D22" s="261">
        <v>75032</v>
      </c>
      <c r="E22" s="261">
        <v>621575</v>
      </c>
      <c r="F22" s="271">
        <v>869610</v>
      </c>
      <c r="G22" s="261">
        <f>SUM(B22:F22)</f>
        <v>1566217</v>
      </c>
    </row>
    <row r="23" spans="1:7" ht="6" customHeight="1">
      <c r="A23" s="21"/>
      <c r="B23" s="21"/>
      <c r="D23" s="23"/>
      <c r="E23" s="23"/>
      <c r="F23" s="142"/>
      <c r="G23" s="23"/>
    </row>
    <row r="24" spans="1:7" ht="12.75">
      <c r="A24" s="21" t="s">
        <v>36</v>
      </c>
      <c r="B24" s="44" t="s">
        <v>11</v>
      </c>
      <c r="C24" s="44" t="s">
        <v>11</v>
      </c>
      <c r="D24" s="44" t="s">
        <v>11</v>
      </c>
      <c r="E24" s="44" t="s">
        <v>11</v>
      </c>
      <c r="F24" s="58" t="s">
        <v>11</v>
      </c>
      <c r="G24" s="44" t="s">
        <v>11</v>
      </c>
    </row>
    <row r="25" spans="1:7" ht="12.75">
      <c r="A25" s="16"/>
      <c r="B25" s="305"/>
      <c r="C25" s="261"/>
      <c r="D25" s="261">
        <v>1276</v>
      </c>
      <c r="E25" s="261">
        <v>8693</v>
      </c>
      <c r="F25" s="271">
        <v>14288</v>
      </c>
      <c r="G25" s="261">
        <f>SUM(B25:F25)</f>
        <v>24257</v>
      </c>
    </row>
    <row r="26" spans="1:7" ht="12.75">
      <c r="A26" s="5"/>
      <c r="B26" s="5"/>
      <c r="D26" s="23"/>
      <c r="E26" s="23"/>
      <c r="F26" s="142"/>
      <c r="G26" s="23"/>
    </row>
    <row r="27" spans="1:7" ht="12.75">
      <c r="A27" s="43" t="s">
        <v>187</v>
      </c>
      <c r="B27" s="43"/>
      <c r="D27" s="23"/>
      <c r="E27" s="23"/>
      <c r="F27" s="142"/>
      <c r="G27" s="23"/>
    </row>
    <row r="28" spans="1:7" ht="12.75">
      <c r="A28" s="21" t="s">
        <v>14</v>
      </c>
      <c r="B28" s="44" t="s">
        <v>13</v>
      </c>
      <c r="C28" s="44" t="s">
        <v>13</v>
      </c>
      <c r="D28" s="44" t="s">
        <v>13</v>
      </c>
      <c r="E28" s="44" t="s">
        <v>13</v>
      </c>
      <c r="F28" s="58" t="s">
        <v>13</v>
      </c>
      <c r="G28" s="44" t="s">
        <v>13</v>
      </c>
    </row>
    <row r="29" spans="1:7" ht="12.75">
      <c r="A29" s="16"/>
      <c r="B29" s="305"/>
      <c r="C29" s="261"/>
      <c r="D29" s="261">
        <v>4487</v>
      </c>
      <c r="E29" s="261">
        <v>61347</v>
      </c>
      <c r="F29" s="271">
        <v>75657</v>
      </c>
      <c r="G29" s="261">
        <f>SUM(B29:F29)</f>
        <v>141491</v>
      </c>
    </row>
    <row r="30" spans="1:7" ht="6" customHeight="1">
      <c r="A30" s="21"/>
      <c r="B30" s="21"/>
      <c r="D30" s="23"/>
      <c r="E30" s="23"/>
      <c r="F30" s="142"/>
      <c r="G30" s="23"/>
    </row>
    <row r="31" spans="1:7" ht="12.75">
      <c r="A31" s="21" t="s">
        <v>10</v>
      </c>
      <c r="B31" s="44" t="s">
        <v>13</v>
      </c>
      <c r="C31" s="44" t="s">
        <v>13</v>
      </c>
      <c r="D31" s="44" t="s">
        <v>13</v>
      </c>
      <c r="E31" s="44" t="s">
        <v>13</v>
      </c>
      <c r="F31" s="58" t="s">
        <v>13</v>
      </c>
      <c r="G31" s="44" t="s">
        <v>13</v>
      </c>
    </row>
    <row r="32" spans="1:7" ht="12.75">
      <c r="A32" s="16"/>
      <c r="B32" s="305"/>
      <c r="C32" s="261"/>
      <c r="D32" s="261">
        <v>67968</v>
      </c>
      <c r="E32" s="261">
        <v>1016634</v>
      </c>
      <c r="F32" s="271">
        <v>1198392</v>
      </c>
      <c r="G32" s="261">
        <f>SUM(B32:F32)</f>
        <v>2282994</v>
      </c>
    </row>
    <row r="33" spans="1:7" ht="12.75">
      <c r="A33" s="43"/>
      <c r="B33" s="43"/>
      <c r="C33" s="24"/>
      <c r="D33" s="62"/>
      <c r="E33" s="62"/>
      <c r="F33" s="99"/>
      <c r="G33" s="62"/>
    </row>
    <row r="34" spans="1:7" ht="25.5">
      <c r="A34" s="43" t="s">
        <v>140</v>
      </c>
      <c r="B34" s="28">
        <v>2008</v>
      </c>
      <c r="C34" s="25">
        <v>2009</v>
      </c>
      <c r="D34" s="25">
        <v>2010</v>
      </c>
      <c r="E34" s="25">
        <v>2011</v>
      </c>
      <c r="F34" s="364" t="str">
        <f>F3</f>
        <v>(18 month)
2012-2013</v>
      </c>
      <c r="G34" s="365" t="str">
        <f>G3</f>
        <v>Total
2008-2013</v>
      </c>
    </row>
    <row r="35" spans="1:7" ht="12.75">
      <c r="A35" s="43" t="s">
        <v>132</v>
      </c>
      <c r="D35" s="23"/>
      <c r="E35" s="23"/>
      <c r="F35" s="142"/>
      <c r="G35" s="23"/>
    </row>
    <row r="36" spans="1:7" ht="12.75">
      <c r="A36" s="21" t="s">
        <v>14</v>
      </c>
      <c r="B36" s="40" t="s">
        <v>8</v>
      </c>
      <c r="C36" s="40" t="s">
        <v>8</v>
      </c>
      <c r="D36" s="44" t="s">
        <v>8</v>
      </c>
      <c r="E36" s="44" t="s">
        <v>8</v>
      </c>
      <c r="F36" s="58" t="s">
        <v>8</v>
      </c>
      <c r="G36" s="44"/>
    </row>
    <row r="37" spans="1:7" ht="12.75">
      <c r="A37" s="16"/>
      <c r="B37" s="77"/>
      <c r="C37" s="17"/>
      <c r="D37" s="17">
        <v>15949</v>
      </c>
      <c r="E37" s="17">
        <v>27009</v>
      </c>
      <c r="F37" s="66">
        <v>21602</v>
      </c>
      <c r="G37" s="62"/>
    </row>
    <row r="38" spans="1:7" ht="6" customHeight="1">
      <c r="A38" s="21"/>
      <c r="B38" s="21"/>
      <c r="D38" s="23"/>
      <c r="E38" s="23"/>
      <c r="F38" s="142"/>
      <c r="G38" s="23"/>
    </row>
    <row r="39" spans="1:7" ht="12.75">
      <c r="A39" s="21" t="s">
        <v>10</v>
      </c>
      <c r="B39" s="40" t="s">
        <v>8</v>
      </c>
      <c r="C39" s="40" t="s">
        <v>8</v>
      </c>
      <c r="D39" s="44" t="s">
        <v>8</v>
      </c>
      <c r="E39" s="44" t="s">
        <v>8</v>
      </c>
      <c r="F39" s="58" t="s">
        <v>8</v>
      </c>
      <c r="G39" s="44" t="s">
        <v>8</v>
      </c>
    </row>
    <row r="40" spans="1:7" ht="12.75">
      <c r="A40" s="16"/>
      <c r="B40" s="305"/>
      <c r="C40" s="261"/>
      <c r="D40" s="261">
        <v>241683</v>
      </c>
      <c r="E40" s="261">
        <v>398064</v>
      </c>
      <c r="F40" s="271">
        <v>313871</v>
      </c>
      <c r="G40" s="261">
        <f>SUM(B40:F40)</f>
        <v>953618</v>
      </c>
    </row>
    <row r="41" spans="1:7" ht="6" customHeight="1">
      <c r="A41" s="21"/>
      <c r="B41" s="21"/>
      <c r="D41" s="23"/>
      <c r="E41" s="23"/>
      <c r="F41" s="142"/>
      <c r="G41" s="23"/>
    </row>
    <row r="42" spans="1:7" ht="12.75">
      <c r="A42" s="21" t="s">
        <v>36</v>
      </c>
      <c r="B42" s="44" t="s">
        <v>11</v>
      </c>
      <c r="C42" s="44" t="s">
        <v>11</v>
      </c>
      <c r="D42" s="44" t="s">
        <v>11</v>
      </c>
      <c r="E42" s="44" t="s">
        <v>11</v>
      </c>
      <c r="F42" s="58" t="s">
        <v>11</v>
      </c>
      <c r="G42" s="44" t="s">
        <v>11</v>
      </c>
    </row>
    <row r="43" spans="1:7" ht="12.75">
      <c r="A43" s="16"/>
      <c r="B43" s="305"/>
      <c r="C43" s="261"/>
      <c r="D43" s="261">
        <v>3753</v>
      </c>
      <c r="E43" s="261">
        <v>6497</v>
      </c>
      <c r="F43" s="271">
        <v>5416</v>
      </c>
      <c r="G43" s="261">
        <f>SUM(B43:F43)</f>
        <v>15666</v>
      </c>
    </row>
    <row r="44" spans="1:7" ht="12.75">
      <c r="A44" s="5"/>
      <c r="B44" s="5"/>
      <c r="D44" s="23"/>
      <c r="E44" s="23"/>
      <c r="F44" s="142"/>
      <c r="G44" s="23"/>
    </row>
    <row r="45" spans="1:7" ht="12.75">
      <c r="A45" s="43" t="s">
        <v>187</v>
      </c>
      <c r="B45" s="43"/>
      <c r="D45" s="23"/>
      <c r="E45" s="23"/>
      <c r="F45" s="142"/>
      <c r="G45" s="23"/>
    </row>
    <row r="46" spans="1:7" ht="12.75">
      <c r="A46" s="21" t="s">
        <v>14</v>
      </c>
      <c r="B46" s="44" t="s">
        <v>13</v>
      </c>
      <c r="C46" s="44" t="s">
        <v>13</v>
      </c>
      <c r="D46" s="44" t="s">
        <v>13</v>
      </c>
      <c r="E46" s="44" t="s">
        <v>13</v>
      </c>
      <c r="F46" s="58" t="s">
        <v>13</v>
      </c>
      <c r="G46" s="44" t="s">
        <v>13</v>
      </c>
    </row>
    <row r="47" spans="1:7" ht="12.75">
      <c r="A47" s="16"/>
      <c r="B47" s="305"/>
      <c r="C47" s="261"/>
      <c r="D47" s="261">
        <v>5011</v>
      </c>
      <c r="E47" s="261">
        <v>59801</v>
      </c>
      <c r="F47" s="271">
        <v>63986</v>
      </c>
      <c r="G47" s="261">
        <f>SUM(B47:F47)</f>
        <v>128798</v>
      </c>
    </row>
    <row r="48" spans="1:7" ht="6" customHeight="1">
      <c r="A48" s="21"/>
      <c r="B48" s="21"/>
      <c r="D48" s="23"/>
      <c r="E48" s="23"/>
      <c r="F48" s="142"/>
      <c r="G48" s="23"/>
    </row>
    <row r="49" spans="1:7" ht="12.75">
      <c r="A49" s="21" t="s">
        <v>10</v>
      </c>
      <c r="B49" s="44" t="s">
        <v>13</v>
      </c>
      <c r="C49" s="44" t="s">
        <v>13</v>
      </c>
      <c r="D49" s="44" t="s">
        <v>13</v>
      </c>
      <c r="E49" s="44" t="s">
        <v>13</v>
      </c>
      <c r="F49" s="58" t="s">
        <v>13</v>
      </c>
      <c r="G49" s="44" t="s">
        <v>13</v>
      </c>
    </row>
    <row r="50" spans="1:7" ht="12.75">
      <c r="A50" s="16"/>
      <c r="B50" s="305"/>
      <c r="C50" s="261"/>
      <c r="D50" s="261">
        <v>76641</v>
      </c>
      <c r="E50" s="261">
        <v>970820</v>
      </c>
      <c r="F50" s="271">
        <v>1068728</v>
      </c>
      <c r="G50" s="261">
        <f>SUM(B50:F50)</f>
        <v>2116189</v>
      </c>
    </row>
  </sheetData>
  <sheetProtection/>
  <mergeCells count="1">
    <mergeCell ref="A1:G1"/>
  </mergeCells>
  <printOptions/>
  <pageMargins left="0.55" right="0.57" top="0.61" bottom="0.56" header="0.5" footer="0.29"/>
  <pageSetup fitToHeight="1" fitToWidth="1" horizontalDpi="600" verticalDpi="600" orientation="landscape" scale="8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50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23.140625" style="0" customWidth="1"/>
    <col min="2" max="3" width="14.421875" style="0" customWidth="1"/>
    <col min="4" max="4" width="14.00390625" style="0" customWidth="1"/>
  </cols>
  <sheetData>
    <row r="1" spans="1:4" ht="15.75" customHeight="1">
      <c r="A1" s="386" t="s">
        <v>353</v>
      </c>
      <c r="B1" s="386"/>
      <c r="C1" s="386"/>
      <c r="D1" s="386"/>
    </row>
    <row r="3" spans="1:4" ht="25.5">
      <c r="A3" s="30" t="s">
        <v>255</v>
      </c>
      <c r="B3" s="25">
        <v>2011</v>
      </c>
      <c r="C3" s="82" t="s">
        <v>423</v>
      </c>
      <c r="D3" s="236" t="s">
        <v>431</v>
      </c>
    </row>
    <row r="4" spans="1:4" ht="12.75">
      <c r="A4" s="16"/>
      <c r="B4" s="293">
        <v>20000000</v>
      </c>
      <c r="C4" s="294">
        <v>20835056.68</v>
      </c>
      <c r="D4" s="293">
        <f>SUM(B4:C4)</f>
        <v>40835056.68</v>
      </c>
    </row>
    <row r="5" spans="1:4" ht="12.75">
      <c r="A5" s="21"/>
      <c r="B5" s="103"/>
      <c r="C5" s="141"/>
      <c r="D5" s="103"/>
    </row>
    <row r="6" spans="1:4" ht="12.75">
      <c r="A6" s="30" t="s">
        <v>256</v>
      </c>
      <c r="B6" s="103"/>
      <c r="C6" s="141"/>
      <c r="D6" s="103"/>
    </row>
    <row r="7" spans="1:4" ht="12.75">
      <c r="A7" s="16" t="s">
        <v>24</v>
      </c>
      <c r="B7" s="293">
        <v>71596</v>
      </c>
      <c r="C7" s="294">
        <v>1981274.85</v>
      </c>
      <c r="D7" s="293">
        <f>SUM(B7:C7)</f>
        <v>2052870.85</v>
      </c>
    </row>
    <row r="8" spans="1:5" ht="12.75">
      <c r="A8" s="16" t="s">
        <v>23</v>
      </c>
      <c r="B8" s="293"/>
      <c r="C8" s="294">
        <v>9128027.3</v>
      </c>
      <c r="D8" s="293">
        <f>SUM(B8:C8)</f>
        <v>9128027.3</v>
      </c>
      <c r="E8" s="151"/>
    </row>
    <row r="9" spans="1:5" ht="12.75">
      <c r="A9" s="16" t="s">
        <v>1</v>
      </c>
      <c r="B9" s="296">
        <f>SUM(B7:B8)</f>
        <v>71596</v>
      </c>
      <c r="C9" s="296">
        <f>SUM(C7:C8)</f>
        <v>11109302.15</v>
      </c>
      <c r="D9" s="296">
        <f>SUM(B9:C9)</f>
        <v>11180898.15</v>
      </c>
      <c r="E9" s="140"/>
    </row>
    <row r="10" ht="12.75">
      <c r="A10" s="21"/>
    </row>
    <row r="11" spans="1:6" ht="12.75">
      <c r="A11" s="43" t="s">
        <v>5</v>
      </c>
      <c r="B11" s="140"/>
      <c r="C11" s="140"/>
      <c r="D11" s="140"/>
      <c r="E11" s="140"/>
      <c r="F11" s="140"/>
    </row>
    <row r="12" spans="1:6" ht="12.75">
      <c r="A12" s="19" t="s">
        <v>24</v>
      </c>
      <c r="B12" s="271"/>
      <c r="C12" s="271"/>
      <c r="D12" s="271">
        <f>SUM(B12:C12)</f>
        <v>0</v>
      </c>
      <c r="E12" s="142"/>
      <c r="F12" s="140"/>
    </row>
    <row r="13" spans="1:6" ht="12.75">
      <c r="A13" s="19" t="s">
        <v>23</v>
      </c>
      <c r="B13" s="271"/>
      <c r="C13" s="271">
        <v>20</v>
      </c>
      <c r="D13" s="271">
        <f>SUM(B13:C13)</f>
        <v>20</v>
      </c>
      <c r="E13" s="138"/>
      <c r="F13" s="140"/>
    </row>
    <row r="14" spans="1:6" ht="12.75">
      <c r="A14" s="16" t="s">
        <v>1</v>
      </c>
      <c r="B14" s="282">
        <f>SUM(B12:B13)</f>
        <v>0</v>
      </c>
      <c r="C14" s="282">
        <f>SUM(C12:C13)</f>
        <v>20</v>
      </c>
      <c r="D14" s="282">
        <f>SUM(B14:C14)</f>
        <v>20</v>
      </c>
      <c r="E14" s="160"/>
      <c r="F14" s="140"/>
    </row>
    <row r="15" spans="1:6" ht="12.75">
      <c r="A15" s="43"/>
      <c r="B15" s="75"/>
      <c r="C15" s="75"/>
      <c r="D15" s="75"/>
      <c r="E15" s="140"/>
      <c r="F15" s="140"/>
    </row>
    <row r="16" spans="1:6" ht="12.75">
      <c r="A16" s="43" t="s">
        <v>289</v>
      </c>
      <c r="B16" s="140"/>
      <c r="C16" s="140"/>
      <c r="D16" s="140"/>
      <c r="E16" s="140"/>
      <c r="F16" s="140"/>
    </row>
    <row r="17" spans="1:3" ht="12.75">
      <c r="A17" s="43" t="s">
        <v>132</v>
      </c>
      <c r="C17" s="140"/>
    </row>
    <row r="18" spans="1:4" ht="12.75">
      <c r="A18" s="21" t="s">
        <v>14</v>
      </c>
      <c r="B18" s="40" t="s">
        <v>8</v>
      </c>
      <c r="C18" s="63" t="s">
        <v>8</v>
      </c>
      <c r="D18" s="40" t="s">
        <v>8</v>
      </c>
    </row>
    <row r="19" spans="1:4" ht="12.75">
      <c r="A19" s="16"/>
      <c r="B19" s="261"/>
      <c r="C19" s="271">
        <v>69</v>
      </c>
      <c r="D19" s="261">
        <f>SUM(B19:C19)</f>
        <v>69</v>
      </c>
    </row>
    <row r="20" spans="1:4" ht="6" customHeight="1">
      <c r="A20" s="21"/>
      <c r="B20" s="23"/>
      <c r="C20" s="142"/>
      <c r="D20" s="23"/>
    </row>
    <row r="21" spans="1:4" ht="12.75">
      <c r="A21" s="21" t="s">
        <v>10</v>
      </c>
      <c r="B21" s="44" t="s">
        <v>8</v>
      </c>
      <c r="C21" s="58" t="s">
        <v>8</v>
      </c>
      <c r="D21" s="44" t="s">
        <v>8</v>
      </c>
    </row>
    <row r="22" spans="1:4" ht="12.75">
      <c r="A22" s="16"/>
      <c r="B22" s="261"/>
      <c r="C22" s="271">
        <v>1247</v>
      </c>
      <c r="D22" s="261">
        <f>SUM(B22:C22)</f>
        <v>1247</v>
      </c>
    </row>
    <row r="23" spans="1:4" ht="6" customHeight="1">
      <c r="A23" s="21"/>
      <c r="B23" s="23"/>
      <c r="C23" s="142"/>
      <c r="D23" s="23"/>
    </row>
    <row r="24" spans="1:4" ht="12.75">
      <c r="A24" s="21" t="s">
        <v>36</v>
      </c>
      <c r="B24" s="44" t="s">
        <v>11</v>
      </c>
      <c r="C24" s="58" t="s">
        <v>11</v>
      </c>
      <c r="D24" s="44" t="s">
        <v>11</v>
      </c>
    </row>
    <row r="25" spans="1:4" ht="12.75">
      <c r="A25" s="16"/>
      <c r="B25" s="261"/>
      <c r="C25" s="271">
        <v>440</v>
      </c>
      <c r="D25" s="261">
        <f>SUM(B25:C25)</f>
        <v>440</v>
      </c>
    </row>
    <row r="26" spans="1:4" ht="6" customHeight="1">
      <c r="A26" s="5"/>
      <c r="B26" s="23"/>
      <c r="C26" s="142"/>
      <c r="D26" s="23"/>
    </row>
    <row r="27" spans="1:4" ht="12.75">
      <c r="A27" s="43" t="s">
        <v>187</v>
      </c>
      <c r="B27" s="23"/>
      <c r="C27" s="142"/>
      <c r="D27" s="23"/>
    </row>
    <row r="28" spans="1:4" ht="12.75">
      <c r="A28" s="21" t="s">
        <v>14</v>
      </c>
      <c r="B28" s="44" t="s">
        <v>13</v>
      </c>
      <c r="C28" s="58" t="s">
        <v>13</v>
      </c>
      <c r="D28" s="44" t="s">
        <v>13</v>
      </c>
    </row>
    <row r="29" spans="1:4" ht="12.75">
      <c r="A29" s="16"/>
      <c r="B29" s="261"/>
      <c r="C29" s="271">
        <v>145315</v>
      </c>
      <c r="D29" s="261">
        <f>SUM(B29:C29)</f>
        <v>145315</v>
      </c>
    </row>
    <row r="30" spans="1:4" ht="6" customHeight="1">
      <c r="A30" s="21"/>
      <c r="B30" s="23"/>
      <c r="C30" s="142"/>
      <c r="D30" s="23"/>
    </row>
    <row r="31" spans="1:4" ht="12.75">
      <c r="A31" s="21" t="s">
        <v>10</v>
      </c>
      <c r="B31" s="44" t="s">
        <v>13</v>
      </c>
      <c r="C31" s="58" t="s">
        <v>13</v>
      </c>
      <c r="D31" s="44" t="s">
        <v>13</v>
      </c>
    </row>
    <row r="32" spans="1:4" ht="12.75">
      <c r="A32" s="16"/>
      <c r="B32" s="261"/>
      <c r="C32" s="271">
        <v>2615671</v>
      </c>
      <c r="D32" s="261">
        <f>SUM(B32:C32)</f>
        <v>2615671</v>
      </c>
    </row>
    <row r="33" spans="1:4" ht="12.75">
      <c r="A33" s="43"/>
      <c r="B33" s="62"/>
      <c r="C33" s="99"/>
      <c r="D33" s="62"/>
    </row>
    <row r="34" spans="1:4" ht="24">
      <c r="A34" s="43" t="s">
        <v>140</v>
      </c>
      <c r="B34" s="25">
        <v>2011</v>
      </c>
      <c r="C34" s="364" t="str">
        <f>C3</f>
        <v>(18 month)
2012-2013</v>
      </c>
      <c r="D34" s="137"/>
    </row>
    <row r="35" spans="1:4" ht="12.75">
      <c r="A35" s="43" t="s">
        <v>132</v>
      </c>
      <c r="B35" s="23"/>
      <c r="C35" s="142"/>
      <c r="D35" s="23"/>
    </row>
    <row r="36" spans="1:4" ht="12.75">
      <c r="A36" s="21" t="s">
        <v>14</v>
      </c>
      <c r="B36" s="44" t="s">
        <v>8</v>
      </c>
      <c r="C36" s="58" t="s">
        <v>8</v>
      </c>
      <c r="D36" s="44"/>
    </row>
    <row r="37" spans="1:4" ht="12.75">
      <c r="A37" s="16"/>
      <c r="B37" s="261"/>
      <c r="C37" s="271">
        <v>17110</v>
      </c>
      <c r="D37" s="62"/>
    </row>
    <row r="38" spans="1:4" ht="6" customHeight="1">
      <c r="A38" s="21"/>
      <c r="B38" s="23"/>
      <c r="C38" s="142"/>
      <c r="D38" s="62"/>
    </row>
    <row r="39" spans="1:4" ht="12.75">
      <c r="A39" s="21" t="s">
        <v>10</v>
      </c>
      <c r="B39" s="44" t="s">
        <v>8</v>
      </c>
      <c r="C39" s="58" t="s">
        <v>8</v>
      </c>
      <c r="D39" s="44"/>
    </row>
    <row r="40" spans="1:4" ht="12.75">
      <c r="A40" s="16"/>
      <c r="B40" s="261"/>
      <c r="C40" s="271">
        <v>296162</v>
      </c>
      <c r="D40" s="62"/>
    </row>
    <row r="41" spans="1:4" ht="6" customHeight="1">
      <c r="A41" s="21"/>
      <c r="B41" s="23"/>
      <c r="C41" s="142"/>
      <c r="D41" s="62"/>
    </row>
    <row r="42" spans="1:4" ht="12.75">
      <c r="A42" s="21" t="s">
        <v>36</v>
      </c>
      <c r="B42" s="44" t="s">
        <v>11</v>
      </c>
      <c r="C42" s="58" t="s">
        <v>11</v>
      </c>
      <c r="D42" s="44"/>
    </row>
    <row r="43" spans="1:4" ht="12.75">
      <c r="A43" s="16"/>
      <c r="B43" s="261"/>
      <c r="C43" s="271">
        <v>4418</v>
      </c>
      <c r="D43" s="62"/>
    </row>
    <row r="44" spans="1:4" ht="12.75">
      <c r="A44" s="5"/>
      <c r="B44" s="23"/>
      <c r="C44" s="142"/>
      <c r="D44" s="23"/>
    </row>
    <row r="45" spans="1:4" ht="12.75">
      <c r="A45" s="43" t="s">
        <v>187</v>
      </c>
      <c r="B45" s="23"/>
      <c r="C45" s="142"/>
      <c r="D45" s="23"/>
    </row>
    <row r="46" spans="1:4" ht="12.75">
      <c r="A46" s="21" t="s">
        <v>14</v>
      </c>
      <c r="B46" s="44" t="s">
        <v>13</v>
      </c>
      <c r="C46" s="58" t="s">
        <v>13</v>
      </c>
      <c r="D46" s="44"/>
    </row>
    <row r="47" spans="1:4" ht="12.75">
      <c r="A47" s="16"/>
      <c r="B47" s="261"/>
      <c r="C47" s="271">
        <v>125717</v>
      </c>
      <c r="D47" s="62"/>
    </row>
    <row r="48" spans="1:4" ht="6" customHeight="1">
      <c r="A48" s="21"/>
      <c r="B48" s="23"/>
      <c r="C48" s="142"/>
      <c r="D48" s="62"/>
    </row>
    <row r="49" spans="1:4" ht="12.75">
      <c r="A49" s="21" t="s">
        <v>10</v>
      </c>
      <c r="B49" s="44" t="s">
        <v>13</v>
      </c>
      <c r="C49" s="58" t="s">
        <v>13</v>
      </c>
      <c r="D49" s="44"/>
    </row>
    <row r="50" spans="1:4" ht="12.75">
      <c r="A50" s="16"/>
      <c r="B50" s="261"/>
      <c r="C50" s="271">
        <v>1920420</v>
      </c>
      <c r="D50" s="62"/>
    </row>
  </sheetData>
  <sheetProtection/>
  <mergeCells count="1">
    <mergeCell ref="A1:D1"/>
  </mergeCells>
  <printOptions/>
  <pageMargins left="0.55" right="0.57" top="0.57" bottom="0.57" header="0.5" footer="0.3"/>
  <pageSetup fitToHeight="1" fitToWidth="1" horizontalDpi="600" verticalDpi="600" orientation="landscape" scale="8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G1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2.57421875" style="165" bestFit="1" customWidth="1"/>
    <col min="2" max="7" width="12.140625" style="165" customWidth="1"/>
    <col min="8" max="16384" width="9.140625" style="165" customWidth="1"/>
  </cols>
  <sheetData>
    <row r="1" spans="1:7" ht="15.75">
      <c r="A1" s="387" t="s">
        <v>336</v>
      </c>
      <c r="B1" s="387"/>
      <c r="C1" s="388"/>
      <c r="D1" s="388"/>
      <c r="E1" s="388"/>
      <c r="F1" s="388"/>
      <c r="G1" s="388"/>
    </row>
    <row r="2" spans="1:7" ht="12.75">
      <c r="A2" s="169"/>
      <c r="B2" s="169"/>
      <c r="C2" s="175"/>
      <c r="D2" s="175"/>
      <c r="E2" s="175"/>
      <c r="F2" s="175"/>
      <c r="G2" s="175"/>
    </row>
    <row r="3" spans="1:7" ht="25.5">
      <c r="A3" s="173" t="s">
        <v>309</v>
      </c>
      <c r="B3" s="174">
        <v>2008</v>
      </c>
      <c r="C3" s="174">
        <v>2009</v>
      </c>
      <c r="D3" s="174">
        <v>2010</v>
      </c>
      <c r="E3" s="174">
        <v>2011</v>
      </c>
      <c r="F3" s="366" t="s">
        <v>423</v>
      </c>
      <c r="G3" s="366" t="s">
        <v>430</v>
      </c>
    </row>
    <row r="4" spans="1:7" ht="12.75">
      <c r="A4" s="203" t="s">
        <v>336</v>
      </c>
      <c r="B4" s="306">
        <v>2324000</v>
      </c>
      <c r="C4" s="306">
        <v>13276120</v>
      </c>
      <c r="D4" s="306">
        <v>13232385.46</v>
      </c>
      <c r="E4" s="306">
        <v>9115170.97</v>
      </c>
      <c r="F4" s="307">
        <v>5500000</v>
      </c>
      <c r="G4" s="306">
        <f>SUM(B4:F4)</f>
        <v>43447676.43</v>
      </c>
    </row>
    <row r="5" spans="1:7" ht="12.75">
      <c r="A5" s="169"/>
      <c r="B5" s="171"/>
      <c r="C5" s="171"/>
      <c r="D5" s="171"/>
      <c r="E5" s="171"/>
      <c r="F5" s="233"/>
      <c r="G5" s="171"/>
    </row>
    <row r="6" spans="1:7" ht="12.75">
      <c r="A6" s="173" t="s">
        <v>256</v>
      </c>
      <c r="B6" s="172"/>
      <c r="C6" s="172"/>
      <c r="D6" s="172"/>
      <c r="E6" s="172"/>
      <c r="F6" s="234"/>
      <c r="G6" s="171"/>
    </row>
    <row r="7" spans="1:7" ht="12.75">
      <c r="A7" s="170" t="s">
        <v>32</v>
      </c>
      <c r="B7" s="306">
        <v>45880</v>
      </c>
      <c r="C7" s="306">
        <v>1862388.85</v>
      </c>
      <c r="D7" s="306">
        <v>7187364.49</v>
      </c>
      <c r="E7" s="306">
        <v>3493179</v>
      </c>
      <c r="F7" s="307">
        <v>3654240.5</v>
      </c>
      <c r="G7" s="306">
        <f>SUM(B7:F7)</f>
        <v>16243052.84</v>
      </c>
    </row>
    <row r="8" spans="1:7" ht="12.75">
      <c r="A8" s="170" t="s">
        <v>20</v>
      </c>
      <c r="B8" s="306">
        <v>0</v>
      </c>
      <c r="C8" s="306">
        <v>5000022.45</v>
      </c>
      <c r="D8" s="306">
        <v>3390200</v>
      </c>
      <c r="E8" s="306">
        <v>2404280</v>
      </c>
      <c r="F8" s="307">
        <v>1964246.43</v>
      </c>
      <c r="G8" s="308"/>
    </row>
    <row r="9" spans="1:7" ht="12.75">
      <c r="A9" s="170" t="s">
        <v>33</v>
      </c>
      <c r="B9" s="306">
        <f>SUM(B7:B8)</f>
        <v>45880</v>
      </c>
      <c r="C9" s="306">
        <f>SUM(C7:C8)</f>
        <v>6862411.300000001</v>
      </c>
      <c r="D9" s="306">
        <f>SUM(D7:D8)</f>
        <v>10577564.49</v>
      </c>
      <c r="E9" s="306">
        <f>SUM(E7:E8)</f>
        <v>5897459</v>
      </c>
      <c r="F9" s="307">
        <f>SUM(F7:F8)</f>
        <v>5618486.93</v>
      </c>
      <c r="G9" s="308"/>
    </row>
    <row r="10" spans="1:7" ht="12.75">
      <c r="A10" s="169"/>
      <c r="B10" s="167"/>
      <c r="C10" s="167"/>
      <c r="D10" s="167"/>
      <c r="E10" s="167"/>
      <c r="F10" s="235"/>
      <c r="G10" s="167"/>
    </row>
    <row r="11" spans="1:7" ht="12.75">
      <c r="A11" s="168" t="s">
        <v>5</v>
      </c>
      <c r="B11" s="167"/>
      <c r="C11" s="167"/>
      <c r="D11" s="167"/>
      <c r="E11" s="167"/>
      <c r="F11" s="235"/>
      <c r="G11" s="167"/>
    </row>
    <row r="12" spans="1:7" ht="12.75">
      <c r="A12" s="166" t="s">
        <v>335</v>
      </c>
      <c r="B12" s="309">
        <v>30</v>
      </c>
      <c r="C12" s="309">
        <v>352</v>
      </c>
      <c r="D12" s="309">
        <v>965</v>
      </c>
      <c r="E12" s="309">
        <v>358</v>
      </c>
      <c r="F12" s="309">
        <v>516</v>
      </c>
      <c r="G12" s="309">
        <f>SUM(B12:F12)</f>
        <v>2221</v>
      </c>
    </row>
    <row r="13" spans="1:7" ht="12.75">
      <c r="A13" s="166" t="s">
        <v>422</v>
      </c>
      <c r="B13" s="309"/>
      <c r="C13" s="309"/>
      <c r="D13" s="309"/>
      <c r="E13" s="309">
        <v>501</v>
      </c>
      <c r="F13" s="309">
        <v>534</v>
      </c>
      <c r="G13" s="309">
        <f>SUM(B13:F13)</f>
        <v>1035</v>
      </c>
    </row>
  </sheetData>
  <sheetProtection/>
  <mergeCells count="1">
    <mergeCell ref="A1:G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G5:G6 G10:G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9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25.140625" style="140" customWidth="1"/>
    <col min="2" max="2" width="13.421875" style="140" bestFit="1" customWidth="1"/>
    <col min="3" max="4" width="12.7109375" style="140" hidden="1" customWidth="1"/>
    <col min="5" max="6" width="10.421875" style="140" customWidth="1"/>
    <col min="7" max="7" width="16.140625" style="140" customWidth="1"/>
    <col min="8" max="8" width="14.421875" style="140" customWidth="1"/>
    <col min="9" max="11" width="15.00390625" style="140" customWidth="1"/>
    <col min="12" max="12" width="15.421875" style="140" customWidth="1"/>
    <col min="13" max="16384" width="9.140625" style="140" customWidth="1"/>
  </cols>
  <sheetData>
    <row r="1" spans="1:12" ht="15.75">
      <c r="A1" s="379" t="s">
        <v>405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3" spans="1:12" ht="25.5">
      <c r="A3" s="76" t="s">
        <v>255</v>
      </c>
      <c r="B3" s="227" t="s">
        <v>355</v>
      </c>
      <c r="C3" s="107">
        <v>2004</v>
      </c>
      <c r="D3" s="152">
        <v>2005</v>
      </c>
      <c r="E3" s="107">
        <v>2006</v>
      </c>
      <c r="F3" s="152">
        <v>2007</v>
      </c>
      <c r="G3" s="107">
        <v>2008</v>
      </c>
      <c r="H3" s="152">
        <v>2009</v>
      </c>
      <c r="I3" s="152">
        <v>2010</v>
      </c>
      <c r="J3" s="152">
        <v>2011</v>
      </c>
      <c r="K3" s="221" t="s">
        <v>423</v>
      </c>
      <c r="L3" s="152" t="s">
        <v>1</v>
      </c>
    </row>
    <row r="4" spans="1:14" ht="12.75">
      <c r="A4" s="199"/>
      <c r="B4" s="351">
        <f>SUM(C4:D4)</f>
        <v>3500000</v>
      </c>
      <c r="C4" s="304">
        <v>2500000</v>
      </c>
      <c r="D4" s="304">
        <v>1000000</v>
      </c>
      <c r="E4" s="304"/>
      <c r="F4" s="304"/>
      <c r="G4" s="304">
        <v>5000000</v>
      </c>
      <c r="H4" s="304">
        <v>23245128.080000002</v>
      </c>
      <c r="I4" s="304">
        <v>32305102.62</v>
      </c>
      <c r="J4" s="304">
        <v>43355701.5</v>
      </c>
      <c r="K4" s="304">
        <v>50055958</v>
      </c>
      <c r="L4" s="304">
        <f>SUM(C4:K4)</f>
        <v>157461890.2</v>
      </c>
      <c r="M4" s="75"/>
      <c r="N4" s="75"/>
    </row>
    <row r="5" spans="1:14" ht="6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09"/>
      <c r="N5" s="209"/>
    </row>
    <row r="6" spans="1:12" ht="12.75">
      <c r="A6" s="76" t="s">
        <v>256</v>
      </c>
      <c r="B6" s="76"/>
      <c r="C6" s="76"/>
      <c r="D6" s="76"/>
      <c r="E6" s="76"/>
      <c r="F6" s="76"/>
      <c r="G6" s="76"/>
      <c r="H6" s="141"/>
      <c r="I6" s="141"/>
      <c r="J6" s="141"/>
      <c r="K6" s="141"/>
      <c r="L6" s="141"/>
    </row>
    <row r="7" spans="1:12" ht="12.75">
      <c r="A7" s="199" t="s">
        <v>24</v>
      </c>
      <c r="B7" s="254">
        <f>SUM(C7:D7)</f>
        <v>32000</v>
      </c>
      <c r="C7" s="254">
        <v>32000</v>
      </c>
      <c r="D7" s="254">
        <v>0</v>
      </c>
      <c r="E7" s="254">
        <v>0</v>
      </c>
      <c r="F7" s="254">
        <v>0</v>
      </c>
      <c r="G7" s="254">
        <v>52000</v>
      </c>
      <c r="H7" s="254">
        <v>743119.2</v>
      </c>
      <c r="I7" s="294">
        <v>1242734.12</v>
      </c>
      <c r="J7" s="294">
        <v>5023091.48</v>
      </c>
      <c r="K7" s="294">
        <v>12518684.25</v>
      </c>
      <c r="L7" s="294">
        <f>SUM(SUM(C7:H7)*1000+SUM(I7:K7))</f>
        <v>845903709.85</v>
      </c>
    </row>
    <row r="8" spans="1:12" ht="12.75">
      <c r="A8" s="199" t="s">
        <v>23</v>
      </c>
      <c r="B8" s="254">
        <f>SUM(C8:D8)</f>
        <v>0</v>
      </c>
      <c r="C8" s="254"/>
      <c r="D8" s="254"/>
      <c r="E8" s="254"/>
      <c r="F8" s="254"/>
      <c r="G8" s="254"/>
      <c r="H8" s="254"/>
      <c r="I8" s="294"/>
      <c r="J8" s="294">
        <v>26724700</v>
      </c>
      <c r="K8" s="294">
        <v>28460787.45</v>
      </c>
      <c r="L8" s="324"/>
    </row>
    <row r="9" spans="1:12" ht="12.75">
      <c r="A9" s="199" t="s">
        <v>1</v>
      </c>
      <c r="B9" s="264">
        <f>SUM(C9:D9)</f>
        <v>32000</v>
      </c>
      <c r="C9" s="264">
        <f aca="true" t="shared" si="0" ref="C9:I9">SUM(C7:C8)</f>
        <v>32000</v>
      </c>
      <c r="D9" s="264">
        <f t="shared" si="0"/>
        <v>0</v>
      </c>
      <c r="E9" s="264">
        <f t="shared" si="0"/>
        <v>0</v>
      </c>
      <c r="F9" s="264">
        <f t="shared" si="0"/>
        <v>0</v>
      </c>
      <c r="G9" s="264">
        <f t="shared" si="0"/>
        <v>52000</v>
      </c>
      <c r="H9" s="264">
        <f t="shared" si="0"/>
        <v>743119.2</v>
      </c>
      <c r="I9" s="304">
        <f t="shared" si="0"/>
        <v>1242734.12</v>
      </c>
      <c r="J9" s="304">
        <f>SUM(J7:J8)</f>
        <v>31747791.48</v>
      </c>
      <c r="K9" s="304">
        <f>SUM(K7:K8)</f>
        <v>40979471.7</v>
      </c>
      <c r="L9" s="324"/>
    </row>
    <row r="10" spans="1:7" ht="6" customHeight="1">
      <c r="A10" s="162"/>
      <c r="B10" s="162"/>
      <c r="C10" s="162"/>
      <c r="D10" s="162"/>
      <c r="E10" s="162"/>
      <c r="F10" s="162"/>
      <c r="G10" s="162"/>
    </row>
    <row r="11" spans="1:7" ht="12.75">
      <c r="A11" s="155" t="s">
        <v>292</v>
      </c>
      <c r="B11" s="155"/>
      <c r="C11" s="155"/>
      <c r="D11" s="155"/>
      <c r="E11" s="155"/>
      <c r="F11" s="155"/>
      <c r="G11" s="155"/>
    </row>
    <row r="12" spans="1:12" ht="12.75">
      <c r="A12" s="349" t="s">
        <v>283</v>
      </c>
      <c r="B12" s="269">
        <f>SUM(C12:D12)</f>
        <v>0</v>
      </c>
      <c r="C12" s="269"/>
      <c r="D12" s="269"/>
      <c r="E12" s="269"/>
      <c r="F12" s="269"/>
      <c r="G12" s="269"/>
      <c r="H12" s="267">
        <v>4</v>
      </c>
      <c r="I12" s="267">
        <v>24</v>
      </c>
      <c r="J12" s="267">
        <v>51</v>
      </c>
      <c r="K12" s="267">
        <v>68</v>
      </c>
      <c r="L12" s="267">
        <f>SUM(C12:K12)</f>
        <v>147</v>
      </c>
    </row>
    <row r="13" spans="1:12" ht="12.75">
      <c r="A13" s="349" t="s">
        <v>284</v>
      </c>
      <c r="B13" s="269">
        <f>SUM(C13:D13)</f>
        <v>0</v>
      </c>
      <c r="C13" s="269"/>
      <c r="D13" s="269"/>
      <c r="E13" s="269"/>
      <c r="F13" s="269"/>
      <c r="G13" s="269"/>
      <c r="H13" s="267">
        <v>0</v>
      </c>
      <c r="I13" s="267">
        <v>0</v>
      </c>
      <c r="J13" s="267">
        <v>16</v>
      </c>
      <c r="K13" s="267">
        <v>57</v>
      </c>
      <c r="L13" s="267">
        <f>SUM(C13:K13)</f>
        <v>73</v>
      </c>
    </row>
    <row r="14" spans="1:12" ht="12.75">
      <c r="A14" s="199" t="s">
        <v>1</v>
      </c>
      <c r="B14" s="269">
        <f>SUM(C14:D14)</f>
        <v>0</v>
      </c>
      <c r="C14" s="269"/>
      <c r="D14" s="269"/>
      <c r="E14" s="269"/>
      <c r="F14" s="269"/>
      <c r="G14" s="269"/>
      <c r="H14" s="269">
        <f>SUM(H12:H13)</f>
        <v>4</v>
      </c>
      <c r="I14" s="269">
        <f>SUM(I12:I13)</f>
        <v>24</v>
      </c>
      <c r="J14" s="269">
        <f>SUM(J12:J13)</f>
        <v>67</v>
      </c>
      <c r="K14" s="269">
        <f>SUM(K12:K13)</f>
        <v>125</v>
      </c>
      <c r="L14" s="269">
        <f>SUM(L12:L13)</f>
        <v>220</v>
      </c>
    </row>
    <row r="15" spans="1:12" ht="6" customHeight="1">
      <c r="A15" s="155"/>
      <c r="B15" s="155"/>
      <c r="C15" s="155"/>
      <c r="D15" s="155"/>
      <c r="E15" s="155"/>
      <c r="F15" s="155"/>
      <c r="G15" s="155"/>
      <c r="H15" s="75"/>
      <c r="I15" s="75"/>
      <c r="J15" s="75"/>
      <c r="K15" s="75"/>
      <c r="L15" s="75"/>
    </row>
    <row r="16" spans="1:7" ht="12.75">
      <c r="A16" s="155" t="s">
        <v>291</v>
      </c>
      <c r="B16" s="155"/>
      <c r="C16" s="155"/>
      <c r="D16" s="155"/>
      <c r="E16" s="155"/>
      <c r="F16" s="155"/>
      <c r="G16" s="155"/>
    </row>
    <row r="17" spans="1:13" ht="12.75">
      <c r="A17" s="349"/>
      <c r="B17" s="269">
        <f>SUM(C17:D17)</f>
        <v>0</v>
      </c>
      <c r="C17" s="269"/>
      <c r="D17" s="269"/>
      <c r="E17" s="269"/>
      <c r="F17" s="269"/>
      <c r="G17" s="269"/>
      <c r="H17" s="267"/>
      <c r="I17" s="267">
        <v>121</v>
      </c>
      <c r="J17" s="267"/>
      <c r="K17" s="267"/>
      <c r="L17" s="75"/>
      <c r="M17" s="132"/>
    </row>
    <row r="18" spans="1:12" ht="12.75">
      <c r="A18" s="155"/>
      <c r="B18" s="155"/>
      <c r="C18" s="155"/>
      <c r="D18" s="155"/>
      <c r="E18" s="155"/>
      <c r="F18" s="155"/>
      <c r="G18" s="155"/>
      <c r="H18" s="75"/>
      <c r="I18" s="75"/>
      <c r="J18" s="75"/>
      <c r="K18" s="75"/>
      <c r="L18" s="75"/>
    </row>
    <row r="19" spans="1:7" ht="12.75">
      <c r="A19" s="155" t="s">
        <v>289</v>
      </c>
      <c r="B19" s="155"/>
      <c r="C19" s="162"/>
      <c r="D19" s="162"/>
      <c r="E19" s="162"/>
      <c r="F19" s="162"/>
      <c r="G19" s="162"/>
    </row>
    <row r="20" spans="1:7" ht="12.75">
      <c r="A20" s="155" t="s">
        <v>132</v>
      </c>
      <c r="B20" s="155"/>
      <c r="C20" s="155"/>
      <c r="D20" s="155"/>
      <c r="E20" s="155"/>
      <c r="F20" s="155"/>
      <c r="G20" s="155"/>
    </row>
    <row r="21" spans="1:12" ht="12.75">
      <c r="A21" s="162" t="s">
        <v>14</v>
      </c>
      <c r="B21" s="162"/>
      <c r="C21" s="63"/>
      <c r="D21" s="63"/>
      <c r="E21" s="63"/>
      <c r="F21" s="63"/>
      <c r="G21" s="63" t="s">
        <v>8</v>
      </c>
      <c r="H21" s="63" t="s">
        <v>8</v>
      </c>
      <c r="I21" s="58" t="s">
        <v>8</v>
      </c>
      <c r="J21" s="58" t="s">
        <v>8</v>
      </c>
      <c r="K21" s="58" t="s">
        <v>8</v>
      </c>
      <c r="L21" s="58" t="s">
        <v>8</v>
      </c>
    </row>
    <row r="22" spans="1:12" ht="12.75">
      <c r="A22" s="187" t="s">
        <v>287</v>
      </c>
      <c r="B22" s="269"/>
      <c r="C22" s="269"/>
      <c r="D22" s="269"/>
      <c r="E22" s="269"/>
      <c r="F22" s="269"/>
      <c r="G22" s="269"/>
      <c r="H22" s="267"/>
      <c r="I22" s="267"/>
      <c r="J22" s="300"/>
      <c r="K22" s="267">
        <v>29077</v>
      </c>
      <c r="L22" s="268">
        <f>SUM(C22:K22)</f>
        <v>29077</v>
      </c>
    </row>
    <row r="23" spans="1:12" ht="12.75">
      <c r="A23" s="187" t="s">
        <v>411</v>
      </c>
      <c r="B23" s="269"/>
      <c r="C23" s="269"/>
      <c r="D23" s="269"/>
      <c r="E23" s="269"/>
      <c r="F23" s="269"/>
      <c r="G23" s="269"/>
      <c r="H23" s="267"/>
      <c r="I23" s="267"/>
      <c r="J23" s="300"/>
      <c r="K23" s="267">
        <v>0</v>
      </c>
      <c r="L23" s="268">
        <f>SUM(C23:K23)</f>
        <v>0</v>
      </c>
    </row>
    <row r="24" spans="1:12" ht="12.75">
      <c r="A24" s="199" t="s">
        <v>1</v>
      </c>
      <c r="B24" s="269">
        <f>SUM(C24:D24)</f>
        <v>0</v>
      </c>
      <c r="C24" s="269"/>
      <c r="D24" s="269"/>
      <c r="E24" s="269"/>
      <c r="F24" s="269"/>
      <c r="G24" s="269"/>
      <c r="H24" s="269"/>
      <c r="I24" s="269">
        <v>796</v>
      </c>
      <c r="J24" s="269">
        <v>15422</v>
      </c>
      <c r="K24" s="269">
        <f>SUM(K22:K23)</f>
        <v>29077</v>
      </c>
      <c r="L24" s="269">
        <f>SUM(C24:K24)</f>
        <v>45295</v>
      </c>
    </row>
    <row r="25" spans="1:12" ht="6" customHeight="1">
      <c r="A25" s="162"/>
      <c r="B25" s="162"/>
      <c r="C25" s="162"/>
      <c r="D25" s="162"/>
      <c r="E25" s="162"/>
      <c r="F25" s="162"/>
      <c r="G25" s="162"/>
      <c r="I25" s="142"/>
      <c r="J25" s="142"/>
      <c r="K25" s="142"/>
      <c r="L25" s="142"/>
    </row>
    <row r="26" spans="1:12" ht="12.75">
      <c r="A26" s="162" t="s">
        <v>10</v>
      </c>
      <c r="B26" s="162"/>
      <c r="C26" s="63"/>
      <c r="D26" s="63"/>
      <c r="E26" s="63"/>
      <c r="F26" s="63"/>
      <c r="G26" s="63" t="s">
        <v>8</v>
      </c>
      <c r="H26" s="63" t="s">
        <v>8</v>
      </c>
      <c r="I26" s="58" t="s">
        <v>8</v>
      </c>
      <c r="J26" s="58" t="s">
        <v>8</v>
      </c>
      <c r="K26" s="58" t="s">
        <v>8</v>
      </c>
      <c r="L26" s="58" t="s">
        <v>8</v>
      </c>
    </row>
    <row r="27" spans="1:12" ht="12.75">
      <c r="A27" s="187" t="s">
        <v>287</v>
      </c>
      <c r="B27" s="269"/>
      <c r="C27" s="269"/>
      <c r="D27" s="269"/>
      <c r="E27" s="269"/>
      <c r="F27" s="269"/>
      <c r="G27" s="269"/>
      <c r="H27" s="267"/>
      <c r="I27" s="267"/>
      <c r="J27" s="300"/>
      <c r="K27" s="267">
        <v>485339</v>
      </c>
      <c r="L27" s="268">
        <f>SUM(C27:K27)</f>
        <v>485339</v>
      </c>
    </row>
    <row r="28" spans="1:12" ht="12.75">
      <c r="A28" s="187" t="s">
        <v>411</v>
      </c>
      <c r="B28" s="269"/>
      <c r="C28" s="269"/>
      <c r="D28" s="269"/>
      <c r="E28" s="269"/>
      <c r="F28" s="269"/>
      <c r="G28" s="269"/>
      <c r="H28" s="267"/>
      <c r="I28" s="267"/>
      <c r="J28" s="300"/>
      <c r="K28" s="267">
        <v>0</v>
      </c>
      <c r="L28" s="268">
        <f>SUM(C28:K28)</f>
        <v>0</v>
      </c>
    </row>
    <row r="29" spans="1:12" ht="12.75">
      <c r="A29" s="199" t="s">
        <v>1</v>
      </c>
      <c r="B29" s="269">
        <f>SUM(C29:D29)</f>
        <v>0</v>
      </c>
      <c r="C29" s="269"/>
      <c r="D29" s="269"/>
      <c r="E29" s="269"/>
      <c r="F29" s="269"/>
      <c r="G29" s="269"/>
      <c r="H29" s="269"/>
      <c r="I29" s="269">
        <v>8757</v>
      </c>
      <c r="J29" s="269">
        <v>216562</v>
      </c>
      <c r="K29" s="269">
        <f>SUM(K27:K28)</f>
        <v>485339</v>
      </c>
      <c r="L29" s="269">
        <f>SUM(C29:K29)</f>
        <v>710658</v>
      </c>
    </row>
    <row r="30" spans="1:12" ht="6" customHeight="1">
      <c r="A30" s="162"/>
      <c r="B30" s="162"/>
      <c r="C30" s="162"/>
      <c r="D30" s="162"/>
      <c r="E30" s="162"/>
      <c r="F30" s="162"/>
      <c r="G30" s="162"/>
      <c r="I30" s="142"/>
      <c r="J30" s="142"/>
      <c r="K30" s="142"/>
      <c r="L30" s="142"/>
    </row>
    <row r="31" spans="1:12" ht="12.75">
      <c r="A31" s="162" t="s">
        <v>36</v>
      </c>
      <c r="B31" s="162"/>
      <c r="C31" s="58"/>
      <c r="D31" s="58"/>
      <c r="E31" s="58"/>
      <c r="F31" s="58"/>
      <c r="G31" s="58" t="s">
        <v>11</v>
      </c>
      <c r="H31" s="58" t="s">
        <v>11</v>
      </c>
      <c r="I31" s="58" t="s">
        <v>11</v>
      </c>
      <c r="J31" s="58" t="s">
        <v>11</v>
      </c>
      <c r="K31" s="58" t="s">
        <v>11</v>
      </c>
      <c r="L31" s="58" t="s">
        <v>11</v>
      </c>
    </row>
    <row r="32" spans="1:12" ht="12.75">
      <c r="A32" s="187" t="s">
        <v>287</v>
      </c>
      <c r="B32" s="269"/>
      <c r="C32" s="269"/>
      <c r="D32" s="269"/>
      <c r="E32" s="269"/>
      <c r="F32" s="269"/>
      <c r="G32" s="269"/>
      <c r="H32" s="267"/>
      <c r="I32" s="267"/>
      <c r="J32" s="300"/>
      <c r="K32" s="267">
        <v>7626</v>
      </c>
      <c r="L32" s="268">
        <f>SUM(C32:K32)</f>
        <v>7626</v>
      </c>
    </row>
    <row r="33" spans="1:12" ht="12.75">
      <c r="A33" s="187" t="s">
        <v>411</v>
      </c>
      <c r="B33" s="269"/>
      <c r="C33" s="269"/>
      <c r="D33" s="269"/>
      <c r="E33" s="269"/>
      <c r="F33" s="269"/>
      <c r="G33" s="269"/>
      <c r="H33" s="267"/>
      <c r="I33" s="267"/>
      <c r="J33" s="300"/>
      <c r="K33" s="267">
        <v>0</v>
      </c>
      <c r="L33" s="268">
        <f>SUM(C33:K33)</f>
        <v>0</v>
      </c>
    </row>
    <row r="34" spans="1:12" ht="12.75">
      <c r="A34" s="199" t="s">
        <v>1</v>
      </c>
      <c r="B34" s="269">
        <f>SUM(C34:D34)</f>
        <v>0</v>
      </c>
      <c r="C34" s="269"/>
      <c r="D34" s="269"/>
      <c r="E34" s="269"/>
      <c r="F34" s="269"/>
      <c r="G34" s="269"/>
      <c r="H34" s="269"/>
      <c r="I34" s="269">
        <v>62</v>
      </c>
      <c r="J34" s="269">
        <v>2514</v>
      </c>
      <c r="K34" s="269">
        <f>SUM(K32:K33)</f>
        <v>7626</v>
      </c>
      <c r="L34" s="269">
        <f>SUM(C34:K34)</f>
        <v>10202</v>
      </c>
    </row>
    <row r="35" spans="1:12" ht="12.75">
      <c r="A35" s="350"/>
      <c r="B35" s="350"/>
      <c r="C35" s="350"/>
      <c r="D35" s="350"/>
      <c r="E35" s="350"/>
      <c r="F35" s="350"/>
      <c r="G35" s="350"/>
      <c r="I35" s="142"/>
      <c r="J35" s="142"/>
      <c r="K35" s="142"/>
      <c r="L35" s="142"/>
    </row>
    <row r="36" spans="1:12" ht="12.75">
      <c r="A36" s="155" t="s">
        <v>187</v>
      </c>
      <c r="B36" s="155"/>
      <c r="C36" s="155"/>
      <c r="D36" s="155"/>
      <c r="E36" s="155"/>
      <c r="F36" s="155"/>
      <c r="G36" s="155"/>
      <c r="I36" s="142"/>
      <c r="J36" s="142"/>
      <c r="K36" s="142"/>
      <c r="L36" s="142"/>
    </row>
    <row r="37" spans="1:12" ht="12.75">
      <c r="A37" s="162" t="s">
        <v>14</v>
      </c>
      <c r="B37" s="58"/>
      <c r="C37" s="58"/>
      <c r="D37" s="58"/>
      <c r="E37" s="58"/>
      <c r="F37" s="58"/>
      <c r="G37" s="58" t="s">
        <v>13</v>
      </c>
      <c r="H37" s="58" t="s">
        <v>13</v>
      </c>
      <c r="I37" s="58" t="s">
        <v>13</v>
      </c>
      <c r="J37" s="58" t="s">
        <v>13</v>
      </c>
      <c r="K37" s="58" t="s">
        <v>13</v>
      </c>
      <c r="L37" s="58" t="s">
        <v>13</v>
      </c>
    </row>
    <row r="38" spans="1:12" ht="12.75">
      <c r="A38" s="187" t="s">
        <v>287</v>
      </c>
      <c r="B38" s="269"/>
      <c r="C38" s="269"/>
      <c r="D38" s="269"/>
      <c r="E38" s="269"/>
      <c r="F38" s="269"/>
      <c r="G38" s="269"/>
      <c r="H38" s="267"/>
      <c r="I38" s="267"/>
      <c r="J38" s="300"/>
      <c r="K38" s="267">
        <v>116964</v>
      </c>
      <c r="L38" s="267">
        <f>SUM(C38:K38)</f>
        <v>116964</v>
      </c>
    </row>
    <row r="39" spans="1:12" ht="12.75">
      <c r="A39" s="187" t="s">
        <v>411</v>
      </c>
      <c r="B39" s="269"/>
      <c r="C39" s="269"/>
      <c r="D39" s="269"/>
      <c r="E39" s="269"/>
      <c r="F39" s="269"/>
      <c r="G39" s="269"/>
      <c r="H39" s="267"/>
      <c r="I39" s="267"/>
      <c r="J39" s="300"/>
      <c r="K39" s="267">
        <v>83277</v>
      </c>
      <c r="L39" s="267">
        <f>SUM(C39:K39)</f>
        <v>83277</v>
      </c>
    </row>
    <row r="40" spans="1:12" ht="12.75">
      <c r="A40" s="199" t="s">
        <v>1</v>
      </c>
      <c r="B40" s="269">
        <f>SUM(C40:D40)</f>
        <v>0</v>
      </c>
      <c r="C40" s="269"/>
      <c r="D40" s="269"/>
      <c r="E40" s="269"/>
      <c r="F40" s="269"/>
      <c r="G40" s="269"/>
      <c r="H40" s="269"/>
      <c r="I40" s="269"/>
      <c r="J40" s="269">
        <v>45344</v>
      </c>
      <c r="K40" s="269">
        <f>SUM(K38:K39)</f>
        <v>200241</v>
      </c>
      <c r="L40" s="269">
        <f>SUM(C40:K40)</f>
        <v>245585</v>
      </c>
    </row>
    <row r="41" spans="1:12" ht="6" customHeight="1">
      <c r="A41" s="162"/>
      <c r="B41" s="162"/>
      <c r="C41" s="162"/>
      <c r="D41" s="162"/>
      <c r="E41" s="162"/>
      <c r="F41" s="162"/>
      <c r="G41" s="162"/>
      <c r="I41" s="142"/>
      <c r="J41" s="142"/>
      <c r="K41" s="142"/>
      <c r="L41" s="142"/>
    </row>
    <row r="42" spans="1:12" ht="12.75">
      <c r="A42" s="162" t="s">
        <v>10</v>
      </c>
      <c r="B42" s="58"/>
      <c r="C42" s="58"/>
      <c r="D42" s="58"/>
      <c r="E42" s="58"/>
      <c r="F42" s="58"/>
      <c r="G42" s="58" t="s">
        <v>13</v>
      </c>
      <c r="H42" s="58" t="s">
        <v>13</v>
      </c>
      <c r="I42" s="58" t="s">
        <v>13</v>
      </c>
      <c r="J42" s="58" t="s">
        <v>13</v>
      </c>
      <c r="K42" s="58" t="s">
        <v>13</v>
      </c>
      <c r="L42" s="58" t="s">
        <v>13</v>
      </c>
    </row>
    <row r="43" spans="1:12" ht="12.75">
      <c r="A43" s="187" t="s">
        <v>287</v>
      </c>
      <c r="B43" s="269"/>
      <c r="C43" s="269"/>
      <c r="D43" s="269"/>
      <c r="E43" s="269"/>
      <c r="F43" s="269"/>
      <c r="G43" s="269"/>
      <c r="H43" s="267"/>
      <c r="I43" s="267"/>
      <c r="J43" s="300"/>
      <c r="K43" s="267">
        <v>2224850</v>
      </c>
      <c r="L43" s="267">
        <f>SUM(C43:K43)</f>
        <v>2224850</v>
      </c>
    </row>
    <row r="44" spans="1:12" ht="12.75">
      <c r="A44" s="187" t="s">
        <v>411</v>
      </c>
      <c r="B44" s="269"/>
      <c r="C44" s="269"/>
      <c r="D44" s="269"/>
      <c r="E44" s="269"/>
      <c r="F44" s="269"/>
      <c r="G44" s="269"/>
      <c r="H44" s="267"/>
      <c r="I44" s="267"/>
      <c r="J44" s="300"/>
      <c r="K44" s="267">
        <v>999324</v>
      </c>
      <c r="L44" s="267">
        <f>SUM(C44:K44)</f>
        <v>999324</v>
      </c>
    </row>
    <row r="45" spans="1:12" ht="12.75">
      <c r="A45" s="199" t="s">
        <v>1</v>
      </c>
      <c r="B45" s="269">
        <f>SUM(C45:D45)</f>
        <v>0</v>
      </c>
      <c r="C45" s="269"/>
      <c r="D45" s="269"/>
      <c r="E45" s="269"/>
      <c r="F45" s="269"/>
      <c r="G45" s="269"/>
      <c r="H45" s="269"/>
      <c r="I45" s="269"/>
      <c r="J45" s="269">
        <v>527074</v>
      </c>
      <c r="K45" s="269">
        <f>SUM(K43:K44)</f>
        <v>3224174</v>
      </c>
      <c r="L45" s="269">
        <f>SUM(C45:K45)</f>
        <v>3751248</v>
      </c>
    </row>
    <row r="46" spans="1:12" ht="12.75">
      <c r="A46" s="348" t="s">
        <v>356</v>
      </c>
      <c r="B46" s="155"/>
      <c r="C46" s="155"/>
      <c r="D46" s="155"/>
      <c r="E46" s="155"/>
      <c r="F46" s="155"/>
      <c r="G46" s="155"/>
      <c r="H46" s="75"/>
      <c r="I46" s="99"/>
      <c r="J46" s="99"/>
      <c r="K46" s="99"/>
      <c r="L46" s="99"/>
    </row>
    <row r="47" spans="1:14" ht="24">
      <c r="A47" s="350" t="s">
        <v>140</v>
      </c>
      <c r="B47" s="107"/>
      <c r="C47" s="107"/>
      <c r="D47" s="107"/>
      <c r="E47" s="107"/>
      <c r="F47" s="107"/>
      <c r="G47" s="107">
        <v>2008</v>
      </c>
      <c r="H47" s="152">
        <v>2009</v>
      </c>
      <c r="I47" s="367">
        <v>2010</v>
      </c>
      <c r="J47" s="367">
        <v>2011</v>
      </c>
      <c r="K47" s="368" t="str">
        <f>K3</f>
        <v>(18 month)
2012-2013</v>
      </c>
      <c r="L47" s="352"/>
      <c r="N47" s="151" t="s">
        <v>103</v>
      </c>
    </row>
    <row r="48" spans="1:14" ht="12.75">
      <c r="A48" s="155" t="s">
        <v>132</v>
      </c>
      <c r="I48" s="142"/>
      <c r="J48" s="142"/>
      <c r="K48" s="142"/>
      <c r="L48" s="99"/>
      <c r="N48" s="151"/>
    </row>
    <row r="49" spans="1:12" ht="12.75">
      <c r="A49" s="251" t="s">
        <v>9</v>
      </c>
      <c r="B49" s="63"/>
      <c r="C49" s="63"/>
      <c r="D49" s="63"/>
      <c r="E49" s="63"/>
      <c r="F49" s="63"/>
      <c r="G49" s="63" t="s">
        <v>8</v>
      </c>
      <c r="H49" s="63" t="s">
        <v>8</v>
      </c>
      <c r="I49" s="58" t="s">
        <v>8</v>
      </c>
      <c r="J49" s="58" t="s">
        <v>8</v>
      </c>
      <c r="K49" s="58" t="s">
        <v>8</v>
      </c>
      <c r="L49" s="58"/>
    </row>
    <row r="50" spans="1:12" ht="12.75">
      <c r="A50" s="187" t="s">
        <v>287</v>
      </c>
      <c r="B50" s="269"/>
      <c r="C50" s="269"/>
      <c r="D50" s="269"/>
      <c r="E50" s="269"/>
      <c r="F50" s="269"/>
      <c r="G50" s="269"/>
      <c r="H50" s="267"/>
      <c r="I50" s="267"/>
      <c r="J50" s="300"/>
      <c r="K50" s="267">
        <v>48001</v>
      </c>
      <c r="L50" s="58"/>
    </row>
    <row r="51" spans="1:12" ht="12.75">
      <c r="A51" s="187" t="s">
        <v>411</v>
      </c>
      <c r="B51" s="269"/>
      <c r="C51" s="269"/>
      <c r="D51" s="269"/>
      <c r="E51" s="269"/>
      <c r="F51" s="269"/>
      <c r="G51" s="269"/>
      <c r="H51" s="267"/>
      <c r="I51" s="267"/>
      <c r="J51" s="300"/>
      <c r="K51" s="267"/>
      <c r="L51" s="58"/>
    </row>
    <row r="52" spans="1:12" ht="12.75">
      <c r="A52" s="199" t="s">
        <v>1</v>
      </c>
      <c r="B52" s="269">
        <f>SUM(C52:D52)</f>
        <v>0</v>
      </c>
      <c r="C52" s="269"/>
      <c r="D52" s="269"/>
      <c r="E52" s="269"/>
      <c r="F52" s="269"/>
      <c r="G52" s="269"/>
      <c r="H52" s="269"/>
      <c r="I52" s="269"/>
      <c r="J52" s="334">
        <v>50830</v>
      </c>
      <c r="K52" s="269">
        <f>SUM(K50:K51)</f>
        <v>48001</v>
      </c>
      <c r="L52" s="99"/>
    </row>
    <row r="53" spans="1:12" ht="6" customHeight="1">
      <c r="A53" s="162"/>
      <c r="B53" s="162"/>
      <c r="C53" s="162"/>
      <c r="D53" s="162"/>
      <c r="E53" s="162"/>
      <c r="F53" s="162"/>
      <c r="G53" s="162"/>
      <c r="I53" s="142"/>
      <c r="J53" s="142"/>
      <c r="K53" s="142"/>
      <c r="L53" s="99"/>
    </row>
    <row r="54" spans="1:12" ht="12.75">
      <c r="A54" s="162" t="s">
        <v>10</v>
      </c>
      <c r="B54" s="63"/>
      <c r="C54" s="63"/>
      <c r="D54" s="63"/>
      <c r="E54" s="63"/>
      <c r="F54" s="63"/>
      <c r="G54" s="63" t="s">
        <v>8</v>
      </c>
      <c r="H54" s="63" t="s">
        <v>8</v>
      </c>
      <c r="I54" s="58" t="s">
        <v>8</v>
      </c>
      <c r="J54" s="58" t="s">
        <v>8</v>
      </c>
      <c r="K54" s="58" t="s">
        <v>8</v>
      </c>
      <c r="L54" s="58"/>
    </row>
    <row r="55" spans="1:12" ht="12.75">
      <c r="A55" s="187" t="s">
        <v>287</v>
      </c>
      <c r="B55" s="269"/>
      <c r="C55" s="269"/>
      <c r="D55" s="269"/>
      <c r="E55" s="269"/>
      <c r="F55" s="269"/>
      <c r="G55" s="269"/>
      <c r="H55" s="267"/>
      <c r="I55" s="267"/>
      <c r="J55" s="300"/>
      <c r="K55" s="267">
        <v>793618</v>
      </c>
      <c r="L55" s="58"/>
    </row>
    <row r="56" spans="1:12" ht="12.75">
      <c r="A56" s="187" t="s">
        <v>411</v>
      </c>
      <c r="B56" s="269"/>
      <c r="C56" s="269"/>
      <c r="D56" s="269"/>
      <c r="E56" s="269"/>
      <c r="F56" s="269"/>
      <c r="G56" s="269"/>
      <c r="H56" s="267"/>
      <c r="I56" s="267"/>
      <c r="J56" s="300"/>
      <c r="K56" s="267"/>
      <c r="L56" s="58"/>
    </row>
    <row r="57" spans="1:12" ht="12.75">
      <c r="A57" s="199" t="s">
        <v>1</v>
      </c>
      <c r="B57" s="269">
        <f>SUM(C57:D57)</f>
        <v>0</v>
      </c>
      <c r="C57" s="269"/>
      <c r="D57" s="269"/>
      <c r="E57" s="269"/>
      <c r="F57" s="269"/>
      <c r="G57" s="269"/>
      <c r="H57" s="269"/>
      <c r="I57" s="269"/>
      <c r="J57" s="334">
        <v>847665</v>
      </c>
      <c r="K57" s="269">
        <f>SUM(K55:K56)</f>
        <v>793618</v>
      </c>
      <c r="L57" s="99"/>
    </row>
    <row r="58" spans="1:12" ht="6" customHeight="1">
      <c r="A58" s="162"/>
      <c r="B58" s="162"/>
      <c r="C58" s="162"/>
      <c r="D58" s="162"/>
      <c r="E58" s="162"/>
      <c r="F58" s="162"/>
      <c r="G58" s="162"/>
      <c r="I58" s="142"/>
      <c r="J58" s="142"/>
      <c r="K58" s="142"/>
      <c r="L58" s="99"/>
    </row>
    <row r="59" spans="1:12" ht="12.75">
      <c r="A59" s="251" t="s">
        <v>128</v>
      </c>
      <c r="B59" s="58"/>
      <c r="C59" s="58"/>
      <c r="D59" s="58"/>
      <c r="E59" s="58"/>
      <c r="F59" s="58"/>
      <c r="G59" s="58" t="s">
        <v>11</v>
      </c>
      <c r="H59" s="58" t="s">
        <v>11</v>
      </c>
      <c r="I59" s="58" t="s">
        <v>11</v>
      </c>
      <c r="J59" s="58" t="s">
        <v>11</v>
      </c>
      <c r="K59" s="58" t="s">
        <v>11</v>
      </c>
      <c r="L59" s="58"/>
    </row>
    <row r="60" spans="1:12" ht="12.75">
      <c r="A60" s="187" t="s">
        <v>287</v>
      </c>
      <c r="B60" s="269"/>
      <c r="C60" s="269"/>
      <c r="D60" s="269"/>
      <c r="E60" s="269"/>
      <c r="F60" s="269"/>
      <c r="G60" s="269"/>
      <c r="H60" s="267"/>
      <c r="I60" s="267"/>
      <c r="J60" s="300"/>
      <c r="K60" s="267">
        <v>9585</v>
      </c>
      <c r="L60" s="58"/>
    </row>
    <row r="61" spans="1:12" ht="12.75">
      <c r="A61" s="187" t="s">
        <v>411</v>
      </c>
      <c r="B61" s="269"/>
      <c r="C61" s="269"/>
      <c r="D61" s="269"/>
      <c r="E61" s="269"/>
      <c r="F61" s="269"/>
      <c r="G61" s="269"/>
      <c r="H61" s="267"/>
      <c r="I61" s="267"/>
      <c r="J61" s="300"/>
      <c r="K61" s="267">
        <v>1795</v>
      </c>
      <c r="L61" s="58"/>
    </row>
    <row r="62" spans="1:12" ht="12.75">
      <c r="A62" s="199" t="s">
        <v>1</v>
      </c>
      <c r="B62" s="269">
        <f>SUM(C62:D62)</f>
        <v>0</v>
      </c>
      <c r="C62" s="269"/>
      <c r="D62" s="269"/>
      <c r="E62" s="269"/>
      <c r="F62" s="269"/>
      <c r="G62" s="269"/>
      <c r="H62" s="269"/>
      <c r="I62" s="269"/>
      <c r="J62" s="334">
        <v>10469</v>
      </c>
      <c r="K62" s="269">
        <f>SUM(K60:K61)</f>
        <v>11380</v>
      </c>
      <c r="L62" s="99"/>
    </row>
    <row r="63" spans="1:12" ht="12.75">
      <c r="A63" s="350"/>
      <c r="B63" s="350"/>
      <c r="C63" s="350"/>
      <c r="D63" s="350"/>
      <c r="E63" s="350"/>
      <c r="F63" s="350"/>
      <c r="G63" s="350"/>
      <c r="I63" s="142"/>
      <c r="J63" s="142"/>
      <c r="K63" s="142"/>
      <c r="L63" s="99"/>
    </row>
    <row r="64" spans="1:12" ht="12.75">
      <c r="A64" s="155" t="s">
        <v>187</v>
      </c>
      <c r="B64" s="155"/>
      <c r="C64" s="155"/>
      <c r="D64" s="155"/>
      <c r="E64" s="155"/>
      <c r="F64" s="155"/>
      <c r="G64" s="155"/>
      <c r="I64" s="142"/>
      <c r="J64" s="142"/>
      <c r="K64" s="142"/>
      <c r="L64" s="99"/>
    </row>
    <row r="65" spans="1:12" ht="12.75">
      <c r="A65" s="162" t="s">
        <v>14</v>
      </c>
      <c r="B65" s="58"/>
      <c r="C65" s="58"/>
      <c r="D65" s="58"/>
      <c r="E65" s="58"/>
      <c r="F65" s="58"/>
      <c r="G65" s="58" t="s">
        <v>13</v>
      </c>
      <c r="H65" s="58" t="s">
        <v>13</v>
      </c>
      <c r="I65" s="58" t="s">
        <v>13</v>
      </c>
      <c r="J65" s="58" t="s">
        <v>13</v>
      </c>
      <c r="K65" s="58" t="s">
        <v>13</v>
      </c>
      <c r="L65" s="58"/>
    </row>
    <row r="66" spans="1:12" ht="12.75">
      <c r="A66" s="187" t="s">
        <v>287</v>
      </c>
      <c r="B66" s="269"/>
      <c r="C66" s="269"/>
      <c r="D66" s="269"/>
      <c r="E66" s="269"/>
      <c r="F66" s="269"/>
      <c r="G66" s="269"/>
      <c r="H66" s="267"/>
      <c r="I66" s="267"/>
      <c r="J66" s="300"/>
      <c r="K66" s="267">
        <v>291973</v>
      </c>
      <c r="L66" s="58"/>
    </row>
    <row r="67" spans="1:12" ht="12.75">
      <c r="A67" s="187" t="s">
        <v>411</v>
      </c>
      <c r="B67" s="269"/>
      <c r="C67" s="269"/>
      <c r="D67" s="269"/>
      <c r="E67" s="269"/>
      <c r="F67" s="269"/>
      <c r="G67" s="269"/>
      <c r="H67" s="267"/>
      <c r="I67" s="267"/>
      <c r="J67" s="300"/>
      <c r="K67" s="267">
        <v>35318</v>
      </c>
      <c r="L67" s="58"/>
    </row>
    <row r="68" spans="1:12" ht="12.75">
      <c r="A68" s="199" t="s">
        <v>1</v>
      </c>
      <c r="B68" s="269">
        <f>SUM(C68:D68)</f>
        <v>0</v>
      </c>
      <c r="C68" s="269"/>
      <c r="D68" s="269"/>
      <c r="E68" s="269"/>
      <c r="F68" s="269"/>
      <c r="G68" s="269"/>
      <c r="H68" s="269"/>
      <c r="I68" s="269">
        <v>105152</v>
      </c>
      <c r="J68" s="334">
        <v>270852</v>
      </c>
      <c r="K68" s="269">
        <f>SUM(K66:K67)</f>
        <v>327291</v>
      </c>
      <c r="L68" s="99"/>
    </row>
    <row r="69" spans="1:12" ht="6" customHeight="1">
      <c r="A69" s="162"/>
      <c r="B69" s="162"/>
      <c r="C69" s="162"/>
      <c r="D69" s="162"/>
      <c r="E69" s="162"/>
      <c r="F69" s="162"/>
      <c r="G69" s="162"/>
      <c r="I69" s="142"/>
      <c r="J69" s="142"/>
      <c r="K69" s="142"/>
      <c r="L69" s="99"/>
    </row>
    <row r="70" spans="1:12" ht="12.75">
      <c r="A70" s="162" t="s">
        <v>10</v>
      </c>
      <c r="B70" s="58"/>
      <c r="C70" s="58"/>
      <c r="D70" s="58"/>
      <c r="E70" s="58"/>
      <c r="F70" s="58"/>
      <c r="G70" s="58" t="s">
        <v>13</v>
      </c>
      <c r="H70" s="58" t="s">
        <v>13</v>
      </c>
      <c r="I70" s="58" t="s">
        <v>13</v>
      </c>
      <c r="J70" s="58" t="s">
        <v>13</v>
      </c>
      <c r="K70" s="58" t="s">
        <v>13</v>
      </c>
      <c r="L70" s="58"/>
    </row>
    <row r="71" spans="1:12" ht="12.75">
      <c r="A71" s="187" t="s">
        <v>287</v>
      </c>
      <c r="B71" s="269"/>
      <c r="C71" s="269"/>
      <c r="D71" s="269"/>
      <c r="E71" s="269"/>
      <c r="F71" s="269"/>
      <c r="G71" s="269"/>
      <c r="H71" s="267"/>
      <c r="I71" s="267"/>
      <c r="J71" s="300"/>
      <c r="K71" s="267">
        <v>5426910</v>
      </c>
      <c r="L71" s="58"/>
    </row>
    <row r="72" spans="1:12" ht="12.75">
      <c r="A72" s="187" t="s">
        <v>411</v>
      </c>
      <c r="B72" s="269"/>
      <c r="C72" s="269"/>
      <c r="D72" s="269"/>
      <c r="E72" s="269"/>
      <c r="F72" s="269"/>
      <c r="G72" s="269"/>
      <c r="H72" s="267"/>
      <c r="I72" s="267"/>
      <c r="J72" s="300"/>
      <c r="K72" s="267">
        <v>423816</v>
      </c>
      <c r="L72" s="58"/>
    </row>
    <row r="73" spans="1:12" ht="12.75">
      <c r="A73" s="199" t="s">
        <v>1</v>
      </c>
      <c r="B73" s="269">
        <f>SUM(C73:D73)</f>
        <v>0</v>
      </c>
      <c r="C73" s="269"/>
      <c r="D73" s="269"/>
      <c r="E73" s="269"/>
      <c r="F73" s="269"/>
      <c r="G73" s="269"/>
      <c r="H73" s="269"/>
      <c r="I73" s="269">
        <v>1738786</v>
      </c>
      <c r="J73" s="334">
        <v>4620736</v>
      </c>
      <c r="K73" s="269">
        <f>SUM(K71:K72)</f>
        <v>5850726</v>
      </c>
      <c r="L73" s="99"/>
    </row>
    <row r="75" spans="1:5" ht="12.75">
      <c r="A75" s="350" t="s">
        <v>413</v>
      </c>
      <c r="E75" s="350"/>
    </row>
    <row r="76" spans="1:5" ht="12.75">
      <c r="A76" s="155" t="s">
        <v>416</v>
      </c>
      <c r="E76" s="155"/>
    </row>
    <row r="77" spans="1:11" ht="12.75">
      <c r="A77" s="251" t="s">
        <v>414</v>
      </c>
      <c r="B77" s="153" t="s">
        <v>8</v>
      </c>
      <c r="C77" s="153" t="s">
        <v>8</v>
      </c>
      <c r="D77" s="153" t="s">
        <v>8</v>
      </c>
      <c r="E77" s="153" t="s">
        <v>8</v>
      </c>
      <c r="F77" s="153" t="s">
        <v>8</v>
      </c>
      <c r="G77" s="153" t="s">
        <v>8</v>
      </c>
      <c r="H77" s="153" t="s">
        <v>8</v>
      </c>
      <c r="I77" s="153" t="s">
        <v>8</v>
      </c>
      <c r="J77" s="153" t="s">
        <v>8</v>
      </c>
      <c r="K77" s="153" t="s">
        <v>8</v>
      </c>
    </row>
    <row r="78" spans="1:11" ht="12.75">
      <c r="A78" s="187" t="s">
        <v>411</v>
      </c>
      <c r="B78" s="269"/>
      <c r="C78" s="269"/>
      <c r="D78" s="269"/>
      <c r="E78" s="269"/>
      <c r="F78" s="269"/>
      <c r="G78" s="269"/>
      <c r="H78" s="267"/>
      <c r="I78" s="267"/>
      <c r="J78" s="300"/>
      <c r="K78" s="267">
        <v>17520</v>
      </c>
    </row>
    <row r="79" ht="6" customHeight="1">
      <c r="A79" s="353"/>
    </row>
    <row r="80" spans="1:11" ht="12.75">
      <c r="A80" s="151" t="s">
        <v>415</v>
      </c>
      <c r="B80" s="153" t="s">
        <v>8</v>
      </c>
      <c r="C80" s="153" t="s">
        <v>8</v>
      </c>
      <c r="D80" s="153" t="s">
        <v>8</v>
      </c>
      <c r="E80" s="153" t="s">
        <v>8</v>
      </c>
      <c r="F80" s="153" t="s">
        <v>8</v>
      </c>
      <c r="G80" s="153" t="s">
        <v>8</v>
      </c>
      <c r="H80" s="153" t="s">
        <v>8</v>
      </c>
      <c r="I80" s="153" t="s">
        <v>8</v>
      </c>
      <c r="J80" s="153" t="s">
        <v>8</v>
      </c>
      <c r="K80" s="153" t="s">
        <v>8</v>
      </c>
    </row>
    <row r="81" spans="1:11" ht="12.75">
      <c r="A81" s="187" t="s">
        <v>411</v>
      </c>
      <c r="B81" s="269"/>
      <c r="C81" s="269"/>
      <c r="D81" s="269"/>
      <c r="E81" s="269"/>
      <c r="F81" s="269"/>
      <c r="G81" s="269"/>
      <c r="H81" s="267"/>
      <c r="I81" s="267"/>
      <c r="J81" s="300"/>
      <c r="K81" s="267">
        <v>210240</v>
      </c>
    </row>
    <row r="82" ht="6" customHeight="1"/>
    <row r="83" spans="1:11" ht="12.75">
      <c r="A83" s="151" t="s">
        <v>133</v>
      </c>
      <c r="B83" s="153" t="s">
        <v>11</v>
      </c>
      <c r="C83" s="153" t="s">
        <v>11</v>
      </c>
      <c r="D83" s="153" t="s">
        <v>11</v>
      </c>
      <c r="E83" s="153" t="s">
        <v>11</v>
      </c>
      <c r="F83" s="153" t="s">
        <v>11</v>
      </c>
      <c r="G83" s="153" t="s">
        <v>11</v>
      </c>
      <c r="H83" s="153" t="s">
        <v>11</v>
      </c>
      <c r="I83" s="153" t="s">
        <v>11</v>
      </c>
      <c r="J83" s="153" t="s">
        <v>11</v>
      </c>
      <c r="K83" s="153" t="s">
        <v>11</v>
      </c>
    </row>
    <row r="84" spans="1:11" ht="12.75">
      <c r="A84" s="187" t="s">
        <v>411</v>
      </c>
      <c r="B84" s="269"/>
      <c r="C84" s="269"/>
      <c r="D84" s="269"/>
      <c r="E84" s="269"/>
      <c r="F84" s="269"/>
      <c r="G84" s="269"/>
      <c r="H84" s="267"/>
      <c r="I84" s="267"/>
      <c r="J84" s="300"/>
      <c r="K84" s="267">
        <v>2000</v>
      </c>
    </row>
    <row r="86" ht="12.75">
      <c r="A86" s="161" t="s">
        <v>417</v>
      </c>
    </row>
    <row r="87" spans="1:11" ht="12.75">
      <c r="A87" s="151" t="s">
        <v>414</v>
      </c>
      <c r="B87" s="153" t="s">
        <v>8</v>
      </c>
      <c r="C87" s="153" t="s">
        <v>8</v>
      </c>
      <c r="D87" s="153" t="s">
        <v>8</v>
      </c>
      <c r="E87" s="153" t="s">
        <v>8</v>
      </c>
      <c r="F87" s="153" t="s">
        <v>8</v>
      </c>
      <c r="G87" s="153" t="s">
        <v>8</v>
      </c>
      <c r="H87" s="153" t="s">
        <v>8</v>
      </c>
      <c r="I87" s="153" t="s">
        <v>8</v>
      </c>
      <c r="J87" s="153" t="s">
        <v>8</v>
      </c>
      <c r="K87" s="153" t="s">
        <v>8</v>
      </c>
    </row>
    <row r="88" spans="1:11" ht="12.75">
      <c r="A88" s="187" t="s">
        <v>411</v>
      </c>
      <c r="B88" s="269"/>
      <c r="C88" s="269"/>
      <c r="D88" s="269"/>
      <c r="E88" s="269"/>
      <c r="F88" s="269"/>
      <c r="G88" s="269"/>
      <c r="H88" s="267"/>
      <c r="I88" s="267"/>
      <c r="J88" s="300"/>
      <c r="K88" s="267">
        <v>7952</v>
      </c>
    </row>
    <row r="89" ht="6" customHeight="1"/>
    <row r="90" spans="1:11" ht="12.75">
      <c r="A90" s="151" t="s">
        <v>415</v>
      </c>
      <c r="B90" s="153" t="s">
        <v>8</v>
      </c>
      <c r="C90" s="153" t="s">
        <v>8</v>
      </c>
      <c r="D90" s="153" t="s">
        <v>8</v>
      </c>
      <c r="E90" s="153" t="s">
        <v>8</v>
      </c>
      <c r="F90" s="153" t="s">
        <v>8</v>
      </c>
      <c r="G90" s="153" t="s">
        <v>8</v>
      </c>
      <c r="H90" s="153" t="s">
        <v>8</v>
      </c>
      <c r="I90" s="153" t="s">
        <v>8</v>
      </c>
      <c r="J90" s="153" t="s">
        <v>8</v>
      </c>
      <c r="K90" s="153" t="s">
        <v>8</v>
      </c>
    </row>
    <row r="91" spans="1:11" ht="12.75">
      <c r="A91" s="187" t="s">
        <v>411</v>
      </c>
      <c r="B91" s="269"/>
      <c r="C91" s="269"/>
      <c r="D91" s="269"/>
      <c r="E91" s="269"/>
      <c r="F91" s="269"/>
      <c r="G91" s="269"/>
      <c r="H91" s="267"/>
      <c r="I91" s="267"/>
      <c r="J91" s="300"/>
      <c r="K91" s="267">
        <v>95419</v>
      </c>
    </row>
    <row r="92" ht="6" customHeight="1"/>
    <row r="93" spans="1:11" ht="12.75">
      <c r="A93" s="151" t="s">
        <v>133</v>
      </c>
      <c r="B93" s="153" t="s">
        <v>11</v>
      </c>
      <c r="C93" s="153" t="s">
        <v>11</v>
      </c>
      <c r="D93" s="153" t="s">
        <v>11</v>
      </c>
      <c r="E93" s="153" t="s">
        <v>11</v>
      </c>
      <c r="F93" s="153" t="s">
        <v>11</v>
      </c>
      <c r="G93" s="153" t="s">
        <v>11</v>
      </c>
      <c r="H93" s="153" t="s">
        <v>11</v>
      </c>
      <c r="I93" s="153" t="s">
        <v>11</v>
      </c>
      <c r="J93" s="153" t="s">
        <v>11</v>
      </c>
      <c r="K93" s="153" t="s">
        <v>11</v>
      </c>
    </row>
    <row r="94" spans="1:11" ht="12.75">
      <c r="A94" s="187" t="s">
        <v>411</v>
      </c>
      <c r="B94" s="269"/>
      <c r="C94" s="269"/>
      <c r="D94" s="269"/>
      <c r="E94" s="269"/>
      <c r="F94" s="269"/>
      <c r="G94" s="269"/>
      <c r="H94" s="267"/>
      <c r="I94" s="267"/>
      <c r="J94" s="300"/>
      <c r="K94" s="267">
        <v>1795</v>
      </c>
    </row>
    <row r="95" ht="12.75">
      <c r="A95" s="348" t="str">
        <f>A46</f>
        <v>* These columns/years have been hidden in this worksheet for viewing &amp; printing purposes</v>
      </c>
    </row>
  </sheetData>
  <sheetProtection/>
  <mergeCells count="1">
    <mergeCell ref="A1:L1"/>
  </mergeCells>
  <printOptions/>
  <pageMargins left="0.55" right="0.49" top="0.57" bottom="0.53" header="0.5" footer="0.22"/>
  <pageSetup fitToHeight="0" fitToWidth="0" horizontalDpi="600" verticalDpi="600" orientation="landscape" scale="86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5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4.00390625" style="0" customWidth="1"/>
    <col min="2" max="4" width="14.421875" style="0" customWidth="1"/>
    <col min="5" max="5" width="13.7109375" style="0" customWidth="1"/>
  </cols>
  <sheetData>
    <row r="1" spans="1:5" ht="15.75">
      <c r="A1" s="386" t="s">
        <v>285</v>
      </c>
      <c r="B1" s="386"/>
      <c r="C1" s="386"/>
      <c r="D1" s="386"/>
      <c r="E1" s="386"/>
    </row>
    <row r="3" spans="1:5" ht="24">
      <c r="A3" s="30" t="s">
        <v>255</v>
      </c>
      <c r="B3" s="25">
        <v>2010</v>
      </c>
      <c r="C3" s="25">
        <v>2011</v>
      </c>
      <c r="D3" s="128" t="s">
        <v>423</v>
      </c>
      <c r="E3" s="25" t="s">
        <v>1</v>
      </c>
    </row>
    <row r="4" spans="1:5" ht="12.75">
      <c r="A4" s="16"/>
      <c r="B4" s="231">
        <v>4966134.6</v>
      </c>
      <c r="C4" s="231">
        <v>7471645.96</v>
      </c>
      <c r="D4" s="232">
        <v>7610817.58</v>
      </c>
      <c r="E4" s="231">
        <f>SUM(B4:D4)</f>
        <v>20048598.14</v>
      </c>
    </row>
    <row r="5" spans="1:5" ht="6" customHeight="1">
      <c r="A5" s="21"/>
      <c r="B5" s="103"/>
      <c r="C5" s="103"/>
      <c r="D5" s="141"/>
      <c r="E5" s="103"/>
    </row>
    <row r="6" spans="1:5" ht="12.75">
      <c r="A6" s="30" t="s">
        <v>256</v>
      </c>
      <c r="B6" s="103"/>
      <c r="C6" s="103"/>
      <c r="D6" s="141"/>
      <c r="E6" s="103"/>
    </row>
    <row r="7" spans="1:5" ht="12.75">
      <c r="A7" s="16" t="s">
        <v>24</v>
      </c>
      <c r="B7" s="293">
        <v>494488.64</v>
      </c>
      <c r="C7" s="293">
        <v>478711.08</v>
      </c>
      <c r="D7" s="294">
        <v>1345542.12</v>
      </c>
      <c r="E7" s="311">
        <f>SUM(B7:D7)</f>
        <v>2318741.84</v>
      </c>
    </row>
    <row r="8" spans="1:5" ht="12.75">
      <c r="A8" s="16" t="s">
        <v>23</v>
      </c>
      <c r="B8" s="293"/>
      <c r="C8" s="293">
        <v>1083760</v>
      </c>
      <c r="D8" s="294">
        <v>3021189.2</v>
      </c>
      <c r="E8" s="310"/>
    </row>
    <row r="9" spans="1:5" ht="12.75">
      <c r="A9" s="16" t="s">
        <v>1</v>
      </c>
      <c r="B9" s="296"/>
      <c r="C9" s="296">
        <f>SUM(C7:C8)</f>
        <v>1562471.08</v>
      </c>
      <c r="D9" s="296">
        <f>SUM(D7:D8)</f>
        <v>4366731.32</v>
      </c>
      <c r="E9" s="310"/>
    </row>
    <row r="10" spans="1:5" ht="6" customHeight="1">
      <c r="A10" s="43"/>
      <c r="B10" s="122"/>
      <c r="C10" s="122"/>
      <c r="D10" s="122"/>
      <c r="E10" s="122"/>
    </row>
    <row r="11" ht="12.75">
      <c r="A11" s="43" t="s">
        <v>167</v>
      </c>
    </row>
    <row r="12" spans="1:5" ht="12.75">
      <c r="A12" s="19" t="s">
        <v>283</v>
      </c>
      <c r="B12" s="261">
        <v>0</v>
      </c>
      <c r="C12" s="261">
        <v>6</v>
      </c>
      <c r="D12" s="271">
        <v>10</v>
      </c>
      <c r="E12" s="261">
        <f>SUM(B12:D12)</f>
        <v>16</v>
      </c>
    </row>
    <row r="13" spans="1:5" ht="12.75">
      <c r="A13" s="19" t="s">
        <v>284</v>
      </c>
      <c r="B13" s="261">
        <v>0</v>
      </c>
      <c r="C13" s="261">
        <v>0</v>
      </c>
      <c r="D13" s="333">
        <v>1</v>
      </c>
      <c r="E13" s="261">
        <f>SUM(B13:D13)</f>
        <v>1</v>
      </c>
    </row>
    <row r="14" spans="1:5" ht="12.75">
      <c r="A14" s="16" t="s">
        <v>1</v>
      </c>
      <c r="B14" s="260">
        <f>SUM(B12:B13)</f>
        <v>0</v>
      </c>
      <c r="C14" s="260">
        <f>SUM(C12:C13)</f>
        <v>6</v>
      </c>
      <c r="D14" s="260">
        <f>SUM(D12:D13)</f>
        <v>11</v>
      </c>
      <c r="E14" s="260">
        <f>SUM(B14:D14)</f>
        <v>17</v>
      </c>
    </row>
    <row r="15" spans="1:5" ht="6" customHeight="1">
      <c r="A15" s="43"/>
      <c r="B15" s="24"/>
      <c r="C15" s="24"/>
      <c r="D15" s="24"/>
      <c r="E15" s="24"/>
    </row>
    <row r="16" ht="12.75">
      <c r="A16" s="43" t="s">
        <v>211</v>
      </c>
    </row>
    <row r="17" spans="1:6" ht="12.75">
      <c r="A17" s="16"/>
      <c r="B17" s="271">
        <v>13</v>
      </c>
      <c r="C17" s="271"/>
      <c r="D17" s="271">
        <v>1</v>
      </c>
      <c r="E17" s="24"/>
      <c r="F17" s="132"/>
    </row>
    <row r="18" spans="1:5" ht="12.75">
      <c r="A18" s="43"/>
      <c r="B18" s="24"/>
      <c r="C18" s="24"/>
      <c r="D18" s="24"/>
      <c r="E18" s="24"/>
    </row>
    <row r="19" spans="1:5" ht="25.5">
      <c r="A19" s="43" t="s">
        <v>289</v>
      </c>
      <c r="B19" s="25">
        <v>2010</v>
      </c>
      <c r="C19" s="25">
        <v>2011</v>
      </c>
      <c r="D19" s="82" t="str">
        <f>D3</f>
        <v>(18 month)
2012-2013</v>
      </c>
      <c r="E19" s="25" t="s">
        <v>1</v>
      </c>
    </row>
    <row r="20" ht="12.75">
      <c r="A20" s="43" t="s">
        <v>132</v>
      </c>
    </row>
    <row r="21" spans="1:5" ht="12.75">
      <c r="A21" s="21" t="s">
        <v>14</v>
      </c>
      <c r="B21" s="40" t="s">
        <v>8</v>
      </c>
      <c r="C21" s="40" t="s">
        <v>8</v>
      </c>
      <c r="D21" s="40" t="s">
        <v>8</v>
      </c>
      <c r="E21" s="40" t="s">
        <v>8</v>
      </c>
    </row>
    <row r="22" spans="1:5" ht="12.75">
      <c r="A22" s="77"/>
      <c r="B22" s="261"/>
      <c r="C22" s="261">
        <v>0</v>
      </c>
      <c r="D22" s="261">
        <v>0</v>
      </c>
      <c r="E22" s="261">
        <f>SUM(B22:D22)</f>
        <v>0</v>
      </c>
    </row>
    <row r="23" spans="1:5" ht="6" customHeight="1">
      <c r="A23" s="136"/>
      <c r="B23" s="23"/>
      <c r="C23" s="23"/>
      <c r="D23" s="23"/>
      <c r="E23" s="23"/>
    </row>
    <row r="24" spans="1:5" ht="12.75">
      <c r="A24" s="136" t="s">
        <v>10</v>
      </c>
      <c r="B24" s="44" t="s">
        <v>8</v>
      </c>
      <c r="C24" s="44" t="s">
        <v>8</v>
      </c>
      <c r="D24" s="44" t="s">
        <v>8</v>
      </c>
      <c r="E24" s="44" t="s">
        <v>8</v>
      </c>
    </row>
    <row r="25" spans="1:5" ht="12.75">
      <c r="A25" s="77"/>
      <c r="B25" s="261"/>
      <c r="C25" s="261">
        <v>0</v>
      </c>
      <c r="D25" s="261">
        <v>0</v>
      </c>
      <c r="E25" s="261">
        <f>SUM(B25:D25)</f>
        <v>0</v>
      </c>
    </row>
    <row r="26" spans="1:5" ht="6" customHeight="1">
      <c r="A26" s="136"/>
      <c r="B26" s="23"/>
      <c r="C26" s="23"/>
      <c r="D26" s="23"/>
      <c r="E26" s="23"/>
    </row>
    <row r="27" spans="1:5" ht="12.75">
      <c r="A27" s="136" t="s">
        <v>36</v>
      </c>
      <c r="B27" s="44" t="s">
        <v>11</v>
      </c>
      <c r="C27" s="44" t="s">
        <v>11</v>
      </c>
      <c r="D27" s="44" t="s">
        <v>11</v>
      </c>
      <c r="E27" s="44" t="s">
        <v>11</v>
      </c>
    </row>
    <row r="28" spans="1:5" ht="12.75">
      <c r="A28" s="77"/>
      <c r="B28" s="261"/>
      <c r="C28" s="261">
        <v>0</v>
      </c>
      <c r="D28" s="261">
        <v>0</v>
      </c>
      <c r="E28" s="261">
        <f>SUM(B28:D28)</f>
        <v>0</v>
      </c>
    </row>
    <row r="29" spans="1:5" ht="12.75">
      <c r="A29" s="46"/>
      <c r="B29" s="23"/>
      <c r="C29" s="23"/>
      <c r="D29" s="23"/>
      <c r="E29" s="23"/>
    </row>
    <row r="30" spans="1:5" ht="12.75">
      <c r="A30" s="79" t="s">
        <v>187</v>
      </c>
      <c r="B30" s="23"/>
      <c r="C30" s="23"/>
      <c r="D30" s="23"/>
      <c r="E30" s="23"/>
    </row>
    <row r="31" spans="1:5" ht="12.75">
      <c r="A31" s="136" t="s">
        <v>14</v>
      </c>
      <c r="B31" s="44" t="s">
        <v>13</v>
      </c>
      <c r="C31" s="44" t="s">
        <v>13</v>
      </c>
      <c r="D31" s="44" t="s">
        <v>13</v>
      </c>
      <c r="E31" s="44" t="s">
        <v>13</v>
      </c>
    </row>
    <row r="32" spans="1:5" ht="12.75">
      <c r="A32" s="77"/>
      <c r="B32" s="261"/>
      <c r="C32" s="261">
        <v>0</v>
      </c>
      <c r="D32" s="261">
        <v>0</v>
      </c>
      <c r="E32" s="261">
        <f>SUM(B32:D32)</f>
        <v>0</v>
      </c>
    </row>
    <row r="33" spans="1:5" ht="6" customHeight="1">
      <c r="A33" s="136"/>
      <c r="B33" s="23"/>
      <c r="C33" s="23"/>
      <c r="D33" s="23"/>
      <c r="E33" s="23"/>
    </row>
    <row r="34" spans="1:5" ht="12.75">
      <c r="A34" s="136" t="s">
        <v>10</v>
      </c>
      <c r="B34" s="44" t="s">
        <v>13</v>
      </c>
      <c r="C34" s="44" t="s">
        <v>13</v>
      </c>
      <c r="D34" s="44" t="s">
        <v>13</v>
      </c>
      <c r="E34" s="44" t="s">
        <v>13</v>
      </c>
    </row>
    <row r="35" spans="1:5" ht="12.75">
      <c r="A35" s="77"/>
      <c r="B35" s="261"/>
      <c r="C35" s="261">
        <v>0</v>
      </c>
      <c r="D35" s="261">
        <v>0</v>
      </c>
      <c r="E35" s="261">
        <f>SUM(B35:D35)</f>
        <v>0</v>
      </c>
    </row>
    <row r="36" spans="1:5" ht="12.75">
      <c r="A36" s="79"/>
      <c r="B36" s="62"/>
      <c r="C36" s="62"/>
      <c r="D36" s="62"/>
      <c r="E36" s="62"/>
    </row>
    <row r="37" spans="1:7" ht="24">
      <c r="A37" s="79" t="s">
        <v>140</v>
      </c>
      <c r="B37" s="25">
        <v>2010</v>
      </c>
      <c r="C37" s="25">
        <v>2011</v>
      </c>
      <c r="D37" s="128" t="str">
        <f>D3</f>
        <v>(18 month)
2012-2013</v>
      </c>
      <c r="E37" s="204"/>
      <c r="G37" s="88" t="s">
        <v>103</v>
      </c>
    </row>
    <row r="38" spans="1:5" ht="12.75">
      <c r="A38" s="79" t="s">
        <v>132</v>
      </c>
      <c r="B38" s="23"/>
      <c r="C38" s="23"/>
      <c r="D38" s="23"/>
      <c r="E38" s="62"/>
    </row>
    <row r="39" spans="1:5" ht="12.75">
      <c r="A39" s="136" t="s">
        <v>14</v>
      </c>
      <c r="B39" s="44" t="s">
        <v>8</v>
      </c>
      <c r="C39" s="44" t="s">
        <v>8</v>
      </c>
      <c r="D39" s="44" t="s">
        <v>8</v>
      </c>
      <c r="E39" s="44"/>
    </row>
    <row r="40" spans="1:5" ht="12.75">
      <c r="A40" s="77"/>
      <c r="B40" s="261"/>
      <c r="C40" s="261">
        <v>6352</v>
      </c>
      <c r="D40" s="271">
        <v>2147</v>
      </c>
      <c r="E40" s="62"/>
    </row>
    <row r="41" spans="1:5" ht="6" customHeight="1">
      <c r="A41" s="136"/>
      <c r="B41" s="23"/>
      <c r="C41" s="23"/>
      <c r="D41" s="142"/>
      <c r="E41" s="62"/>
    </row>
    <row r="42" spans="1:5" ht="12.75">
      <c r="A42" s="136" t="s">
        <v>10</v>
      </c>
      <c r="B42" s="44" t="s">
        <v>8</v>
      </c>
      <c r="C42" s="44" t="s">
        <v>8</v>
      </c>
      <c r="D42" s="58" t="s">
        <v>8</v>
      </c>
      <c r="E42" s="44"/>
    </row>
    <row r="43" spans="1:5" ht="12.75">
      <c r="A43" s="77"/>
      <c r="B43" s="261"/>
      <c r="C43" s="261">
        <v>112356</v>
      </c>
      <c r="D43" s="271">
        <v>33006</v>
      </c>
      <c r="E43" s="62"/>
    </row>
    <row r="44" spans="1:5" ht="6" customHeight="1">
      <c r="A44" s="136"/>
      <c r="B44" s="23"/>
      <c r="C44" s="23"/>
      <c r="D44" s="142"/>
      <c r="E44" s="62"/>
    </row>
    <row r="45" spans="1:5" ht="12.75">
      <c r="A45" s="136" t="s">
        <v>36</v>
      </c>
      <c r="B45" s="44" t="s">
        <v>11</v>
      </c>
      <c r="C45" s="44" t="s">
        <v>11</v>
      </c>
      <c r="D45" s="58" t="s">
        <v>11</v>
      </c>
      <c r="E45" s="44"/>
    </row>
    <row r="46" spans="1:5" ht="12.75">
      <c r="A46" s="77"/>
      <c r="B46" s="261"/>
      <c r="C46" s="261">
        <v>1288</v>
      </c>
      <c r="D46" s="271">
        <v>200</v>
      </c>
      <c r="E46" s="62"/>
    </row>
    <row r="47" spans="1:5" ht="12.75">
      <c r="A47" s="46"/>
      <c r="B47" s="23"/>
      <c r="C47" s="23"/>
      <c r="D47" s="142"/>
      <c r="E47" s="62"/>
    </row>
    <row r="48" spans="1:5" ht="12.75">
      <c r="A48" s="79" t="s">
        <v>187</v>
      </c>
      <c r="B48" s="23"/>
      <c r="C48" s="23"/>
      <c r="D48" s="142"/>
      <c r="E48" s="62"/>
    </row>
    <row r="49" spans="1:5" ht="12.75">
      <c r="A49" s="136" t="s">
        <v>14</v>
      </c>
      <c r="B49" s="44" t="s">
        <v>13</v>
      </c>
      <c r="C49" s="44" t="s">
        <v>13</v>
      </c>
      <c r="D49" s="58" t="s">
        <v>13</v>
      </c>
      <c r="E49" s="44"/>
    </row>
    <row r="50" spans="1:5" ht="12.75">
      <c r="A50" s="77"/>
      <c r="B50" s="261"/>
      <c r="C50" s="261">
        <v>7716</v>
      </c>
      <c r="D50" s="271">
        <v>9247</v>
      </c>
      <c r="E50" s="62"/>
    </row>
    <row r="51" spans="1:5" ht="6" customHeight="1">
      <c r="A51" s="136"/>
      <c r="B51" s="23"/>
      <c r="C51" s="23"/>
      <c r="D51" s="142"/>
      <c r="E51" s="62"/>
    </row>
    <row r="52" spans="1:5" ht="12.75">
      <c r="A52" s="136" t="s">
        <v>10</v>
      </c>
      <c r="B52" s="44" t="s">
        <v>13</v>
      </c>
      <c r="C52" s="44" t="s">
        <v>13</v>
      </c>
      <c r="D52" s="58" t="s">
        <v>13</v>
      </c>
      <c r="E52" s="44"/>
    </row>
    <row r="53" spans="1:5" ht="12.75">
      <c r="A53" s="77"/>
      <c r="B53" s="261"/>
      <c r="C53" s="261">
        <v>223315</v>
      </c>
      <c r="D53" s="271">
        <v>254619</v>
      </c>
      <c r="E53" s="62"/>
    </row>
    <row r="54" spans="1:5" ht="12.75">
      <c r="A54" s="23"/>
      <c r="B54" s="23"/>
      <c r="C54" s="23"/>
      <c r="D54" s="23"/>
      <c r="E54" s="23"/>
    </row>
  </sheetData>
  <sheetProtection/>
  <mergeCells count="1">
    <mergeCell ref="A1:E1"/>
  </mergeCells>
  <printOptions/>
  <pageMargins left="0.55" right="0.57" top="0.62" bottom="0.59" header="0.5" footer="0.31"/>
  <pageSetup fitToHeight="1" fitToWidth="1" horizontalDpi="600" verticalDpi="600" orientation="landscape" scale="83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P68"/>
  <sheetViews>
    <sheetView workbookViewId="0" topLeftCell="A1">
      <selection activeCell="A1" sqref="A1:O1"/>
    </sheetView>
  </sheetViews>
  <sheetFormatPr defaultColWidth="9.140625" defaultRowHeight="12.75"/>
  <cols>
    <col min="1" max="1" width="30.00390625" style="0" customWidth="1"/>
    <col min="2" max="2" width="15.421875" style="0" bestFit="1" customWidth="1"/>
    <col min="3" max="3" width="11.8515625" style="0" hidden="1" customWidth="1"/>
    <col min="4" max="4" width="13.00390625" style="0" hidden="1" customWidth="1"/>
    <col min="5" max="5" width="12.57421875" style="0" hidden="1" customWidth="1"/>
    <col min="6" max="6" width="13.28125" style="0" hidden="1" customWidth="1"/>
    <col min="7" max="7" width="12.140625" style="0" hidden="1" customWidth="1"/>
    <col min="8" max="14" width="15.421875" style="0" bestFit="1" customWidth="1"/>
    <col min="15" max="15" width="14.00390625" style="0" customWidth="1"/>
    <col min="16" max="16" width="10.140625" style="0" bestFit="1" customWidth="1"/>
  </cols>
  <sheetData>
    <row r="1" spans="1:15" ht="12.75">
      <c r="A1" s="378" t="s">
        <v>78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2.75">
      <c r="A2" s="378" t="s">
        <v>441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</row>
    <row r="3" spans="1:15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27">
      <c r="A4" s="24"/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07" t="s">
        <v>439</v>
      </c>
      <c r="O4" s="28"/>
    </row>
    <row r="5" spans="1:15" ht="12.75">
      <c r="A5" s="14" t="s">
        <v>337</v>
      </c>
      <c r="B5" s="252">
        <f>SUM(C5:G5)</f>
        <v>825901000</v>
      </c>
      <c r="C5" s="252">
        <f>C17</f>
        <v>114882000</v>
      </c>
      <c r="D5" s="252">
        <f aca="true" t="shared" si="0" ref="D5:M5">D17</f>
        <v>132686000</v>
      </c>
      <c r="E5" s="252">
        <f t="shared" si="0"/>
        <v>137138000</v>
      </c>
      <c r="F5" s="252">
        <f t="shared" si="0"/>
        <v>197340000</v>
      </c>
      <c r="G5" s="252">
        <f t="shared" si="0"/>
        <v>243855000</v>
      </c>
      <c r="H5" s="252">
        <f t="shared" si="0"/>
        <v>309114000</v>
      </c>
      <c r="I5" s="252">
        <f t="shared" si="0"/>
        <v>349555000</v>
      </c>
      <c r="J5" s="252">
        <f t="shared" si="0"/>
        <v>419491000</v>
      </c>
      <c r="K5" s="252">
        <f t="shared" si="0"/>
        <v>525380811.39</v>
      </c>
      <c r="L5" s="252">
        <f t="shared" si="0"/>
        <v>460728352.16999996</v>
      </c>
      <c r="M5" s="252">
        <f t="shared" si="0"/>
        <v>506323547.37</v>
      </c>
      <c r="N5" s="252">
        <f>N17</f>
        <v>511366306.14</v>
      </c>
      <c r="O5" s="33"/>
    </row>
    <row r="6" spans="1:15" ht="12.75">
      <c r="A6" s="190" t="s">
        <v>308</v>
      </c>
      <c r="B6" s="253">
        <f>SUM(C6:G6)</f>
        <v>487339542</v>
      </c>
      <c r="C6" s="253">
        <f>C25</f>
        <v>57555000</v>
      </c>
      <c r="D6" s="253">
        <f aca="true" t="shared" si="1" ref="D6:M6">D25</f>
        <v>99904000</v>
      </c>
      <c r="E6" s="253">
        <f t="shared" si="1"/>
        <v>97786000</v>
      </c>
      <c r="F6" s="253">
        <f t="shared" si="1"/>
        <v>107502000</v>
      </c>
      <c r="G6" s="253">
        <f t="shared" si="1"/>
        <v>124592542</v>
      </c>
      <c r="H6" s="253">
        <f t="shared" si="1"/>
        <v>171197000</v>
      </c>
      <c r="I6" s="253">
        <f t="shared" si="1"/>
        <v>176811000</v>
      </c>
      <c r="J6" s="253">
        <f t="shared" si="1"/>
        <v>147550000</v>
      </c>
      <c r="K6" s="253">
        <f t="shared" si="1"/>
        <v>178164199.73</v>
      </c>
      <c r="L6" s="253">
        <f t="shared" si="1"/>
        <v>219585204.35999998</v>
      </c>
      <c r="M6" s="253">
        <f t="shared" si="1"/>
        <v>191875940.36</v>
      </c>
      <c r="N6" s="253">
        <f>N25</f>
        <v>277843944.14</v>
      </c>
      <c r="O6" s="179"/>
    </row>
    <row r="7" spans="1:15" ht="12.75">
      <c r="A7" s="16" t="s">
        <v>338</v>
      </c>
      <c r="B7" s="253">
        <f>SUM(C7:G7)</f>
        <v>528364000</v>
      </c>
      <c r="C7" s="253">
        <f aca="true" t="shared" si="2" ref="C7:N7">C33</f>
        <v>22207000</v>
      </c>
      <c r="D7" s="253">
        <f t="shared" si="2"/>
        <v>51454000</v>
      </c>
      <c r="E7" s="253">
        <f t="shared" si="2"/>
        <v>79453000</v>
      </c>
      <c r="F7" s="253">
        <f t="shared" si="2"/>
        <v>165230000</v>
      </c>
      <c r="G7" s="253">
        <f t="shared" si="2"/>
        <v>210020000</v>
      </c>
      <c r="H7" s="253">
        <f t="shared" si="2"/>
        <v>164134000</v>
      </c>
      <c r="I7" s="253">
        <f t="shared" si="2"/>
        <v>115348000</v>
      </c>
      <c r="J7" s="253">
        <f t="shared" si="2"/>
        <v>155425000</v>
      </c>
      <c r="K7" s="253">
        <f t="shared" si="2"/>
        <v>167687937.8</v>
      </c>
      <c r="L7" s="253">
        <f t="shared" si="2"/>
        <v>141768354.47</v>
      </c>
      <c r="M7" s="253">
        <f t="shared" si="2"/>
        <v>124590088.59</v>
      </c>
      <c r="N7" s="253">
        <f t="shared" si="2"/>
        <v>135449403.45</v>
      </c>
      <c r="O7" s="179"/>
    </row>
    <row r="8" spans="1:15" ht="16.5" customHeight="1">
      <c r="A8" s="176" t="s">
        <v>339</v>
      </c>
      <c r="B8" s="253">
        <f>SUM(C8:G8)</f>
        <v>1015703542</v>
      </c>
      <c r="C8" s="253">
        <f>C6+C7</f>
        <v>79762000</v>
      </c>
      <c r="D8" s="253">
        <f aca="true" t="shared" si="3" ref="D8:M8">D6+D7</f>
        <v>151358000</v>
      </c>
      <c r="E8" s="253">
        <f t="shared" si="3"/>
        <v>177239000</v>
      </c>
      <c r="F8" s="253">
        <f t="shared" si="3"/>
        <v>272732000</v>
      </c>
      <c r="G8" s="253">
        <f t="shared" si="3"/>
        <v>334612542</v>
      </c>
      <c r="H8" s="253">
        <f t="shared" si="3"/>
        <v>335331000</v>
      </c>
      <c r="I8" s="253">
        <f t="shared" si="3"/>
        <v>292159000</v>
      </c>
      <c r="J8" s="253">
        <f t="shared" si="3"/>
        <v>302975000</v>
      </c>
      <c r="K8" s="253">
        <f t="shared" si="3"/>
        <v>345852137.53</v>
      </c>
      <c r="L8" s="253">
        <f t="shared" si="3"/>
        <v>361353558.83</v>
      </c>
      <c r="M8" s="253">
        <f t="shared" si="3"/>
        <v>316466028.95000005</v>
      </c>
      <c r="N8" s="253">
        <f>N6+N7</f>
        <v>413293347.59</v>
      </c>
      <c r="O8" s="179"/>
    </row>
    <row r="9" spans="1:15" ht="25.5">
      <c r="A9" s="176" t="s">
        <v>340</v>
      </c>
      <c r="B9" s="177">
        <f>B8/B5</f>
        <v>1.2298127039439353</v>
      </c>
      <c r="C9" s="177">
        <f>C8/C5</f>
        <v>0.6942950157552967</v>
      </c>
      <c r="D9" s="177">
        <f aca="true" t="shared" si="4" ref="D9:M9">D8/D5</f>
        <v>1.1407232111903292</v>
      </c>
      <c r="E9" s="177">
        <f t="shared" si="4"/>
        <v>1.2924134813107964</v>
      </c>
      <c r="F9" s="177">
        <f t="shared" si="4"/>
        <v>1.3820411472585385</v>
      </c>
      <c r="G9" s="177">
        <f t="shared" si="4"/>
        <v>1.3721783108814665</v>
      </c>
      <c r="H9" s="177">
        <f t="shared" si="4"/>
        <v>1.0848133698247249</v>
      </c>
      <c r="I9" s="177">
        <f t="shared" si="4"/>
        <v>0.8358026633863055</v>
      </c>
      <c r="J9" s="177">
        <f t="shared" si="4"/>
        <v>0.7222443389727073</v>
      </c>
      <c r="K9" s="177">
        <f t="shared" si="4"/>
        <v>0.6582884833859444</v>
      </c>
      <c r="L9" s="177">
        <f t="shared" si="4"/>
        <v>0.7843093595782606</v>
      </c>
      <c r="M9" s="177">
        <f t="shared" si="4"/>
        <v>0.6250272786913067</v>
      </c>
      <c r="N9" s="177">
        <f>N8/N5</f>
        <v>0.8082138823531523</v>
      </c>
      <c r="O9" s="180"/>
    </row>
    <row r="10" spans="1:15" ht="12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25.5">
      <c r="A11" s="30" t="s">
        <v>337</v>
      </c>
      <c r="B11" s="207" t="str">
        <f>B4</f>
        <v>Summary 
2001 to 2005*</v>
      </c>
      <c r="C11" s="28">
        <v>2001</v>
      </c>
      <c r="D11" s="28">
        <v>2002</v>
      </c>
      <c r="E11" s="28">
        <v>2003</v>
      </c>
      <c r="F11" s="28">
        <v>2004</v>
      </c>
      <c r="G11" s="28">
        <v>2005</v>
      </c>
      <c r="H11" s="28">
        <v>2006</v>
      </c>
      <c r="I11" s="28">
        <v>2007</v>
      </c>
      <c r="J11" s="28">
        <v>2008</v>
      </c>
      <c r="K11" s="28">
        <v>2009</v>
      </c>
      <c r="L11" s="28">
        <v>2010</v>
      </c>
      <c r="M11" s="28">
        <v>2011</v>
      </c>
      <c r="N11" s="207" t="str">
        <f>N4</f>
        <v>(18 month)1
2012-2013</v>
      </c>
      <c r="O11" s="24"/>
    </row>
    <row r="12" spans="1:16" ht="12.75">
      <c r="A12" s="239" t="s">
        <v>98</v>
      </c>
      <c r="B12" s="255">
        <f aca="true" t="shared" si="5" ref="B12:B17">SUM(C12:G12)</f>
        <v>519626000</v>
      </c>
      <c r="C12" s="255">
        <v>86132000</v>
      </c>
      <c r="D12" s="255">
        <v>101316000</v>
      </c>
      <c r="E12" s="255">
        <v>101138000</v>
      </c>
      <c r="F12" s="255">
        <v>117290000</v>
      </c>
      <c r="G12" s="255">
        <v>113750000</v>
      </c>
      <c r="H12" s="255">
        <v>128645000</v>
      </c>
      <c r="I12" s="255">
        <v>159705000</v>
      </c>
      <c r="J12" s="255">
        <v>189928000</v>
      </c>
      <c r="K12" s="255">
        <v>265312926.03</v>
      </c>
      <c r="L12" s="255">
        <v>275568372.46</v>
      </c>
      <c r="M12" s="255">
        <v>325875452.17</v>
      </c>
      <c r="N12" s="256">
        <f>'2012-2013 Summary'!B4</f>
        <v>395313328.45</v>
      </c>
      <c r="O12" s="33"/>
      <c r="P12" t="s">
        <v>103</v>
      </c>
    </row>
    <row r="13" spans="1:15" ht="12.75">
      <c r="A13" s="239" t="s">
        <v>99</v>
      </c>
      <c r="B13" s="255">
        <f t="shared" si="5"/>
        <v>296100000</v>
      </c>
      <c r="C13" s="255">
        <v>28750000</v>
      </c>
      <c r="D13" s="255">
        <v>31370000</v>
      </c>
      <c r="E13" s="255">
        <v>36000000</v>
      </c>
      <c r="F13" s="255">
        <v>80050000</v>
      </c>
      <c r="G13" s="255">
        <v>119930000</v>
      </c>
      <c r="H13" s="255">
        <v>170562000</v>
      </c>
      <c r="I13" s="255">
        <v>175495000</v>
      </c>
      <c r="J13" s="255">
        <v>217763000</v>
      </c>
      <c r="K13" s="255">
        <v>250677103.54</v>
      </c>
      <c r="L13" s="255">
        <v>177346129.96</v>
      </c>
      <c r="M13" s="255">
        <v>90312891.01</v>
      </c>
      <c r="N13" s="256">
        <f>'2012-2013 Summary'!B5</f>
        <v>31031421.2</v>
      </c>
      <c r="O13" s="33"/>
    </row>
    <row r="14" spans="1:15" ht="12.75">
      <c r="A14" s="239" t="s">
        <v>327</v>
      </c>
      <c r="B14" s="255">
        <f t="shared" si="5"/>
        <v>0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>
        <v>57634153.38</v>
      </c>
      <c r="N14" s="256">
        <f>'2012-2013 Summary'!B6</f>
        <v>49045280.92</v>
      </c>
      <c r="O14" s="33"/>
    </row>
    <row r="15" spans="1:15" ht="12.75">
      <c r="A15" s="239" t="s">
        <v>121</v>
      </c>
      <c r="B15" s="255">
        <f t="shared" si="5"/>
        <v>10175000</v>
      </c>
      <c r="C15" s="255"/>
      <c r="D15" s="255"/>
      <c r="E15" s="255"/>
      <c r="F15" s="255"/>
      <c r="G15" s="255">
        <v>10175000</v>
      </c>
      <c r="H15" s="255">
        <v>9907000</v>
      </c>
      <c r="I15" s="255">
        <v>14355000</v>
      </c>
      <c r="J15" s="255">
        <v>11800000</v>
      </c>
      <c r="K15" s="255">
        <v>9390781.82</v>
      </c>
      <c r="L15" s="255">
        <v>7813849.75</v>
      </c>
      <c r="M15" s="255">
        <v>7501050.81</v>
      </c>
      <c r="N15" s="256">
        <f>'2012-2013 Summary'!B7</f>
        <v>14186401.28</v>
      </c>
      <c r="O15" s="33"/>
    </row>
    <row r="16" spans="1:15" ht="12.75">
      <c r="A16" s="239" t="s">
        <v>328</v>
      </c>
      <c r="B16" s="255">
        <f t="shared" si="5"/>
        <v>0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>
        <v>25000000</v>
      </c>
      <c r="N16" s="256">
        <f>'2012-2013 Summary'!B8</f>
        <v>21789874.29</v>
      </c>
      <c r="O16" s="33"/>
    </row>
    <row r="17" spans="1:15" ht="12.75">
      <c r="A17" s="14" t="s">
        <v>1</v>
      </c>
      <c r="B17" s="257">
        <f t="shared" si="5"/>
        <v>825901000</v>
      </c>
      <c r="C17" s="257">
        <f>SUM(C12:C16)</f>
        <v>114882000</v>
      </c>
      <c r="D17" s="257">
        <f aca="true" t="shared" si="6" ref="D17:M17">SUM(D12:D16)</f>
        <v>132686000</v>
      </c>
      <c r="E17" s="257">
        <f t="shared" si="6"/>
        <v>137138000</v>
      </c>
      <c r="F17" s="257">
        <f t="shared" si="6"/>
        <v>197340000</v>
      </c>
      <c r="G17" s="257">
        <f t="shared" si="6"/>
        <v>243855000</v>
      </c>
      <c r="H17" s="257">
        <f t="shared" si="6"/>
        <v>309114000</v>
      </c>
      <c r="I17" s="257">
        <f t="shared" si="6"/>
        <v>349555000</v>
      </c>
      <c r="J17" s="257">
        <f t="shared" si="6"/>
        <v>419491000</v>
      </c>
      <c r="K17" s="257">
        <f t="shared" si="6"/>
        <v>525380811.39</v>
      </c>
      <c r="L17" s="257">
        <f t="shared" si="6"/>
        <v>460728352.16999996</v>
      </c>
      <c r="M17" s="257">
        <f t="shared" si="6"/>
        <v>506323547.37</v>
      </c>
      <c r="N17" s="257">
        <f>SUM(N12:N16)</f>
        <v>511366306.14</v>
      </c>
      <c r="O17" s="33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25.5">
      <c r="A19" s="30" t="s">
        <v>308</v>
      </c>
      <c r="B19" s="207" t="str">
        <f>B4</f>
        <v>Summary 
2001 to 2005*</v>
      </c>
      <c r="C19" s="28">
        <v>2001</v>
      </c>
      <c r="D19" s="28">
        <v>2002</v>
      </c>
      <c r="E19" s="28">
        <v>2003</v>
      </c>
      <c r="F19" s="28">
        <v>2004</v>
      </c>
      <c r="G19" s="28">
        <v>2005</v>
      </c>
      <c r="H19" s="28">
        <v>2006</v>
      </c>
      <c r="I19" s="28">
        <v>2007</v>
      </c>
      <c r="J19" s="28">
        <v>2008</v>
      </c>
      <c r="K19" s="28">
        <v>2009</v>
      </c>
      <c r="L19" s="28">
        <v>2010</v>
      </c>
      <c r="M19" s="28">
        <v>2011</v>
      </c>
      <c r="N19" s="207" t="str">
        <f>N4</f>
        <v>(18 month)1
2012-2013</v>
      </c>
      <c r="O19" s="24"/>
    </row>
    <row r="20" spans="1:15" ht="12.75">
      <c r="A20" s="248" t="s">
        <v>98</v>
      </c>
      <c r="B20" s="252">
        <f aca="true" t="shared" si="7" ref="B20:B25">SUM(C20:G20)</f>
        <v>416309160</v>
      </c>
      <c r="C20" s="252">
        <f>'2001-2013 Summary Breakdown'!C7</f>
        <v>56570000</v>
      </c>
      <c r="D20" s="252">
        <f>'2001-2013 Summary Breakdown'!D7</f>
        <v>93258000</v>
      </c>
      <c r="E20" s="252">
        <f>'2001-2013 Summary Breakdown'!E7</f>
        <v>88314000</v>
      </c>
      <c r="F20" s="252">
        <f>'2001-2013 Summary Breakdown'!F7</f>
        <v>92753000</v>
      </c>
      <c r="G20" s="252">
        <f>'2001-2013 Summary Breakdown'!G7</f>
        <v>85414160</v>
      </c>
      <c r="H20" s="252">
        <f>'2001-2013 Summary Breakdown'!H7</f>
        <v>79642000</v>
      </c>
      <c r="I20" s="252">
        <f>'2001-2013 Summary Breakdown'!I7</f>
        <v>90078000</v>
      </c>
      <c r="J20" s="252">
        <f>'2001-2013 Summary Breakdown'!J7</f>
        <v>82452000</v>
      </c>
      <c r="K20" s="252">
        <f>'2001-2013 Summary Breakdown'!K7</f>
        <v>120958657.9</v>
      </c>
      <c r="L20" s="252">
        <f>'2001-2013 Summary Breakdown'!L7</f>
        <v>153712920.29</v>
      </c>
      <c r="M20" s="252">
        <f>'2001-2013 Summary Breakdown'!M7</f>
        <v>139035801.19</v>
      </c>
      <c r="N20" s="254">
        <f>'2001-2013 Summary Breakdown'!N7</f>
        <v>236467134.94</v>
      </c>
      <c r="O20" s="23"/>
    </row>
    <row r="21" spans="1:14" ht="12.75">
      <c r="A21" s="248" t="s">
        <v>99</v>
      </c>
      <c r="B21" s="252">
        <f t="shared" si="7"/>
        <v>67376382</v>
      </c>
      <c r="C21" s="252">
        <f>'2001-2013 Summary Breakdown'!C8</f>
        <v>985000</v>
      </c>
      <c r="D21" s="252">
        <f>'2001-2013 Summary Breakdown'!D8</f>
        <v>6646000</v>
      </c>
      <c r="E21" s="252">
        <f>'2001-2013 Summary Breakdown'!E8</f>
        <v>9472000</v>
      </c>
      <c r="F21" s="252">
        <f>'2001-2013 Summary Breakdown'!F8</f>
        <v>14749000</v>
      </c>
      <c r="G21" s="252">
        <f>'2001-2013 Summary Breakdown'!G8</f>
        <v>35524382</v>
      </c>
      <c r="H21" s="252">
        <f>'2001-2013 Summary Breakdown'!H8</f>
        <v>84279000</v>
      </c>
      <c r="I21" s="252">
        <f>'2001-2013 Summary Breakdown'!I8</f>
        <v>78210000</v>
      </c>
      <c r="J21" s="252">
        <f>'2001-2013 Summary Breakdown'!J8</f>
        <v>56930000</v>
      </c>
      <c r="K21" s="252">
        <f>'2001-2013 Summary Breakdown'!K8</f>
        <v>52677504.54</v>
      </c>
      <c r="L21" s="252">
        <f>'2001-2013 Summary Breakdown'!L8</f>
        <v>62334485.13</v>
      </c>
      <c r="M21" s="252">
        <f>'2001-2013 Summary Breakdown'!M8</f>
        <v>38963321.6</v>
      </c>
      <c r="N21" s="254">
        <f>'2001-2013 Summary Breakdown'!N8</f>
        <v>18003594.66</v>
      </c>
    </row>
    <row r="22" spans="1:14" ht="12.75">
      <c r="A22" s="248" t="s">
        <v>327</v>
      </c>
      <c r="B22" s="252">
        <f t="shared" si="7"/>
        <v>0</v>
      </c>
      <c r="C22" s="252">
        <f>'2001-2013 Summary Breakdown'!C9</f>
        <v>0</v>
      </c>
      <c r="D22" s="252">
        <f>'2001-2013 Summary Breakdown'!D9</f>
        <v>0</v>
      </c>
      <c r="E22" s="252">
        <f>'2001-2013 Summary Breakdown'!E9</f>
        <v>0</v>
      </c>
      <c r="F22" s="252">
        <f>'2001-2013 Summary Breakdown'!F9</f>
        <v>0</v>
      </c>
      <c r="G22" s="252">
        <f>'2001-2013 Summary Breakdown'!G9</f>
        <v>0</v>
      </c>
      <c r="H22" s="252">
        <f>'2001-2013 Summary Breakdown'!H9</f>
        <v>0</v>
      </c>
      <c r="I22" s="252">
        <f>'2001-2013 Summary Breakdown'!I9</f>
        <v>0</v>
      </c>
      <c r="J22" s="252">
        <f>'2001-2013 Summary Breakdown'!J9</f>
        <v>0</v>
      </c>
      <c r="K22" s="252">
        <f>'2001-2013 Summary Breakdown'!K9</f>
        <v>0</v>
      </c>
      <c r="L22" s="252">
        <f>'2001-2013 Summary Breakdown'!L9</f>
        <v>0</v>
      </c>
      <c r="M22" s="252">
        <f>'2001-2013 Summary Breakdown'!M9</f>
        <v>6335017</v>
      </c>
      <c r="N22" s="254">
        <f>'2001-2013 Summary Breakdown'!N9</f>
        <v>5268131.56</v>
      </c>
    </row>
    <row r="23" spans="1:14" ht="12.75">
      <c r="A23" s="239" t="s">
        <v>121</v>
      </c>
      <c r="B23" s="252">
        <f t="shared" si="7"/>
        <v>3654000</v>
      </c>
      <c r="C23" s="252">
        <f>'2001-2013 Summary Breakdown'!C10</f>
        <v>0</v>
      </c>
      <c r="D23" s="252">
        <f>'2001-2013 Summary Breakdown'!D10</f>
        <v>0</v>
      </c>
      <c r="E23" s="252">
        <f>'2001-2013 Summary Breakdown'!E10</f>
        <v>0</v>
      </c>
      <c r="F23" s="252">
        <f>'2001-2013 Summary Breakdown'!F10</f>
        <v>0</v>
      </c>
      <c r="G23" s="252">
        <f>'2001-2013 Summary Breakdown'!G10</f>
        <v>3654000</v>
      </c>
      <c r="H23" s="252">
        <f>'2001-2013 Summary Breakdown'!H10</f>
        <v>7276000</v>
      </c>
      <c r="I23" s="252">
        <f>'2001-2013 Summary Breakdown'!I10</f>
        <v>8523000</v>
      </c>
      <c r="J23" s="252">
        <f>'2001-2013 Summary Breakdown'!J10</f>
        <v>8168000</v>
      </c>
      <c r="K23" s="252">
        <f>'2001-2013 Summary Breakdown'!K10</f>
        <v>4528037.29</v>
      </c>
      <c r="L23" s="252">
        <f>'2001-2013 Summary Breakdown'!L10</f>
        <v>3537798.94</v>
      </c>
      <c r="M23" s="252">
        <f>'2001-2013 Summary Breakdown'!M10</f>
        <v>4331674.86</v>
      </c>
      <c r="N23" s="254">
        <f>'2001-2013 Summary Breakdown'!N10</f>
        <v>9108808.9</v>
      </c>
    </row>
    <row r="24" spans="1:14" ht="12.75">
      <c r="A24" s="239" t="s">
        <v>328</v>
      </c>
      <c r="B24" s="252">
        <f t="shared" si="7"/>
        <v>0</v>
      </c>
      <c r="C24" s="252">
        <f>'2001-2013 Summary Breakdown'!C11</f>
        <v>0</v>
      </c>
      <c r="D24" s="252">
        <f>'2001-2013 Summary Breakdown'!D11</f>
        <v>0</v>
      </c>
      <c r="E24" s="252">
        <f>'2001-2013 Summary Breakdown'!E11</f>
        <v>0</v>
      </c>
      <c r="F24" s="252">
        <f>'2001-2013 Summary Breakdown'!F11</f>
        <v>0</v>
      </c>
      <c r="G24" s="252">
        <f>'2001-2013 Summary Breakdown'!G11</f>
        <v>0</v>
      </c>
      <c r="H24" s="252">
        <f>'2001-2013 Summary Breakdown'!H11</f>
        <v>0</v>
      </c>
      <c r="I24" s="252">
        <f>'2001-2013 Summary Breakdown'!I11</f>
        <v>0</v>
      </c>
      <c r="J24" s="252">
        <f>'2001-2013 Summary Breakdown'!J11</f>
        <v>0</v>
      </c>
      <c r="K24" s="252">
        <f>'2001-2013 Summary Breakdown'!K11</f>
        <v>0</v>
      </c>
      <c r="L24" s="252">
        <f>'2001-2013 Summary Breakdown'!L11</f>
        <v>0</v>
      </c>
      <c r="M24" s="252">
        <f>'2001-2013 Summary Breakdown'!M11</f>
        <v>3210125.71</v>
      </c>
      <c r="N24" s="254">
        <f>'2001-2013 Summary Breakdown'!N11</f>
        <v>8996274.08</v>
      </c>
    </row>
    <row r="25" spans="1:14" ht="12.75">
      <c r="A25" s="14" t="s">
        <v>1</v>
      </c>
      <c r="B25" s="258">
        <f t="shared" si="7"/>
        <v>487339542</v>
      </c>
      <c r="C25" s="258">
        <f aca="true" t="shared" si="8" ref="C25:L25">SUM(C20:C24)</f>
        <v>57555000</v>
      </c>
      <c r="D25" s="258">
        <f t="shared" si="8"/>
        <v>99904000</v>
      </c>
      <c r="E25" s="258">
        <f t="shared" si="8"/>
        <v>97786000</v>
      </c>
      <c r="F25" s="258">
        <f t="shared" si="8"/>
        <v>107502000</v>
      </c>
      <c r="G25" s="258">
        <f t="shared" si="8"/>
        <v>124592542</v>
      </c>
      <c r="H25" s="258">
        <f t="shared" si="8"/>
        <v>171197000</v>
      </c>
      <c r="I25" s="258">
        <f t="shared" si="8"/>
        <v>176811000</v>
      </c>
      <c r="J25" s="258">
        <f t="shared" si="8"/>
        <v>147550000</v>
      </c>
      <c r="K25" s="258">
        <f t="shared" si="8"/>
        <v>178164199.73</v>
      </c>
      <c r="L25" s="258">
        <f t="shared" si="8"/>
        <v>219585204.35999998</v>
      </c>
      <c r="M25" s="258">
        <f>SUM(M20:M24)</f>
        <v>191875940.36</v>
      </c>
      <c r="N25" s="258">
        <f>SUM(N20:N24)</f>
        <v>277843944.14</v>
      </c>
    </row>
    <row r="26" spans="1:14" ht="12.75">
      <c r="A26" s="2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5" ht="25.5">
      <c r="A27" s="224" t="s">
        <v>341</v>
      </c>
      <c r="B27" s="207" t="str">
        <f>B4</f>
        <v>Summary 
2001 to 2005*</v>
      </c>
      <c r="C27" s="28">
        <v>2001</v>
      </c>
      <c r="D27" s="28">
        <v>2002</v>
      </c>
      <c r="E27" s="28">
        <v>2003</v>
      </c>
      <c r="F27" s="28">
        <v>2004</v>
      </c>
      <c r="G27" s="28">
        <v>2005</v>
      </c>
      <c r="H27" s="28">
        <v>2006</v>
      </c>
      <c r="I27" s="28">
        <v>2007</v>
      </c>
      <c r="J27" s="28">
        <v>2008</v>
      </c>
      <c r="K27" s="28">
        <v>2009</v>
      </c>
      <c r="L27" s="28">
        <v>2010</v>
      </c>
      <c r="M27" s="28">
        <v>2011</v>
      </c>
      <c r="N27" s="207" t="str">
        <f>N4</f>
        <v>(18 month)1
2012-2013</v>
      </c>
      <c r="O27" s="28"/>
    </row>
    <row r="28" spans="1:15" ht="12.75">
      <c r="A28" s="248" t="s">
        <v>98</v>
      </c>
      <c r="B28" s="252">
        <f aca="true" t="shared" si="9" ref="B28:B33">SUM(C28:G28)</f>
        <v>217108000</v>
      </c>
      <c r="C28" s="252">
        <v>13991000</v>
      </c>
      <c r="D28" s="252">
        <v>36767000</v>
      </c>
      <c r="E28" s="252">
        <v>44644000</v>
      </c>
      <c r="F28" s="252">
        <v>50727000</v>
      </c>
      <c r="G28" s="252">
        <v>70979000</v>
      </c>
      <c r="H28" s="252">
        <v>60233000</v>
      </c>
      <c r="I28" s="252">
        <v>35894000</v>
      </c>
      <c r="J28" s="252">
        <v>47204000</v>
      </c>
      <c r="K28" s="252">
        <v>51113035.8</v>
      </c>
      <c r="L28" s="252">
        <v>62873145.18</v>
      </c>
      <c r="M28" s="252">
        <v>71002166</v>
      </c>
      <c r="N28" s="254">
        <v>106178396.85</v>
      </c>
      <c r="O28" s="24"/>
    </row>
    <row r="29" spans="1:15" ht="12.75">
      <c r="A29" s="248" t="s">
        <v>99</v>
      </c>
      <c r="B29" s="252">
        <f t="shared" si="9"/>
        <v>311256000</v>
      </c>
      <c r="C29" s="252">
        <v>8216000</v>
      </c>
      <c r="D29" s="252">
        <v>14687000</v>
      </c>
      <c r="E29" s="252">
        <v>34809000</v>
      </c>
      <c r="F29" s="252">
        <v>114503000</v>
      </c>
      <c r="G29" s="252">
        <v>139041000</v>
      </c>
      <c r="H29" s="252">
        <v>103901000</v>
      </c>
      <c r="I29" s="259">
        <v>79454000</v>
      </c>
      <c r="J29" s="252">
        <v>108221000</v>
      </c>
      <c r="K29" s="252">
        <v>116574902</v>
      </c>
      <c r="L29" s="252">
        <v>78895209.29</v>
      </c>
      <c r="M29" s="252">
        <v>25322065.3</v>
      </c>
      <c r="N29" s="254">
        <v>8373817.07</v>
      </c>
      <c r="O29" s="33"/>
    </row>
    <row r="30" spans="1:16" ht="12.75">
      <c r="A30" s="239" t="s">
        <v>327</v>
      </c>
      <c r="B30" s="252">
        <f t="shared" si="9"/>
        <v>0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>
        <v>6475983</v>
      </c>
      <c r="N30" s="254">
        <v>8103589.32</v>
      </c>
      <c r="O30" s="33"/>
      <c r="P30" s="23"/>
    </row>
    <row r="31" spans="1:15" ht="12.75">
      <c r="A31" s="239" t="s">
        <v>121</v>
      </c>
      <c r="B31" s="252">
        <f t="shared" si="9"/>
        <v>0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33"/>
    </row>
    <row r="32" spans="1:15" ht="12.75">
      <c r="A32" s="239" t="s">
        <v>328</v>
      </c>
      <c r="B32" s="252">
        <f t="shared" si="9"/>
        <v>0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>
        <v>21789874.29</v>
      </c>
      <c r="N32" s="254">
        <v>12793600.21</v>
      </c>
      <c r="O32" s="33"/>
    </row>
    <row r="33" spans="1:15" ht="12.75">
      <c r="A33" s="14" t="s">
        <v>1</v>
      </c>
      <c r="B33" s="258">
        <f t="shared" si="9"/>
        <v>528364000</v>
      </c>
      <c r="C33" s="258">
        <f>SUM(C28:C32)</f>
        <v>22207000</v>
      </c>
      <c r="D33" s="258">
        <f aca="true" t="shared" si="10" ref="D33:M33">SUM(D28:D32)</f>
        <v>51454000</v>
      </c>
      <c r="E33" s="258">
        <f t="shared" si="10"/>
        <v>79453000</v>
      </c>
      <c r="F33" s="258">
        <f t="shared" si="10"/>
        <v>165230000</v>
      </c>
      <c r="G33" s="258">
        <f t="shared" si="10"/>
        <v>210020000</v>
      </c>
      <c r="H33" s="258">
        <f t="shared" si="10"/>
        <v>164134000</v>
      </c>
      <c r="I33" s="258">
        <f t="shared" si="10"/>
        <v>115348000</v>
      </c>
      <c r="J33" s="258">
        <f t="shared" si="10"/>
        <v>155425000</v>
      </c>
      <c r="K33" s="258">
        <f t="shared" si="10"/>
        <v>167687937.8</v>
      </c>
      <c r="L33" s="258">
        <f t="shared" si="10"/>
        <v>141768354.47</v>
      </c>
      <c r="M33" s="258">
        <f t="shared" si="10"/>
        <v>124590088.59</v>
      </c>
      <c r="N33" s="258">
        <f>SUM(N28:N32)</f>
        <v>135449403.45</v>
      </c>
      <c r="O33" s="33"/>
    </row>
    <row r="34" spans="1:15" ht="12.75">
      <c r="A34" s="2" t="s">
        <v>356</v>
      </c>
      <c r="O34" s="33"/>
    </row>
    <row r="35" spans="1:15" ht="12.75">
      <c r="A35" s="24"/>
      <c r="B35" s="2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.75">
      <c r="A36" s="378" t="s">
        <v>78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ht="12.75">
      <c r="A37" s="378" t="s">
        <v>347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</row>
    <row r="38" spans="1:15" ht="12.75">
      <c r="A38" s="30" t="s">
        <v>207</v>
      </c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4" ht="25.5">
      <c r="A39" s="24"/>
      <c r="B39" s="207" t="str">
        <f>B4</f>
        <v>Summary 
2001 to 2005*</v>
      </c>
      <c r="C39" s="28">
        <v>2001</v>
      </c>
      <c r="D39" s="28">
        <v>2002</v>
      </c>
      <c r="E39" s="28">
        <v>2003</v>
      </c>
      <c r="F39" s="28">
        <v>2004</v>
      </c>
      <c r="G39" s="28">
        <v>2005</v>
      </c>
      <c r="H39" s="28">
        <v>2006</v>
      </c>
      <c r="I39" s="28">
        <v>2007</v>
      </c>
      <c r="J39" s="28">
        <v>2008</v>
      </c>
      <c r="K39" s="28">
        <v>2009</v>
      </c>
      <c r="L39" s="28">
        <v>2010</v>
      </c>
      <c r="M39" s="28">
        <v>2011</v>
      </c>
      <c r="N39" s="207" t="str">
        <f>N4</f>
        <v>(18 month)1
2012-2013</v>
      </c>
    </row>
    <row r="40" spans="1:14" ht="12.75">
      <c r="A40" s="30"/>
      <c r="B40" s="40" t="s">
        <v>8</v>
      </c>
      <c r="C40" s="40" t="s">
        <v>8</v>
      </c>
      <c r="D40" s="40" t="s">
        <v>8</v>
      </c>
      <c r="E40" s="40" t="s">
        <v>8</v>
      </c>
      <c r="F40" s="40" t="s">
        <v>8</v>
      </c>
      <c r="G40" s="40" t="s">
        <v>8</v>
      </c>
      <c r="H40" s="40" t="s">
        <v>8</v>
      </c>
      <c r="I40" s="40" t="s">
        <v>8</v>
      </c>
      <c r="J40" s="40" t="s">
        <v>8</v>
      </c>
      <c r="K40" s="40" t="s">
        <v>8</v>
      </c>
      <c r="L40" s="40" t="s">
        <v>8</v>
      </c>
      <c r="M40" s="40" t="s">
        <v>8</v>
      </c>
      <c r="N40" s="40" t="s">
        <v>8</v>
      </c>
    </row>
    <row r="41" spans="1:14" ht="12.75">
      <c r="A41" s="239" t="s">
        <v>98</v>
      </c>
      <c r="B41" s="260">
        <f>SUM(C41:G41)</f>
        <v>1076217</v>
      </c>
      <c r="C41" s="261">
        <f>'Annual Savings'!C33</f>
        <v>50672</v>
      </c>
      <c r="D41" s="261">
        <f>'Annual Savings'!D33</f>
        <v>168796</v>
      </c>
      <c r="E41" s="261">
        <f>'Annual Savings'!E33</f>
        <v>285577</v>
      </c>
      <c r="F41" s="261">
        <f>'Annual Savings'!F33</f>
        <v>328513</v>
      </c>
      <c r="G41" s="261">
        <f>'Annual Savings'!G33</f>
        <v>242659</v>
      </c>
      <c r="H41" s="261">
        <f>'Annual Savings'!H33</f>
        <v>128252</v>
      </c>
      <c r="I41" s="261">
        <f>'Annual Savings'!I33</f>
        <v>228721</v>
      </c>
      <c r="J41" s="261">
        <f>'Annual Savings'!J33</f>
        <v>335001</v>
      </c>
      <c r="K41" s="261">
        <f>'Annual Savings'!K33</f>
        <v>462162</v>
      </c>
      <c r="L41" s="261">
        <f>'Annual Savings'!L33</f>
        <v>347906.80000000005</v>
      </c>
      <c r="M41" s="261">
        <f>'Annual Savings'!M33</f>
        <v>453682.1</v>
      </c>
      <c r="N41" s="261">
        <f>'Annual Savings'!N33</f>
        <v>638802</v>
      </c>
    </row>
    <row r="42" spans="1:14" ht="12.75">
      <c r="A42" s="239" t="s">
        <v>99</v>
      </c>
      <c r="B42" s="260">
        <f>SUM(C42:G42)</f>
        <v>45797</v>
      </c>
      <c r="C42" s="261">
        <f>'Annual Savings'!C111</f>
        <v>11</v>
      </c>
      <c r="D42" s="261">
        <f>'Annual Savings'!D111</f>
        <v>2896</v>
      </c>
      <c r="E42" s="261">
        <f>'Annual Savings'!E111</f>
        <v>7239</v>
      </c>
      <c r="F42" s="261">
        <f>'Annual Savings'!F111</f>
        <v>6515</v>
      </c>
      <c r="G42" s="261">
        <f>'Annual Savings'!G111</f>
        <v>29136</v>
      </c>
      <c r="H42" s="261">
        <f>'Annual Savings'!H111</f>
        <v>44659</v>
      </c>
      <c r="I42" s="261">
        <f>'Annual Savings'!I111</f>
        <v>140229</v>
      </c>
      <c r="J42" s="261">
        <f>'Annual Savings'!J111</f>
        <v>188968.72</v>
      </c>
      <c r="K42" s="261">
        <f>'Annual Savings'!K111</f>
        <v>169101</v>
      </c>
      <c r="L42" s="261">
        <f>'Annual Savings'!L111</f>
        <v>327579</v>
      </c>
      <c r="M42" s="261">
        <f>'Annual Savings'!M111</f>
        <v>382066</v>
      </c>
      <c r="N42" s="261">
        <f>'Annual Savings'!N111</f>
        <v>640636</v>
      </c>
    </row>
    <row r="43" spans="1:14" ht="12.75">
      <c r="A43" s="239" t="s">
        <v>59</v>
      </c>
      <c r="B43" s="260">
        <f>SUM(C43:G43)</f>
        <v>767</v>
      </c>
      <c r="C43" s="261">
        <f>CHP!C75</f>
        <v>0</v>
      </c>
      <c r="D43" s="261">
        <f>CHP!D75</f>
        <v>0</v>
      </c>
      <c r="E43" s="261">
        <f>CHP!E75</f>
        <v>0</v>
      </c>
      <c r="F43" s="261">
        <f>CHP!F75</f>
        <v>0</v>
      </c>
      <c r="G43" s="261">
        <f>'Annual Savings'!G38</f>
        <v>767</v>
      </c>
      <c r="H43" s="261">
        <f>'Annual Savings'!H38</f>
        <v>12575</v>
      </c>
      <c r="I43" s="261">
        <f>'Annual Savings'!I38</f>
        <v>102125</v>
      </c>
      <c r="J43" s="261">
        <f>'Annual Savings'!J38</f>
        <v>9114</v>
      </c>
      <c r="K43" s="261">
        <f>'Annual Savings'!K38</f>
        <v>35317</v>
      </c>
      <c r="L43" s="261">
        <f>'Annual Savings'!L38</f>
        <v>47743</v>
      </c>
      <c r="M43" s="261">
        <f>'Annual Savings'!M38</f>
        <v>0</v>
      </c>
      <c r="N43" s="261">
        <f>'Annual Savings'!N38</f>
        <v>17520</v>
      </c>
    </row>
    <row r="44" spans="1:14" ht="12.75">
      <c r="A44" s="14" t="s">
        <v>1</v>
      </c>
      <c r="B44" s="260">
        <f>SUM(C44:G44)</f>
        <v>1122781</v>
      </c>
      <c r="C44" s="260">
        <f aca="true" t="shared" si="11" ref="C44:I44">SUM(C41:C43)</f>
        <v>50683</v>
      </c>
      <c r="D44" s="260">
        <f t="shared" si="11"/>
        <v>171692</v>
      </c>
      <c r="E44" s="260">
        <f t="shared" si="11"/>
        <v>292816</v>
      </c>
      <c r="F44" s="260">
        <f t="shared" si="11"/>
        <v>335028</v>
      </c>
      <c r="G44" s="260">
        <f t="shared" si="11"/>
        <v>272562</v>
      </c>
      <c r="H44" s="260">
        <f t="shared" si="11"/>
        <v>185486</v>
      </c>
      <c r="I44" s="260">
        <f t="shared" si="11"/>
        <v>471075</v>
      </c>
      <c r="J44" s="260">
        <f>SUM(J41:J43)</f>
        <v>533083.72</v>
      </c>
      <c r="K44" s="260">
        <f>SUM(K41:K43)</f>
        <v>666580</v>
      </c>
      <c r="L44" s="260">
        <f>SUM(L41:L43)</f>
        <v>723228.8</v>
      </c>
      <c r="M44" s="260">
        <f>SUM(M41:M43)</f>
        <v>835748.1</v>
      </c>
      <c r="N44" s="260">
        <f>SUM(N41:N43)</f>
        <v>1296958</v>
      </c>
    </row>
    <row r="45" spans="1:14" ht="12.75">
      <c r="A45" s="24"/>
      <c r="B45" s="24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2.75">
      <c r="A46" s="24"/>
      <c r="B46" s="40" t="s">
        <v>11</v>
      </c>
      <c r="C46" s="40" t="s">
        <v>11</v>
      </c>
      <c r="D46" s="40" t="s">
        <v>11</v>
      </c>
      <c r="E46" s="40" t="s">
        <v>11</v>
      </c>
      <c r="F46" s="40" t="s">
        <v>11</v>
      </c>
      <c r="G46" s="40" t="s">
        <v>11</v>
      </c>
      <c r="H46" s="40" t="s">
        <v>11</v>
      </c>
      <c r="I46" s="40" t="s">
        <v>11</v>
      </c>
      <c r="J46" s="40" t="s">
        <v>11</v>
      </c>
      <c r="K46" s="40" t="s">
        <v>11</v>
      </c>
      <c r="L46" s="40" t="s">
        <v>11</v>
      </c>
      <c r="M46" s="40" t="s">
        <v>11</v>
      </c>
      <c r="N46" s="40" t="s">
        <v>11</v>
      </c>
    </row>
    <row r="47" spans="1:14" ht="12.75">
      <c r="A47" s="248" t="s">
        <v>98</v>
      </c>
      <c r="B47" s="260">
        <f>SUM(C47:G47)</f>
        <v>282564</v>
      </c>
      <c r="C47" s="261">
        <f>'Annual Savings'!C94</f>
        <v>18168</v>
      </c>
      <c r="D47" s="261">
        <f>'Annual Savings'!D94</f>
        <v>44617</v>
      </c>
      <c r="E47" s="261">
        <f>'Annual Savings'!E94</f>
        <v>67564</v>
      </c>
      <c r="F47" s="261">
        <f>'Annual Savings'!F94</f>
        <v>78754</v>
      </c>
      <c r="G47" s="261">
        <f>'Annual Savings'!G94</f>
        <v>73461</v>
      </c>
      <c r="H47" s="261">
        <f>'Annual Savings'!H94</f>
        <v>51449</v>
      </c>
      <c r="I47" s="261">
        <f>'Annual Savings'!I94</f>
        <v>48860</v>
      </c>
      <c r="J47" s="261">
        <f>'Annual Savings'!J94</f>
        <v>40666</v>
      </c>
      <c r="K47" s="261">
        <f>'Annual Savings'!K94</f>
        <v>46349</v>
      </c>
      <c r="L47" s="261">
        <f>'Annual Savings'!L94</f>
        <v>62520.600000000006</v>
      </c>
      <c r="M47" s="261">
        <f>'Annual Savings'!M94</f>
        <v>129665.8</v>
      </c>
      <c r="N47" s="261">
        <f>'Annual Savings'!N94</f>
        <v>118792.90000000001</v>
      </c>
    </row>
    <row r="48" spans="1:14" ht="12.75">
      <c r="A48" s="248" t="s">
        <v>99</v>
      </c>
      <c r="B48" s="260">
        <f>SUM(C48:G48)</f>
        <v>14523</v>
      </c>
      <c r="C48" s="261">
        <f>'Annual Savings'!C115:G115</f>
        <v>8</v>
      </c>
      <c r="D48" s="261">
        <v>1142</v>
      </c>
      <c r="E48" s="261">
        <v>1743</v>
      </c>
      <c r="F48" s="261">
        <v>2644</v>
      </c>
      <c r="G48" s="261">
        <f>'Annual Savings'!G121</f>
        <v>8986</v>
      </c>
      <c r="H48" s="261">
        <f>'Annual Savings'!H121</f>
        <v>18725</v>
      </c>
      <c r="I48" s="261">
        <f>'Annual Savings'!I121</f>
        <v>28920</v>
      </c>
      <c r="J48" s="261">
        <f>'Annual Savings'!J121</f>
        <v>32805</v>
      </c>
      <c r="K48" s="261">
        <f>'Annual Savings'!K121</f>
        <v>50778</v>
      </c>
      <c r="L48" s="261">
        <f>'Annual Savings'!L121</f>
        <v>183244</v>
      </c>
      <c r="M48" s="261">
        <f>'Annual Savings'!M121</f>
        <v>318387</v>
      </c>
      <c r="N48" s="261">
        <f>'Annual Savings'!N121</f>
        <v>533150</v>
      </c>
    </row>
    <row r="49" spans="1:14" ht="12.75">
      <c r="A49" s="248" t="s">
        <v>59</v>
      </c>
      <c r="B49" s="260">
        <f>SUM(C49:G49)</f>
        <v>140</v>
      </c>
      <c r="C49" s="261">
        <f>'Annual Savings'!C99</f>
        <v>0</v>
      </c>
      <c r="D49" s="261">
        <f>'Annual Savings'!D99</f>
        <v>0</v>
      </c>
      <c r="E49" s="261">
        <f>'Annual Savings'!E99</f>
        <v>0</v>
      </c>
      <c r="F49" s="261">
        <f>'Annual Savings'!F99</f>
        <v>0</v>
      </c>
      <c r="G49" s="261">
        <f>'Annual Savings'!G99</f>
        <v>140</v>
      </c>
      <c r="H49" s="261">
        <f>'Annual Savings'!H99</f>
        <v>3175</v>
      </c>
      <c r="I49" s="261">
        <f>'Annual Savings'!I99</f>
        <v>4925</v>
      </c>
      <c r="J49" s="261">
        <f>'Annual Savings'!J99</f>
        <v>1276</v>
      </c>
      <c r="K49" s="261">
        <f>'Annual Savings'!K99</f>
        <v>4700</v>
      </c>
      <c r="L49" s="261">
        <f>'Annual Savings'!L99</f>
        <v>5535</v>
      </c>
      <c r="M49" s="261">
        <f>'Annual Savings'!M99</f>
        <v>0</v>
      </c>
      <c r="N49" s="261">
        <f>'Annual Savings'!N99</f>
        <v>2000</v>
      </c>
    </row>
    <row r="50" spans="1:14" ht="12.75">
      <c r="A50" s="14" t="s">
        <v>1</v>
      </c>
      <c r="B50" s="260">
        <f>SUM(C50:G50)</f>
        <v>297227</v>
      </c>
      <c r="C50" s="260">
        <f aca="true" t="shared" si="12" ref="C50:J50">SUM(C47:C49)</f>
        <v>18176</v>
      </c>
      <c r="D50" s="260">
        <f t="shared" si="12"/>
        <v>45759</v>
      </c>
      <c r="E50" s="260">
        <f t="shared" si="12"/>
        <v>69307</v>
      </c>
      <c r="F50" s="260">
        <f t="shared" si="12"/>
        <v>81398</v>
      </c>
      <c r="G50" s="260">
        <f t="shared" si="12"/>
        <v>82587</v>
      </c>
      <c r="H50" s="260">
        <f t="shared" si="12"/>
        <v>73349</v>
      </c>
      <c r="I50" s="260">
        <f t="shared" si="12"/>
        <v>82705</v>
      </c>
      <c r="J50" s="260">
        <f t="shared" si="12"/>
        <v>74747</v>
      </c>
      <c r="K50" s="260">
        <f>SUM(K47:K49)</f>
        <v>101827</v>
      </c>
      <c r="L50" s="260">
        <f>SUM(L47:L49)</f>
        <v>251299.6</v>
      </c>
      <c r="M50" s="260">
        <f>SUM(M47:M49)</f>
        <v>448052.8</v>
      </c>
      <c r="N50" s="260">
        <f>SUM(N47:N49)</f>
        <v>653942.9</v>
      </c>
    </row>
    <row r="51" spans="1:14" ht="12.75">
      <c r="A51" s="24"/>
      <c r="B51" s="24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2.75">
      <c r="A52" s="24"/>
      <c r="B52" s="229" t="s">
        <v>13</v>
      </c>
      <c r="C52" s="229" t="s">
        <v>13</v>
      </c>
      <c r="D52" s="229" t="s">
        <v>13</v>
      </c>
      <c r="E52" s="229" t="s">
        <v>13</v>
      </c>
      <c r="F52" s="229" t="s">
        <v>13</v>
      </c>
      <c r="G52" s="229" t="s">
        <v>13</v>
      </c>
      <c r="H52" s="229" t="s">
        <v>13</v>
      </c>
      <c r="I52" s="229" t="s">
        <v>13</v>
      </c>
      <c r="J52" s="229" t="s">
        <v>13</v>
      </c>
      <c r="K52" s="229" t="s">
        <v>13</v>
      </c>
      <c r="L52" s="229" t="s">
        <v>13</v>
      </c>
      <c r="M52" s="229" t="s">
        <v>13</v>
      </c>
      <c r="N52" s="229" t="s">
        <v>13</v>
      </c>
    </row>
    <row r="53" spans="1:15" ht="12.75">
      <c r="A53" s="14" t="s">
        <v>98</v>
      </c>
      <c r="B53" s="37">
        <f>SUM(C53:G53)</f>
        <v>2043156</v>
      </c>
      <c r="C53" s="37">
        <f>'Annual Savings'!C62</f>
        <v>243146</v>
      </c>
      <c r="D53" s="37">
        <f>'Annual Savings'!D62</f>
        <v>339172</v>
      </c>
      <c r="E53" s="37">
        <f>'Annual Savings'!E62</f>
        <v>410818</v>
      </c>
      <c r="F53" s="37">
        <f>'Annual Savings'!F62</f>
        <v>432759</v>
      </c>
      <c r="G53" s="37">
        <f>'Annual Savings'!G62</f>
        <v>617261</v>
      </c>
      <c r="H53" s="37">
        <f>'Annual Savings'!H62</f>
        <v>640179</v>
      </c>
      <c r="I53" s="37">
        <f>'Annual Savings'!I62</f>
        <v>979662</v>
      </c>
      <c r="J53" s="37">
        <f>'Annual Savings'!J62</f>
        <v>489724</v>
      </c>
      <c r="K53" s="37">
        <f>'Annual Savings'!K62</f>
        <v>636343</v>
      </c>
      <c r="L53" s="37">
        <f>'Annual Savings'!L62</f>
        <v>934826</v>
      </c>
      <c r="M53" s="37">
        <f>'Annual Savings'!M62</f>
        <v>782556.95</v>
      </c>
      <c r="N53" s="37">
        <f>'Annual Savings'!N62</f>
        <v>1229205</v>
      </c>
      <c r="O53" s="24"/>
    </row>
    <row r="54" spans="1:15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2.75">
      <c r="A55" s="30" t="s">
        <v>371</v>
      </c>
      <c r="B55" s="3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25.5">
      <c r="A56" s="24"/>
      <c r="B56" s="207" t="str">
        <f>B4</f>
        <v>Summary 
2001 to 2005*</v>
      </c>
      <c r="C56" s="28">
        <v>2001</v>
      </c>
      <c r="D56" s="28">
        <v>2002</v>
      </c>
      <c r="E56" s="28">
        <v>2003</v>
      </c>
      <c r="F56" s="28">
        <v>2004</v>
      </c>
      <c r="G56" s="28">
        <v>2005</v>
      </c>
      <c r="H56" s="28">
        <v>2006</v>
      </c>
      <c r="I56" s="28">
        <v>2007</v>
      </c>
      <c r="J56" s="28">
        <v>2008</v>
      </c>
      <c r="K56" s="28">
        <v>2009</v>
      </c>
      <c r="L56" s="28">
        <v>2010</v>
      </c>
      <c r="M56" s="28">
        <v>2011</v>
      </c>
      <c r="N56" s="207" t="str">
        <f>N4</f>
        <v>(18 month)1
2012-2013</v>
      </c>
      <c r="O56" s="28" t="s">
        <v>1</v>
      </c>
    </row>
    <row r="57" spans="1:15" ht="12.75">
      <c r="A57" s="30"/>
      <c r="B57" s="40" t="s">
        <v>8</v>
      </c>
      <c r="C57" s="40" t="s">
        <v>8</v>
      </c>
      <c r="D57" s="40" t="s">
        <v>8</v>
      </c>
      <c r="E57" s="40" t="s">
        <v>8</v>
      </c>
      <c r="F57" s="40" t="s">
        <v>8</v>
      </c>
      <c r="G57" s="40" t="s">
        <v>8</v>
      </c>
      <c r="H57" s="40" t="s">
        <v>8</v>
      </c>
      <c r="I57" s="40" t="s">
        <v>8</v>
      </c>
      <c r="J57" s="40" t="s">
        <v>8</v>
      </c>
      <c r="K57" s="40" t="s">
        <v>8</v>
      </c>
      <c r="L57" s="40" t="s">
        <v>8</v>
      </c>
      <c r="M57" s="40" t="s">
        <v>8</v>
      </c>
      <c r="N57" s="40" t="s">
        <v>8</v>
      </c>
      <c r="O57" s="40" t="s">
        <v>8</v>
      </c>
    </row>
    <row r="58" spans="1:15" ht="12.75">
      <c r="A58" s="248" t="s">
        <v>98</v>
      </c>
      <c r="B58" s="260">
        <f>SUM(C58:G58)</f>
        <v>14876711</v>
      </c>
      <c r="C58" s="261">
        <f>'Lifetime Savings'!C33</f>
        <v>797595</v>
      </c>
      <c r="D58" s="261">
        <f>'Lifetime Savings'!D33</f>
        <v>2548628</v>
      </c>
      <c r="E58" s="261">
        <f>'Lifetime Savings'!E33</f>
        <v>3739163</v>
      </c>
      <c r="F58" s="261">
        <f>'Lifetime Savings'!F33</f>
        <v>4308771</v>
      </c>
      <c r="G58" s="261">
        <f>'Lifetime Savings'!G33</f>
        <v>3482554</v>
      </c>
      <c r="H58" s="261">
        <f>'Lifetime Savings'!H33</f>
        <v>1935790</v>
      </c>
      <c r="I58" s="261">
        <f>'Lifetime Savings'!I33</f>
        <v>2645703</v>
      </c>
      <c r="J58" s="261">
        <f>'Lifetime Savings'!J33</f>
        <v>3160279</v>
      </c>
      <c r="K58" s="261">
        <f>'Lifetime Savings'!K33</f>
        <v>3986481</v>
      </c>
      <c r="L58" s="261">
        <f>'Lifetime Savings'!L33</f>
        <v>3414351.2</v>
      </c>
      <c r="M58" s="261">
        <f>'Lifetime Savings'!M33</f>
        <v>4880985.3</v>
      </c>
      <c r="N58" s="261">
        <f>'Lifetime Savings'!N33</f>
        <v>6830470.2</v>
      </c>
      <c r="O58" s="261">
        <f>SUM(C58:N58)</f>
        <v>41730770.7</v>
      </c>
    </row>
    <row r="59" spans="1:15" ht="12.75">
      <c r="A59" s="248" t="s">
        <v>99</v>
      </c>
      <c r="B59" s="260">
        <f>SUM(C59:G59)</f>
        <v>788399</v>
      </c>
      <c r="C59" s="261">
        <f>'Lifetime Savings'!C60</f>
        <v>173</v>
      </c>
      <c r="D59" s="261">
        <f>'Lifetime Savings'!D60</f>
        <v>56330</v>
      </c>
      <c r="E59" s="261">
        <f>'Lifetime Savings'!E60</f>
        <v>109981</v>
      </c>
      <c r="F59" s="261">
        <f>'Lifetime Savings'!F60</f>
        <v>82996</v>
      </c>
      <c r="G59" s="261">
        <f>'Lifetime Savings'!G65</f>
        <v>538919</v>
      </c>
      <c r="H59" s="261">
        <f>'Lifetime Savings'!H65</f>
        <v>449400</v>
      </c>
      <c r="I59" s="261">
        <f>'Lifetime Savings'!I65</f>
        <v>966155</v>
      </c>
      <c r="J59" s="261">
        <f>'Lifetime Savings'!J65</f>
        <v>1994960</v>
      </c>
      <c r="K59" s="261">
        <f>'Lifetime Savings'!K65</f>
        <v>1356920</v>
      </c>
      <c r="L59" s="261">
        <f>'Lifetime Savings'!L65</f>
        <v>4851133</v>
      </c>
      <c r="M59" s="261">
        <f>'Lifetime Savings'!M65</f>
        <v>7641312</v>
      </c>
      <c r="N59" s="261">
        <f>'Lifetime Savings'!N65</f>
        <v>12812718</v>
      </c>
      <c r="O59" s="261">
        <f>SUM(C59:N59)</f>
        <v>30860997</v>
      </c>
    </row>
    <row r="60" spans="1:15" ht="12.75">
      <c r="A60" s="248" t="s">
        <v>59</v>
      </c>
      <c r="B60" s="260">
        <f>SUM(C60:G60)</f>
        <v>11498</v>
      </c>
      <c r="C60" s="261">
        <f>'Lifetime Savings'!C70</f>
        <v>0</v>
      </c>
      <c r="D60" s="261">
        <f>'Lifetime Savings'!D70</f>
        <v>0</v>
      </c>
      <c r="E60" s="261">
        <f>'Lifetime Savings'!E70</f>
        <v>0</v>
      </c>
      <c r="F60" s="261">
        <f>'Lifetime Savings'!F70</f>
        <v>0</v>
      </c>
      <c r="G60" s="261">
        <f>'Lifetime Savings'!G70</f>
        <v>11498</v>
      </c>
      <c r="H60" s="261">
        <f>'Lifetime Savings'!H70</f>
        <v>112759</v>
      </c>
      <c r="I60" s="261">
        <f>'Lifetime Savings'!I70</f>
        <v>1225505</v>
      </c>
      <c r="J60" s="261">
        <f>'Lifetime Savings'!J70</f>
        <v>109364</v>
      </c>
      <c r="K60" s="261">
        <f>'Lifetime Savings'!K70</f>
        <v>423802</v>
      </c>
      <c r="L60" s="261">
        <f>'Lifetime Savings'!L70</f>
        <v>524075</v>
      </c>
      <c r="M60" s="261">
        <f>'Lifetime Savings'!M70</f>
        <v>0</v>
      </c>
      <c r="N60" s="261">
        <f>'Lifetime Savings'!N70</f>
        <v>210240</v>
      </c>
      <c r="O60" s="261">
        <f>SUM(C60:N60)</f>
        <v>2617243</v>
      </c>
    </row>
    <row r="61" spans="1:15" ht="12.75">
      <c r="A61" s="14" t="s">
        <v>1</v>
      </c>
      <c r="B61" s="260">
        <f>SUM(C61:G61)</f>
        <v>15676608</v>
      </c>
      <c r="C61" s="260">
        <f aca="true" t="shared" si="13" ref="C61:I61">SUM(C58:C60)</f>
        <v>797768</v>
      </c>
      <c r="D61" s="260">
        <f t="shared" si="13"/>
        <v>2604958</v>
      </c>
      <c r="E61" s="260">
        <f t="shared" si="13"/>
        <v>3849144</v>
      </c>
      <c r="F61" s="260">
        <f t="shared" si="13"/>
        <v>4391767</v>
      </c>
      <c r="G61" s="260">
        <f t="shared" si="13"/>
        <v>4032971</v>
      </c>
      <c r="H61" s="260">
        <f t="shared" si="13"/>
        <v>2497949</v>
      </c>
      <c r="I61" s="260">
        <f t="shared" si="13"/>
        <v>4837363</v>
      </c>
      <c r="J61" s="260">
        <f>SUM(J58:J60)</f>
        <v>5264603</v>
      </c>
      <c r="K61" s="260">
        <f>SUM(K58:K60)</f>
        <v>5767203</v>
      </c>
      <c r="L61" s="260">
        <f>SUM(L58:L60)</f>
        <v>8789559.2</v>
      </c>
      <c r="M61" s="260">
        <f>SUM(M58:M60)</f>
        <v>12522297.3</v>
      </c>
      <c r="N61" s="260">
        <f>SUM(N58:N60)</f>
        <v>19853428.2</v>
      </c>
      <c r="O61" s="260">
        <f>SUM(C61:N61)</f>
        <v>75209010.7</v>
      </c>
    </row>
    <row r="62" spans="1:15" ht="12.75">
      <c r="A62" s="24"/>
      <c r="B62" s="24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2.75">
      <c r="A63" s="24"/>
      <c r="B63" s="229" t="s">
        <v>13</v>
      </c>
      <c r="C63" s="229" t="s">
        <v>13</v>
      </c>
      <c r="D63" s="229" t="s">
        <v>13</v>
      </c>
      <c r="E63" s="229" t="s">
        <v>13</v>
      </c>
      <c r="F63" s="229" t="s">
        <v>13</v>
      </c>
      <c r="G63" s="229" t="s">
        <v>13</v>
      </c>
      <c r="H63" s="229" t="s">
        <v>13</v>
      </c>
      <c r="I63" s="229" t="s">
        <v>13</v>
      </c>
      <c r="J63" s="229" t="s">
        <v>13</v>
      </c>
      <c r="K63" s="229" t="s">
        <v>13</v>
      </c>
      <c r="L63" s="229" t="s">
        <v>13</v>
      </c>
      <c r="M63" s="229" t="s">
        <v>13</v>
      </c>
      <c r="N63" s="229" t="s">
        <v>13</v>
      </c>
      <c r="O63" s="229" t="s">
        <v>13</v>
      </c>
    </row>
    <row r="64" spans="1:15" ht="12.75">
      <c r="A64" s="14" t="s">
        <v>98</v>
      </c>
      <c r="B64" s="260">
        <f>SUM(C64:G64)</f>
        <v>38827315</v>
      </c>
      <c r="C64" s="260">
        <f>'Lifetime Savings'!C55</f>
        <v>4802982</v>
      </c>
      <c r="D64" s="260">
        <f>'Lifetime Savings'!D55</f>
        <v>6532702</v>
      </c>
      <c r="E64" s="260">
        <f>'Lifetime Savings'!E55</f>
        <v>7706430</v>
      </c>
      <c r="F64" s="260">
        <f>'Lifetime Savings'!F55</f>
        <v>8107801</v>
      </c>
      <c r="G64" s="260">
        <f>'Lifetime Savings'!G55</f>
        <v>11677400</v>
      </c>
      <c r="H64" s="260">
        <f>'Lifetime Savings'!H55</f>
        <v>9137230</v>
      </c>
      <c r="I64" s="260">
        <f>'Lifetime Savings'!I55</f>
        <v>13732484</v>
      </c>
      <c r="J64" s="260">
        <f>'Lifetime Savings'!J55</f>
        <v>8571226</v>
      </c>
      <c r="K64" s="260">
        <f>'Lifetime Savings'!K55</f>
        <v>10524058</v>
      </c>
      <c r="L64" s="260">
        <f>'Lifetime Savings'!L55</f>
        <v>16475728</v>
      </c>
      <c r="M64" s="260">
        <f>'Lifetime Savings'!M55</f>
        <v>14493173.84</v>
      </c>
      <c r="N64" s="260">
        <f>'Lifetime Savings'!N55</f>
        <v>22443400</v>
      </c>
      <c r="O64" s="260">
        <f>SUM(C64:N64)</f>
        <v>134204614.84</v>
      </c>
    </row>
    <row r="65" spans="1:2" ht="12.75">
      <c r="A65" s="2" t="str">
        <f>A34</f>
        <v>* These columns/years have been hidden in this worksheet for viewing &amp; printing purposes</v>
      </c>
      <c r="B65" s="75"/>
    </row>
    <row r="68" ht="14.25">
      <c r="A68" s="88" t="s">
        <v>438</v>
      </c>
    </row>
  </sheetData>
  <sheetProtection/>
  <mergeCells count="4">
    <mergeCell ref="A1:O1"/>
    <mergeCell ref="A2:O2"/>
    <mergeCell ref="A36:O36"/>
    <mergeCell ref="A37:O37"/>
  </mergeCells>
  <printOptions/>
  <pageMargins left="0.34" right="0.34" top="0.6" bottom="0.59" header="0.5" footer="0.29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4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Z94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5.7109375" style="3" customWidth="1"/>
    <col min="2" max="2" width="14.8515625" style="3" bestFit="1" customWidth="1"/>
    <col min="3" max="3" width="14.8515625" style="6" hidden="1" customWidth="1"/>
    <col min="4" max="4" width="16.140625" style="6" hidden="1" customWidth="1"/>
    <col min="5" max="5" width="15.57421875" style="6" hidden="1" customWidth="1"/>
    <col min="6" max="6" width="16.140625" style="6" hidden="1" customWidth="1"/>
    <col min="7" max="7" width="15.7109375" style="6" hidden="1" customWidth="1"/>
    <col min="8" max="9" width="16.140625" style="6" bestFit="1" customWidth="1"/>
    <col min="10" max="10" width="13.8515625" style="6" customWidth="1"/>
    <col min="11" max="14" width="14.00390625" style="6" customWidth="1"/>
    <col min="15" max="15" width="17.00390625" style="6" bestFit="1" customWidth="1"/>
    <col min="16" max="16" width="11.140625" style="6" bestFit="1" customWidth="1"/>
    <col min="17" max="16384" width="10.7109375" style="6" customWidth="1"/>
  </cols>
  <sheetData>
    <row r="1" spans="1:15" ht="15.75">
      <c r="A1" s="382" t="s">
        <v>18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">
      <c r="A2" s="112"/>
      <c r="B2" s="112"/>
      <c r="C2" s="118"/>
      <c r="D2" s="118"/>
      <c r="E2" s="118"/>
      <c r="F2" s="118"/>
      <c r="G2" s="118"/>
      <c r="I2" s="118"/>
      <c r="J2" s="118"/>
      <c r="K2" s="118"/>
      <c r="L2" s="118"/>
      <c r="M2" s="118"/>
      <c r="N2" s="118"/>
      <c r="O2" s="118"/>
    </row>
    <row r="3" spans="1:2" ht="12.75">
      <c r="A3" s="30"/>
      <c r="B3" s="30"/>
    </row>
    <row r="4" spans="1:15" ht="25.5">
      <c r="A4" s="30" t="s">
        <v>255</v>
      </c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07" t="s">
        <v>423</v>
      </c>
      <c r="O4" s="126" t="s">
        <v>427</v>
      </c>
    </row>
    <row r="5" spans="1:15" ht="12.75">
      <c r="A5" s="193" t="s">
        <v>134</v>
      </c>
      <c r="B5" s="312">
        <f>SUM(C5:G5)</f>
        <v>95808000</v>
      </c>
      <c r="C5" s="313">
        <v>15758000</v>
      </c>
      <c r="D5" s="313">
        <v>14677000</v>
      </c>
      <c r="E5" s="313">
        <v>19669000</v>
      </c>
      <c r="F5" s="313">
        <v>22754000</v>
      </c>
      <c r="G5" s="312">
        <v>22950000</v>
      </c>
      <c r="H5" s="312">
        <v>27720000</v>
      </c>
      <c r="I5" s="312">
        <v>27678000</v>
      </c>
      <c r="J5" s="312">
        <v>37141000</v>
      </c>
      <c r="K5" s="304">
        <v>42576218.09</v>
      </c>
      <c r="L5" s="304">
        <v>20262610.08</v>
      </c>
      <c r="M5" s="304">
        <v>19943969.5</v>
      </c>
      <c r="N5" s="304">
        <v>27764931.1</v>
      </c>
      <c r="O5" s="304">
        <f>SUM(C5:N5)</f>
        <v>298894728.77000004</v>
      </c>
    </row>
    <row r="6" spans="1:15" ht="26.25" customHeight="1">
      <c r="A6" s="389" t="s">
        <v>376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1:15" ht="13.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7" ht="12.75">
      <c r="A8" s="76" t="s">
        <v>256</v>
      </c>
      <c r="B8" s="76"/>
      <c r="C8" s="195"/>
      <c r="D8" s="195"/>
      <c r="E8" s="195"/>
      <c r="F8" s="195"/>
      <c r="G8" s="196"/>
      <c r="H8" s="196"/>
      <c r="I8" s="196"/>
      <c r="J8" s="196"/>
      <c r="K8" s="196"/>
      <c r="L8" s="196"/>
      <c r="M8" s="196"/>
      <c r="N8" s="196"/>
      <c r="O8" s="196"/>
      <c r="P8" s="3"/>
      <c r="Q8" s="3"/>
    </row>
    <row r="9" spans="1:15" s="3" customFormat="1" ht="12.75">
      <c r="A9" s="156" t="s">
        <v>19</v>
      </c>
      <c r="B9" s="262">
        <f>SUM(C9:G9)</f>
        <v>78120</v>
      </c>
      <c r="C9" s="314">
        <v>6813</v>
      </c>
      <c r="D9" s="314">
        <v>10945</v>
      </c>
      <c r="E9" s="314">
        <v>15365</v>
      </c>
      <c r="F9" s="314">
        <v>21736</v>
      </c>
      <c r="G9" s="262">
        <v>23261</v>
      </c>
      <c r="H9" s="262">
        <v>19728</v>
      </c>
      <c r="I9" s="262">
        <v>19854</v>
      </c>
      <c r="J9" s="262">
        <v>11282</v>
      </c>
      <c r="K9" s="294">
        <v>9082800.43</v>
      </c>
      <c r="L9" s="294">
        <v>9059247.24</v>
      </c>
      <c r="M9" s="294">
        <v>7039315.47</v>
      </c>
      <c r="N9" s="294">
        <v>14982601.57</v>
      </c>
      <c r="O9" s="294"/>
    </row>
    <row r="10" spans="1:15" s="3" customFormat="1" ht="12.75">
      <c r="A10" s="156" t="s">
        <v>20</v>
      </c>
      <c r="B10" s="262">
        <f>SUM(C10:G10)</f>
        <v>130265</v>
      </c>
      <c r="C10" s="314">
        <v>6325</v>
      </c>
      <c r="D10" s="314">
        <v>25135</v>
      </c>
      <c r="E10" s="314">
        <v>30765</v>
      </c>
      <c r="F10" s="314">
        <v>24347</v>
      </c>
      <c r="G10" s="262">
        <v>43693</v>
      </c>
      <c r="H10" s="262">
        <v>42932</v>
      </c>
      <c r="I10" s="262">
        <v>14208</v>
      </c>
      <c r="J10" s="262">
        <v>18815</v>
      </c>
      <c r="K10" s="294">
        <v>13498385.32</v>
      </c>
      <c r="L10" s="294">
        <v>9569800</v>
      </c>
      <c r="M10" s="294">
        <v>8455672</v>
      </c>
      <c r="N10" s="294">
        <v>9495520</v>
      </c>
      <c r="O10" s="294"/>
    </row>
    <row r="11" spans="1:15" s="3" customFormat="1" ht="12.75">
      <c r="A11" s="15" t="s">
        <v>21</v>
      </c>
      <c r="B11" s="287">
        <f>SUM(C11:G11)</f>
        <v>208385</v>
      </c>
      <c r="C11" s="295">
        <f aca="true" t="shared" si="0" ref="C11:I11">SUM(C9:C10)</f>
        <v>13138</v>
      </c>
      <c r="D11" s="295">
        <f t="shared" si="0"/>
        <v>36080</v>
      </c>
      <c r="E11" s="295">
        <f t="shared" si="0"/>
        <v>46130</v>
      </c>
      <c r="F11" s="295">
        <f t="shared" si="0"/>
        <v>46083</v>
      </c>
      <c r="G11" s="287">
        <f t="shared" si="0"/>
        <v>66954</v>
      </c>
      <c r="H11" s="287">
        <f t="shared" si="0"/>
        <v>62660</v>
      </c>
      <c r="I11" s="287">
        <f t="shared" si="0"/>
        <v>34062</v>
      </c>
      <c r="J11" s="287">
        <f>SUM(J9:J10)</f>
        <v>30097</v>
      </c>
      <c r="K11" s="293"/>
      <c r="L11" s="293"/>
      <c r="M11" s="293"/>
      <c r="N11" s="293"/>
      <c r="O11" s="293"/>
    </row>
    <row r="12" spans="1:15" s="3" customFormat="1" ht="12.75">
      <c r="A12" s="19" t="s">
        <v>254</v>
      </c>
      <c r="B12" s="287">
        <f>SUM(C12:G12)</f>
        <v>208385000</v>
      </c>
      <c r="C12" s="295">
        <f>C11*1000</f>
        <v>13138000</v>
      </c>
      <c r="D12" s="295">
        <f aca="true" t="shared" si="1" ref="D12:J12">D11*1000</f>
        <v>36080000</v>
      </c>
      <c r="E12" s="295">
        <f t="shared" si="1"/>
        <v>46130000</v>
      </c>
      <c r="F12" s="295">
        <f t="shared" si="1"/>
        <v>46083000</v>
      </c>
      <c r="G12" s="287">
        <f t="shared" si="1"/>
        <v>66954000</v>
      </c>
      <c r="H12" s="287">
        <f t="shared" si="1"/>
        <v>62660000</v>
      </c>
      <c r="I12" s="287">
        <f t="shared" si="1"/>
        <v>34062000</v>
      </c>
      <c r="J12" s="287">
        <f t="shared" si="1"/>
        <v>30097000</v>
      </c>
      <c r="K12" s="293">
        <f>SUM(K9:K10)</f>
        <v>22581185.75</v>
      </c>
      <c r="L12" s="293">
        <f>SUM(L9:L10)</f>
        <v>18629047.240000002</v>
      </c>
      <c r="M12" s="293">
        <f>SUM(M9:M10)</f>
        <v>15494987.469999999</v>
      </c>
      <c r="N12" s="293">
        <f>SUM(N9:N10)</f>
        <v>24478121.57</v>
      </c>
      <c r="O12" s="293"/>
    </row>
    <row r="13" spans="1:15" s="3" customFormat="1" ht="12.75">
      <c r="A13" s="19" t="s">
        <v>278</v>
      </c>
      <c r="B13" s="298">
        <f>SUM(C13:G13)</f>
        <v>78120000</v>
      </c>
      <c r="C13" s="315">
        <f aca="true" t="shared" si="2" ref="C13:J13">C9*1000</f>
        <v>6813000</v>
      </c>
      <c r="D13" s="315">
        <f t="shared" si="2"/>
        <v>10945000</v>
      </c>
      <c r="E13" s="315">
        <f t="shared" si="2"/>
        <v>15365000</v>
      </c>
      <c r="F13" s="315">
        <f t="shared" si="2"/>
        <v>21736000</v>
      </c>
      <c r="G13" s="298">
        <f t="shared" si="2"/>
        <v>23261000</v>
      </c>
      <c r="H13" s="298">
        <f t="shared" si="2"/>
        <v>19728000</v>
      </c>
      <c r="I13" s="298">
        <f t="shared" si="2"/>
        <v>19854000</v>
      </c>
      <c r="J13" s="298">
        <f t="shared" si="2"/>
        <v>11282000</v>
      </c>
      <c r="K13" s="296">
        <f>K9</f>
        <v>9082800.43</v>
      </c>
      <c r="L13" s="296">
        <f>L9</f>
        <v>9059247.24</v>
      </c>
      <c r="M13" s="296">
        <f>M9</f>
        <v>7039315.47</v>
      </c>
      <c r="N13" s="296">
        <f>N9</f>
        <v>14982601.57</v>
      </c>
      <c r="O13" s="296">
        <f>SUM(C13:N13)</f>
        <v>169147964.71</v>
      </c>
    </row>
    <row r="14" spans="1:15" s="3" customFormat="1" ht="12.75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6" s="3" customFormat="1" ht="12.75">
      <c r="A15" s="43" t="s">
        <v>43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3"/>
      <c r="N15" s="63"/>
      <c r="O15" s="63"/>
      <c r="P15" s="146"/>
    </row>
    <row r="16" spans="1:16" s="3" customFormat="1" ht="12.75">
      <c r="A16" s="15" t="s">
        <v>22</v>
      </c>
      <c r="B16" s="265">
        <f>SUM(C16:G16)</f>
        <v>20800</v>
      </c>
      <c r="C16" s="265"/>
      <c r="D16" s="265">
        <v>1881</v>
      </c>
      <c r="E16" s="265">
        <v>4936</v>
      </c>
      <c r="F16" s="265">
        <v>5974</v>
      </c>
      <c r="G16" s="265">
        <v>8009</v>
      </c>
      <c r="H16" s="265">
        <v>5509</v>
      </c>
      <c r="I16" s="265">
        <v>6180</v>
      </c>
      <c r="J16" s="265">
        <v>4012</v>
      </c>
      <c r="K16" s="265">
        <v>3236</v>
      </c>
      <c r="L16" s="265">
        <v>4437</v>
      </c>
      <c r="M16" s="267">
        <v>3905</v>
      </c>
      <c r="N16" s="267">
        <v>4881</v>
      </c>
      <c r="O16" s="267">
        <f>SUM(C16:N16)</f>
        <v>52960</v>
      </c>
      <c r="P16" s="132" t="s">
        <v>365</v>
      </c>
    </row>
    <row r="17" spans="1:16" s="3" customFormat="1" ht="12.75">
      <c r="A17" s="15" t="s">
        <v>23</v>
      </c>
      <c r="B17" s="265">
        <f>SUM(C17:G17)</f>
        <v>42074</v>
      </c>
      <c r="C17" s="265">
        <v>4553</v>
      </c>
      <c r="D17" s="265">
        <v>10490</v>
      </c>
      <c r="E17" s="265">
        <v>12168</v>
      </c>
      <c r="F17" s="265">
        <v>6526</v>
      </c>
      <c r="G17" s="265">
        <v>8337</v>
      </c>
      <c r="H17" s="265">
        <v>6808</v>
      </c>
      <c r="I17" s="265">
        <v>7137</v>
      </c>
      <c r="J17" s="265">
        <v>10170</v>
      </c>
      <c r="K17" s="265">
        <v>7865</v>
      </c>
      <c r="L17" s="265">
        <v>3647</v>
      </c>
      <c r="M17" s="267">
        <v>1893</v>
      </c>
      <c r="N17" s="267">
        <v>7120</v>
      </c>
      <c r="O17" s="144"/>
      <c r="P17" s="132"/>
    </row>
    <row r="18" spans="1:16" s="3" customFormat="1" ht="12.75">
      <c r="A18" s="15" t="s">
        <v>21</v>
      </c>
      <c r="B18" s="265">
        <f>SUM(C18:G18)</f>
        <v>62874</v>
      </c>
      <c r="C18" s="265">
        <f aca="true" t="shared" si="3" ref="C18:H18">SUM(C16:C17)</f>
        <v>4553</v>
      </c>
      <c r="D18" s="265">
        <f t="shared" si="3"/>
        <v>12371</v>
      </c>
      <c r="E18" s="265">
        <f t="shared" si="3"/>
        <v>17104</v>
      </c>
      <c r="F18" s="265">
        <f t="shared" si="3"/>
        <v>12500</v>
      </c>
      <c r="G18" s="265">
        <f t="shared" si="3"/>
        <v>16346</v>
      </c>
      <c r="H18" s="265">
        <f t="shared" si="3"/>
        <v>12317</v>
      </c>
      <c r="I18" s="265">
        <f aca="true" t="shared" si="4" ref="I18:N18">SUM(I16:I17)</f>
        <v>13317</v>
      </c>
      <c r="J18" s="265">
        <f t="shared" si="4"/>
        <v>14182</v>
      </c>
      <c r="K18" s="265">
        <f t="shared" si="4"/>
        <v>11101</v>
      </c>
      <c r="L18" s="265">
        <f t="shared" si="4"/>
        <v>8084</v>
      </c>
      <c r="M18" s="267">
        <f t="shared" si="4"/>
        <v>5798</v>
      </c>
      <c r="N18" s="267">
        <f t="shared" si="4"/>
        <v>12001</v>
      </c>
      <c r="O18" s="144"/>
      <c r="P18" s="132"/>
    </row>
    <row r="19" spans="1:16" s="3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3"/>
      <c r="N19" s="63"/>
      <c r="O19" s="63"/>
      <c r="P19" s="146"/>
    </row>
    <row r="20" spans="1:15" s="3" customFormat="1" ht="12.75">
      <c r="A20" s="43" t="s">
        <v>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" customFormat="1" ht="12.75">
      <c r="A21" s="50" t="s">
        <v>38</v>
      </c>
      <c r="B21" s="40" t="s">
        <v>8</v>
      </c>
      <c r="C21" s="40" t="s">
        <v>8</v>
      </c>
      <c r="D21" s="40" t="s">
        <v>8</v>
      </c>
      <c r="E21" s="40" t="s">
        <v>8</v>
      </c>
      <c r="F21" s="40" t="s">
        <v>8</v>
      </c>
      <c r="G21" s="40" t="s">
        <v>8</v>
      </c>
      <c r="H21" s="40" t="s">
        <v>8</v>
      </c>
      <c r="I21" s="40" t="s">
        <v>8</v>
      </c>
      <c r="J21" s="45" t="s">
        <v>8</v>
      </c>
      <c r="K21" s="45" t="s">
        <v>8</v>
      </c>
      <c r="L21" s="45" t="s">
        <v>8</v>
      </c>
      <c r="M21" s="45" t="s">
        <v>8</v>
      </c>
      <c r="N21" s="45" t="s">
        <v>8</v>
      </c>
      <c r="O21" s="40" t="s">
        <v>8</v>
      </c>
    </row>
    <row r="22" spans="1:15" ht="12.75">
      <c r="A22" s="15" t="s">
        <v>14</v>
      </c>
      <c r="B22" s="265">
        <f>SUM(C22:G22)</f>
        <v>18828</v>
      </c>
      <c r="C22" s="265">
        <v>119</v>
      </c>
      <c r="D22" s="265">
        <v>3262</v>
      </c>
      <c r="E22" s="265">
        <v>4773</v>
      </c>
      <c r="F22" s="265">
        <v>4551</v>
      </c>
      <c r="G22" s="265">
        <v>6123</v>
      </c>
      <c r="H22" s="265">
        <v>5181</v>
      </c>
      <c r="I22" s="265">
        <v>5829</v>
      </c>
      <c r="J22" s="265">
        <v>3343</v>
      </c>
      <c r="K22" s="265">
        <v>2652</v>
      </c>
      <c r="L22" s="265">
        <v>4379</v>
      </c>
      <c r="M22" s="265">
        <v>4562</v>
      </c>
      <c r="N22" s="267">
        <v>5281</v>
      </c>
      <c r="O22" s="265">
        <f>SUM(C22:N22)</f>
        <v>50055</v>
      </c>
    </row>
    <row r="23" spans="1:15" ht="12.75">
      <c r="A23" s="15" t="s">
        <v>10</v>
      </c>
      <c r="B23" s="265">
        <f>SUM(C23:G23)</f>
        <v>376554</v>
      </c>
      <c r="C23" s="265">
        <v>2376</v>
      </c>
      <c r="D23" s="265">
        <v>65231</v>
      </c>
      <c r="E23" s="265">
        <v>95460</v>
      </c>
      <c r="F23" s="265">
        <v>91026</v>
      </c>
      <c r="G23" s="265">
        <v>122461</v>
      </c>
      <c r="H23" s="265">
        <v>93829</v>
      </c>
      <c r="I23" s="265">
        <v>107137</v>
      </c>
      <c r="J23" s="265">
        <v>66860</v>
      </c>
      <c r="K23" s="265">
        <v>53040</v>
      </c>
      <c r="L23" s="265">
        <v>87580</v>
      </c>
      <c r="M23" s="265">
        <v>91240</v>
      </c>
      <c r="N23" s="267">
        <v>105487</v>
      </c>
      <c r="O23" s="265">
        <f>SUM(C23:N23)</f>
        <v>981727</v>
      </c>
    </row>
    <row r="24" spans="1:16" ht="12.75">
      <c r="A24" s="2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72"/>
    </row>
    <row r="25" spans="1:16" ht="12.75">
      <c r="A25" s="50" t="s">
        <v>133</v>
      </c>
      <c r="B25" s="40" t="s">
        <v>11</v>
      </c>
      <c r="C25" s="40" t="s">
        <v>11</v>
      </c>
      <c r="D25" s="40" t="s">
        <v>11</v>
      </c>
      <c r="E25" s="40" t="s">
        <v>11</v>
      </c>
      <c r="F25" s="40" t="s">
        <v>11</v>
      </c>
      <c r="G25" s="40" t="s">
        <v>11</v>
      </c>
      <c r="H25" s="40" t="s">
        <v>11</v>
      </c>
      <c r="I25" s="40" t="s">
        <v>11</v>
      </c>
      <c r="J25" s="45" t="s">
        <v>11</v>
      </c>
      <c r="K25" s="45" t="s">
        <v>11</v>
      </c>
      <c r="L25" s="45" t="s">
        <v>11</v>
      </c>
      <c r="M25" s="45" t="s">
        <v>11</v>
      </c>
      <c r="N25" s="45" t="s">
        <v>11</v>
      </c>
      <c r="O25" s="40" t="s">
        <v>11</v>
      </c>
      <c r="P25" s="208" t="s">
        <v>358</v>
      </c>
    </row>
    <row r="26" spans="1:16" ht="12.75">
      <c r="A26" s="15" t="s">
        <v>36</v>
      </c>
      <c r="B26" s="265">
        <f>SUM(C26:G26)</f>
        <v>48393</v>
      </c>
      <c r="C26" s="265">
        <v>11</v>
      </c>
      <c r="D26" s="265">
        <v>3415</v>
      </c>
      <c r="E26" s="265">
        <v>11201</v>
      </c>
      <c r="F26" s="265">
        <v>14869</v>
      </c>
      <c r="G26" s="265">
        <v>18897</v>
      </c>
      <c r="H26" s="267">
        <v>13285</v>
      </c>
      <c r="I26" s="267">
        <v>12497</v>
      </c>
      <c r="J26" s="267">
        <v>8179</v>
      </c>
      <c r="K26" s="267">
        <v>5736</v>
      </c>
      <c r="L26" s="267">
        <v>6841</v>
      </c>
      <c r="M26" s="267">
        <v>4616</v>
      </c>
      <c r="N26" s="267">
        <v>7298</v>
      </c>
      <c r="O26" s="265">
        <f>SUM(C26:N26)</f>
        <v>106845</v>
      </c>
      <c r="P26" s="208" t="s">
        <v>357</v>
      </c>
    </row>
    <row r="27" spans="1:15" ht="12.75">
      <c r="A27" s="2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2.75">
      <c r="A28" s="50" t="s">
        <v>40</v>
      </c>
      <c r="B28" s="44" t="s">
        <v>13</v>
      </c>
      <c r="C28" s="44" t="s">
        <v>13</v>
      </c>
      <c r="D28" s="44" t="s">
        <v>13</v>
      </c>
      <c r="E28" s="44" t="s">
        <v>13</v>
      </c>
      <c r="F28" s="44" t="s">
        <v>13</v>
      </c>
      <c r="G28" s="44" t="s">
        <v>13</v>
      </c>
      <c r="H28" s="44" t="s">
        <v>13</v>
      </c>
      <c r="I28" s="44" t="s">
        <v>13</v>
      </c>
      <c r="J28" s="86" t="s">
        <v>13</v>
      </c>
      <c r="K28" s="86" t="s">
        <v>13</v>
      </c>
      <c r="L28" s="86" t="s">
        <v>13</v>
      </c>
      <c r="M28" s="86" t="s">
        <v>13</v>
      </c>
      <c r="N28" s="86" t="s">
        <v>13</v>
      </c>
      <c r="O28" s="44" t="s">
        <v>13</v>
      </c>
    </row>
    <row r="29" spans="1:15" ht="12.75">
      <c r="A29" s="15" t="s">
        <v>14</v>
      </c>
      <c r="B29" s="265">
        <f>SUM(C29:G29)</f>
        <v>644169</v>
      </c>
      <c r="C29" s="265">
        <v>356</v>
      </c>
      <c r="D29" s="265">
        <v>83638</v>
      </c>
      <c r="E29" s="265">
        <v>136914</v>
      </c>
      <c r="F29" s="265">
        <v>183693</v>
      </c>
      <c r="G29" s="265">
        <v>239568</v>
      </c>
      <c r="H29" s="265">
        <v>164504</v>
      </c>
      <c r="I29" s="265">
        <v>156698</v>
      </c>
      <c r="J29" s="265">
        <v>109223</v>
      </c>
      <c r="K29" s="265">
        <v>76797</v>
      </c>
      <c r="L29" s="265">
        <v>79178</v>
      </c>
      <c r="M29" s="265">
        <v>60733</v>
      </c>
      <c r="N29" s="267">
        <v>74397</v>
      </c>
      <c r="O29" s="265">
        <f>SUM(C29:N29)</f>
        <v>1365699</v>
      </c>
    </row>
    <row r="30" spans="1:15" ht="12.75">
      <c r="A30" s="15" t="s">
        <v>10</v>
      </c>
      <c r="B30" s="265">
        <f>SUM(C30:G30)</f>
        <v>12883376</v>
      </c>
      <c r="C30" s="265">
        <v>7120</v>
      </c>
      <c r="D30" s="265">
        <v>1672762</v>
      </c>
      <c r="E30" s="265">
        <v>2738286</v>
      </c>
      <c r="F30" s="265">
        <v>3673856</v>
      </c>
      <c r="G30" s="265">
        <v>4791352</v>
      </c>
      <c r="H30" s="265">
        <v>2191094</v>
      </c>
      <c r="I30" s="265">
        <v>1937986</v>
      </c>
      <c r="J30" s="267">
        <v>2184460</v>
      </c>
      <c r="K30" s="267">
        <v>1535940</v>
      </c>
      <c r="L30" s="267">
        <v>1583560</v>
      </c>
      <c r="M30" s="267">
        <v>1214660</v>
      </c>
      <c r="N30" s="267">
        <v>1487097</v>
      </c>
      <c r="O30" s="265">
        <f>SUM(C30:N30)</f>
        <v>25018173</v>
      </c>
    </row>
    <row r="31" spans="1:15" ht="12.75">
      <c r="A31" s="21"/>
      <c r="B31" s="44"/>
      <c r="C31" s="44"/>
      <c r="D31" s="44"/>
      <c r="E31" s="44"/>
      <c r="F31" s="44"/>
      <c r="G31" s="44"/>
      <c r="H31" s="44"/>
      <c r="I31" s="44"/>
      <c r="J31" s="58"/>
      <c r="K31" s="58"/>
      <c r="L31" s="58"/>
      <c r="M31" s="58"/>
      <c r="N31" s="58"/>
      <c r="O31" s="44"/>
    </row>
    <row r="32" spans="1:18" ht="12.75">
      <c r="A32" s="50" t="s">
        <v>39</v>
      </c>
      <c r="B32" s="40" t="s">
        <v>8</v>
      </c>
      <c r="C32" s="40" t="s">
        <v>8</v>
      </c>
      <c r="D32" s="40" t="s">
        <v>8</v>
      </c>
      <c r="E32" s="40" t="s">
        <v>8</v>
      </c>
      <c r="F32" s="40" t="s">
        <v>8</v>
      </c>
      <c r="G32" s="40" t="s">
        <v>8</v>
      </c>
      <c r="H32" s="40" t="s">
        <v>8</v>
      </c>
      <c r="I32" s="40" t="s">
        <v>8</v>
      </c>
      <c r="J32" s="89" t="s">
        <v>8</v>
      </c>
      <c r="K32" s="45" t="s">
        <v>8</v>
      </c>
      <c r="L32" s="45" t="s">
        <v>8</v>
      </c>
      <c r="M32" s="45" t="s">
        <v>8</v>
      </c>
      <c r="N32" s="89" t="s">
        <v>8</v>
      </c>
      <c r="O32" s="40"/>
      <c r="P32" s="3"/>
      <c r="Q32" s="3"/>
      <c r="R32" s="3"/>
    </row>
    <row r="33" spans="1:15" ht="12.75">
      <c r="A33" s="15" t="s">
        <v>14</v>
      </c>
      <c r="B33" s="265">
        <f>SUM(C33:G33)</f>
        <v>81601</v>
      </c>
      <c r="C33" s="265">
        <v>6574</v>
      </c>
      <c r="D33" s="265">
        <v>30773</v>
      </c>
      <c r="E33" s="265">
        <v>22039</v>
      </c>
      <c r="F33" s="265">
        <v>3954</v>
      </c>
      <c r="G33" s="265">
        <v>18261</v>
      </c>
      <c r="H33" s="265">
        <v>19356</v>
      </c>
      <c r="I33" s="265">
        <v>8253</v>
      </c>
      <c r="J33" s="267">
        <v>11187</v>
      </c>
      <c r="K33" s="267">
        <v>4608</v>
      </c>
      <c r="L33" s="267">
        <v>3884</v>
      </c>
      <c r="M33" s="267">
        <v>2082</v>
      </c>
      <c r="N33" s="267">
        <v>12799</v>
      </c>
      <c r="O33" s="44"/>
    </row>
    <row r="34" spans="1:15" ht="12.75">
      <c r="A34" s="15" t="s">
        <v>10</v>
      </c>
      <c r="B34" s="265">
        <f>SUM(C34:G34)</f>
        <v>1521208</v>
      </c>
      <c r="C34" s="265">
        <v>131481</v>
      </c>
      <c r="D34" s="265">
        <v>504649</v>
      </c>
      <c r="E34" s="265">
        <v>440776</v>
      </c>
      <c r="F34" s="265">
        <v>79079</v>
      </c>
      <c r="G34" s="265">
        <v>365223</v>
      </c>
      <c r="H34" s="265">
        <v>347822</v>
      </c>
      <c r="I34" s="265">
        <v>165060</v>
      </c>
      <c r="J34" s="267">
        <v>223740</v>
      </c>
      <c r="K34" s="267">
        <v>92158</v>
      </c>
      <c r="L34" s="267">
        <v>77682</v>
      </c>
      <c r="M34" s="267">
        <v>41646</v>
      </c>
      <c r="N34" s="267">
        <v>295243</v>
      </c>
      <c r="O34" s="44"/>
    </row>
    <row r="35" spans="1:15" ht="12.75">
      <c r="A35" s="21"/>
      <c r="B35" s="44"/>
      <c r="C35" s="44"/>
      <c r="D35" s="44"/>
      <c r="E35" s="44"/>
      <c r="F35" s="44"/>
      <c r="G35" s="44"/>
      <c r="H35" s="44"/>
      <c r="I35" s="44"/>
      <c r="J35" s="58"/>
      <c r="K35" s="58"/>
      <c r="L35" s="58"/>
      <c r="M35" s="58"/>
      <c r="N35" s="58"/>
      <c r="O35" s="44"/>
    </row>
    <row r="36" spans="1:15" ht="12.75">
      <c r="A36" s="40"/>
      <c r="B36" s="44" t="s">
        <v>11</v>
      </c>
      <c r="C36" s="44" t="s">
        <v>11</v>
      </c>
      <c r="D36" s="44" t="s">
        <v>11</v>
      </c>
      <c r="E36" s="44" t="s">
        <v>11</v>
      </c>
      <c r="F36" s="44" t="s">
        <v>11</v>
      </c>
      <c r="G36" s="44" t="s">
        <v>11</v>
      </c>
      <c r="H36" s="44" t="s">
        <v>11</v>
      </c>
      <c r="I36" s="40" t="s">
        <v>11</v>
      </c>
      <c r="J36" s="89" t="s">
        <v>11</v>
      </c>
      <c r="K36" s="89" t="s">
        <v>11</v>
      </c>
      <c r="L36" s="89" t="s">
        <v>11</v>
      </c>
      <c r="M36" s="89" t="s">
        <v>11</v>
      </c>
      <c r="N36" s="89" t="s">
        <v>11</v>
      </c>
      <c r="O36" s="44"/>
    </row>
    <row r="37" spans="1:15" ht="12.75">
      <c r="A37" s="15" t="s">
        <v>36</v>
      </c>
      <c r="B37" s="265">
        <f>SUM(C37:G37)</f>
        <v>130568</v>
      </c>
      <c r="C37" s="265">
        <v>6547</v>
      </c>
      <c r="D37" s="265">
        <v>31455</v>
      </c>
      <c r="E37" s="265">
        <v>39030</v>
      </c>
      <c r="F37" s="265">
        <v>10985</v>
      </c>
      <c r="G37" s="265">
        <v>42551</v>
      </c>
      <c r="H37" s="265">
        <v>54027</v>
      </c>
      <c r="I37" s="265">
        <v>18869</v>
      </c>
      <c r="J37" s="267">
        <v>24815</v>
      </c>
      <c r="K37" s="267">
        <v>10221</v>
      </c>
      <c r="L37" s="267">
        <v>8616</v>
      </c>
      <c r="M37" s="267">
        <v>4619</v>
      </c>
      <c r="N37" s="267">
        <v>13715</v>
      </c>
      <c r="O37" s="44"/>
    </row>
    <row r="38" spans="1:15" ht="12.75">
      <c r="A38" s="21"/>
      <c r="B38" s="44"/>
      <c r="C38" s="44"/>
      <c r="D38" s="44"/>
      <c r="E38" s="44"/>
      <c r="F38" s="44"/>
      <c r="G38" s="44"/>
      <c r="H38" s="44"/>
      <c r="I38" s="44"/>
      <c r="J38" s="58"/>
      <c r="K38" s="58"/>
      <c r="L38" s="58"/>
      <c r="M38" s="58"/>
      <c r="N38" s="58"/>
      <c r="O38" s="44"/>
    </row>
    <row r="39" spans="1:26" ht="12.75">
      <c r="A39" s="50" t="s">
        <v>41</v>
      </c>
      <c r="B39" s="44" t="s">
        <v>13</v>
      </c>
      <c r="C39" s="44" t="s">
        <v>13</v>
      </c>
      <c r="D39" s="44" t="s">
        <v>13</v>
      </c>
      <c r="E39" s="44" t="s">
        <v>13</v>
      </c>
      <c r="F39" s="44" t="s">
        <v>13</v>
      </c>
      <c r="G39" s="44" t="s">
        <v>13</v>
      </c>
      <c r="H39" s="44" t="s">
        <v>13</v>
      </c>
      <c r="I39" s="44" t="s">
        <v>13</v>
      </c>
      <c r="J39" s="90" t="s">
        <v>13</v>
      </c>
      <c r="K39" s="86" t="s">
        <v>13</v>
      </c>
      <c r="L39" s="86" t="s">
        <v>13</v>
      </c>
      <c r="M39" s="44" t="s">
        <v>13</v>
      </c>
      <c r="N39" s="58" t="s">
        <v>13</v>
      </c>
      <c r="O39" s="44"/>
      <c r="S39" s="9"/>
      <c r="T39" s="9"/>
      <c r="U39" s="9"/>
      <c r="V39" s="9"/>
      <c r="W39" s="9"/>
      <c r="X39" s="9"/>
      <c r="Y39" s="9"/>
      <c r="Z39" s="9"/>
    </row>
    <row r="40" spans="1:15" ht="12.75">
      <c r="A40" s="15" t="s">
        <v>14</v>
      </c>
      <c r="B40" s="265">
        <f>SUM(C40:G40)</f>
        <v>2005176</v>
      </c>
      <c r="C40" s="265">
        <v>100752</v>
      </c>
      <c r="D40" s="265">
        <v>616850</v>
      </c>
      <c r="E40" s="265">
        <v>606325</v>
      </c>
      <c r="F40" s="265">
        <v>130804</v>
      </c>
      <c r="G40" s="265">
        <v>550445</v>
      </c>
      <c r="H40" s="265">
        <v>631039</v>
      </c>
      <c r="I40" s="265">
        <v>155595</v>
      </c>
      <c r="J40" s="267">
        <v>312728</v>
      </c>
      <c r="K40" s="267">
        <v>241849</v>
      </c>
      <c r="L40" s="267">
        <v>190865</v>
      </c>
      <c r="M40" s="267">
        <v>74876</v>
      </c>
      <c r="N40" s="267">
        <v>224799</v>
      </c>
      <c r="O40" s="44"/>
    </row>
    <row r="41" spans="1:15" ht="12.75">
      <c r="A41" s="15" t="s">
        <v>10</v>
      </c>
      <c r="B41" s="265">
        <f>SUM(C41:G41)</f>
        <v>40311527</v>
      </c>
      <c r="C41" s="265">
        <v>2015046</v>
      </c>
      <c r="D41" s="265">
        <v>12337003</v>
      </c>
      <c r="E41" s="265">
        <v>12126506</v>
      </c>
      <c r="F41" s="265">
        <v>2824084</v>
      </c>
      <c r="G41" s="265">
        <v>11008888</v>
      </c>
      <c r="H41" s="265">
        <v>5939348</v>
      </c>
      <c r="I41" s="265">
        <v>3111900</v>
      </c>
      <c r="J41" s="267">
        <v>6254560</v>
      </c>
      <c r="K41" s="267">
        <v>4836980</v>
      </c>
      <c r="L41" s="267">
        <v>3817300</v>
      </c>
      <c r="M41" s="267">
        <v>1497520</v>
      </c>
      <c r="N41" s="267">
        <v>4495881</v>
      </c>
      <c r="O41" s="44"/>
    </row>
    <row r="42" spans="1:15" ht="12.75">
      <c r="A42" s="2" t="s">
        <v>356</v>
      </c>
      <c r="B42" s="21"/>
      <c r="C42" s="44"/>
      <c r="D42" s="44"/>
      <c r="E42" s="44"/>
      <c r="F42" s="44"/>
      <c r="G42" s="44"/>
      <c r="H42" s="44"/>
      <c r="I42" s="44"/>
      <c r="J42" s="58"/>
      <c r="K42" s="58"/>
      <c r="L42" s="58"/>
      <c r="M42" s="58"/>
      <c r="N42" s="58"/>
      <c r="O42" s="44"/>
    </row>
    <row r="43" spans="1:15" ht="12.75">
      <c r="A43" s="21"/>
      <c r="B43" s="2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2.75">
      <c r="A44" s="43"/>
      <c r="B44" s="4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/>
    </row>
    <row r="45" spans="1:16" ht="12.75">
      <c r="A45" s="40"/>
      <c r="B45" s="40"/>
      <c r="C45" s="5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8"/>
    </row>
    <row r="46" spans="1:15" ht="12.75">
      <c r="A46" s="21"/>
      <c r="B46" s="2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8" ht="12.75">
      <c r="A47" s="21"/>
      <c r="B47" s="2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9"/>
      <c r="Q47" s="9"/>
      <c r="R47" s="9"/>
    </row>
    <row r="48" spans="1:18" ht="12.75">
      <c r="A48" s="21"/>
      <c r="B48" s="2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9"/>
      <c r="Q48" s="9"/>
      <c r="R48" s="9"/>
    </row>
    <row r="49" spans="1:18" ht="12.75">
      <c r="A49" s="21"/>
      <c r="B49" s="2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9"/>
      <c r="Q49" s="9"/>
      <c r="R49" s="9"/>
    </row>
    <row r="50" spans="1:18" ht="12.75">
      <c r="A50" s="21"/>
      <c r="B50" s="2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9"/>
      <c r="Q50" s="9"/>
      <c r="R50" s="9"/>
    </row>
    <row r="51" spans="1:15" ht="12.75">
      <c r="A51" s="21"/>
      <c r="B51" s="21"/>
      <c r="C51" s="4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2.75">
      <c r="A52" s="21"/>
      <c r="B52" s="21"/>
      <c r="C52" s="4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2.75">
      <c r="A53" s="21"/>
      <c r="B53" s="2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6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8"/>
    </row>
    <row r="55" spans="1:15" ht="12.75">
      <c r="A55" s="21"/>
      <c r="B55" s="21"/>
      <c r="C55" s="5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8" ht="12.75">
      <c r="A56" s="21"/>
      <c r="B56" s="2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9"/>
      <c r="Q56" s="9"/>
      <c r="R56" s="9"/>
    </row>
    <row r="57" spans="1:18" ht="12.75">
      <c r="A57" s="21"/>
      <c r="B57" s="2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9"/>
      <c r="Q57" s="9"/>
      <c r="R57" s="9"/>
    </row>
    <row r="58" spans="1:15" ht="12.75">
      <c r="A58" s="21"/>
      <c r="B58" s="21"/>
      <c r="C58" s="4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2.75">
      <c r="A59" s="21"/>
      <c r="B59" s="2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8" ht="12.75">
      <c r="A60" s="21"/>
      <c r="B60" s="2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0"/>
      <c r="Q60" s="10"/>
      <c r="R60" s="10"/>
    </row>
    <row r="61" spans="1:18" ht="12.75">
      <c r="A61" s="21"/>
      <c r="B61" s="21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10"/>
      <c r="Q61" s="10"/>
      <c r="R61" s="10"/>
    </row>
    <row r="62" spans="1:15" ht="12.75">
      <c r="A62" s="21"/>
      <c r="B62" s="2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2.75">
      <c r="A63" s="40"/>
      <c r="B63" s="40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2.75">
      <c r="A64" s="40"/>
      <c r="B64" s="40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2.75">
      <c r="A65" s="40"/>
      <c r="B65" s="4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2.75">
      <c r="A66" s="40"/>
      <c r="B66" s="40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2.75">
      <c r="A67" s="40"/>
      <c r="B67" s="40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2.75">
      <c r="A68" s="40"/>
      <c r="B68" s="40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2.75">
      <c r="A69" s="40"/>
      <c r="B69" s="4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2.7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2.75">
      <c r="A71" s="40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2.75">
      <c r="A72" s="40"/>
      <c r="B72" s="4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2.75">
      <c r="A73" s="40"/>
      <c r="B73" s="4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2.75">
      <c r="A74" s="40"/>
      <c r="B74" s="4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2.75">
      <c r="A75" s="40"/>
      <c r="B75" s="4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2.75">
      <c r="A76" s="40"/>
      <c r="B76" s="4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2.75">
      <c r="A77" s="40"/>
      <c r="B77" s="4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2.75">
      <c r="A78" s="40"/>
      <c r="B78" s="4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2.75">
      <c r="A79" s="40"/>
      <c r="B79" s="4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2.75">
      <c r="A80" s="40"/>
      <c r="B80" s="4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2.75">
      <c r="A81" s="40"/>
      <c r="B81" s="4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2.75">
      <c r="A82" s="40"/>
      <c r="B82" s="4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2.75">
      <c r="A83" s="40"/>
      <c r="B83" s="4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2.75">
      <c r="A84" s="40"/>
      <c r="B84" s="4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2.75">
      <c r="A85" s="40"/>
      <c r="B85" s="4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40"/>
      <c r="B86" s="4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2.75">
      <c r="A87" s="40"/>
      <c r="B87" s="4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2.75">
      <c r="A88" s="40"/>
      <c r="B88" s="4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2.75">
      <c r="A89" s="40"/>
      <c r="B89" s="4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2.75">
      <c r="A90" s="40"/>
      <c r="B90" s="4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2.75">
      <c r="A91" s="40"/>
      <c r="B91" s="4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2.75">
      <c r="A92" s="40"/>
      <c r="B92" s="4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2.75">
      <c r="A93" s="40"/>
      <c r="B93" s="4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2.75">
      <c r="A94" s="40"/>
      <c r="B94" s="40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</sheetData>
  <sheetProtection/>
  <mergeCells count="2">
    <mergeCell ref="A1:O1"/>
    <mergeCell ref="A6:O6"/>
  </mergeCells>
  <printOptions/>
  <pageMargins left="0.55" right="0.57" top="0.94" bottom="0.82" header="0.71" footer="0.5"/>
  <pageSetup fitToHeight="1" fitToWidth="1"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colBreaks count="1" manualBreakCount="1">
    <brk id="15" max="3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X51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29.421875" style="3" bestFit="1" customWidth="1"/>
    <col min="2" max="2" width="12.8515625" style="3" bestFit="1" customWidth="1"/>
    <col min="3" max="3" width="12.00390625" style="6" hidden="1" customWidth="1"/>
    <col min="4" max="4" width="12.140625" style="6" hidden="1" customWidth="1"/>
    <col min="5" max="6" width="12.57421875" style="6" hidden="1" customWidth="1"/>
    <col min="7" max="7" width="13.7109375" style="6" hidden="1" customWidth="1"/>
    <col min="8" max="8" width="12.7109375" style="6" customWidth="1"/>
    <col min="9" max="9" width="12.8515625" style="6" customWidth="1"/>
    <col min="10" max="10" width="13.140625" style="6" customWidth="1"/>
    <col min="11" max="11" width="15.57421875" style="6" bestFit="1" customWidth="1"/>
    <col min="12" max="13" width="14.57421875" style="6" bestFit="1" customWidth="1"/>
    <col min="14" max="14" width="13.57421875" style="6" bestFit="1" customWidth="1"/>
    <col min="15" max="15" width="17.00390625" style="6" bestFit="1" customWidth="1"/>
    <col min="16" max="16384" width="10.7109375" style="6" customWidth="1"/>
  </cols>
  <sheetData>
    <row r="1" spans="1:15" ht="15.75">
      <c r="A1" s="382" t="s">
        <v>31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15.75">
      <c r="A2" s="112"/>
      <c r="B2" s="112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6" ht="12.75">
      <c r="A3" s="21"/>
      <c r="B3" s="21"/>
      <c r="P3" s="3"/>
    </row>
    <row r="4" spans="1:16" ht="25.5">
      <c r="A4" s="30" t="s">
        <v>309</v>
      </c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207" t="s">
        <v>423</v>
      </c>
      <c r="O4" s="126" t="s">
        <v>427</v>
      </c>
      <c r="P4" s="3"/>
    </row>
    <row r="5" spans="1:16" ht="12.75">
      <c r="A5" s="139"/>
      <c r="B5" s="314">
        <f>SUM(SUM(C5:F5)*1000)+G5</f>
        <v>177305000</v>
      </c>
      <c r="C5" s="314">
        <v>17250</v>
      </c>
      <c r="D5" s="314">
        <v>16455</v>
      </c>
      <c r="E5" s="314">
        <v>12700</v>
      </c>
      <c r="F5" s="314">
        <v>45200</v>
      </c>
      <c r="G5" s="262">
        <f>85700*1000</f>
        <v>85700000</v>
      </c>
      <c r="H5" s="262">
        <f>147453*1000</f>
        <v>147453000</v>
      </c>
      <c r="I5" s="262">
        <f>151712*1000</f>
        <v>151712000</v>
      </c>
      <c r="J5" s="262">
        <f>195049*1000</f>
        <v>195049000</v>
      </c>
      <c r="K5" s="294">
        <v>126605581.76</v>
      </c>
      <c r="L5" s="294">
        <v>54778432.5</v>
      </c>
      <c r="M5" s="294">
        <v>22623674.18</v>
      </c>
      <c r="N5" s="294">
        <v>4150000</v>
      </c>
      <c r="O5" s="294">
        <f>SUM(SUM(C5:F5)*1000)+SUM(G5:N5)</f>
        <v>879676688.4399999</v>
      </c>
      <c r="P5" s="3"/>
    </row>
    <row r="6" spans="1:16" ht="21.75" customHeight="1">
      <c r="A6" s="3"/>
      <c r="B6" s="389" t="s">
        <v>343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"/>
    </row>
    <row r="7" spans="1:16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3"/>
    </row>
    <row r="8" spans="1:16" ht="12.75">
      <c r="A8" s="76" t="s">
        <v>308</v>
      </c>
      <c r="B8" s="76"/>
      <c r="C8" s="201"/>
      <c r="D8" s="201"/>
      <c r="E8" s="201"/>
      <c r="F8" s="201"/>
      <c r="G8" s="185"/>
      <c r="H8" s="185"/>
      <c r="I8" s="185"/>
      <c r="J8" s="185"/>
      <c r="K8" s="185"/>
      <c r="L8" s="185"/>
      <c r="M8" s="185"/>
      <c r="N8" s="185"/>
      <c r="O8" s="185"/>
      <c r="P8" s="3"/>
    </row>
    <row r="9" spans="1:15" s="3" customFormat="1" ht="12.75">
      <c r="A9" s="156" t="s">
        <v>32</v>
      </c>
      <c r="B9" s="262">
        <f>SUM(SUM(C9:F9)*1000)+G9</f>
        <v>58326000</v>
      </c>
      <c r="C9" s="314">
        <v>951</v>
      </c>
      <c r="D9" s="314">
        <v>6343</v>
      </c>
      <c r="E9" s="314">
        <v>7821</v>
      </c>
      <c r="F9" s="314">
        <v>13361</v>
      </c>
      <c r="G9" s="262">
        <f>29850*1000</f>
        <v>29850000</v>
      </c>
      <c r="H9" s="262">
        <f>82723*1000</f>
        <v>82723000</v>
      </c>
      <c r="I9" s="262">
        <f>73285.4*1000</f>
        <v>73285400</v>
      </c>
      <c r="J9" s="262">
        <f>51587*1000</f>
        <v>51587000</v>
      </c>
      <c r="K9" s="294">
        <v>35155470.15</v>
      </c>
      <c r="L9" s="294">
        <v>28526247.32</v>
      </c>
      <c r="M9" s="294">
        <v>13139812.21</v>
      </c>
      <c r="N9" s="294">
        <v>4037205.82</v>
      </c>
      <c r="O9" s="294">
        <f>SUM(SUM(C9:F9)*1000)+SUM(G9:N9)</f>
        <v>346780135.49999994</v>
      </c>
    </row>
    <row r="10" spans="1:15" s="3" customFormat="1" ht="12.75">
      <c r="A10" s="156" t="s">
        <v>20</v>
      </c>
      <c r="B10" s="262">
        <f>SUM(SUM(C10:F10)*1000)+G10</f>
        <v>306277000</v>
      </c>
      <c r="C10" s="314">
        <v>8216</v>
      </c>
      <c r="D10" s="314">
        <v>14687</v>
      </c>
      <c r="E10" s="314">
        <v>33248</v>
      </c>
      <c r="F10" s="314">
        <v>113612</v>
      </c>
      <c r="G10" s="262">
        <f>136514*1000</f>
        <v>136514000</v>
      </c>
      <c r="H10" s="262">
        <f>95233*1000</f>
        <v>95233000</v>
      </c>
      <c r="I10" s="262">
        <f>72991.4*1000</f>
        <v>72991400</v>
      </c>
      <c r="J10" s="262">
        <f>102711*1000</f>
        <v>102711000</v>
      </c>
      <c r="K10" s="294">
        <v>77343991</v>
      </c>
      <c r="L10" s="294">
        <v>25616683.86</v>
      </c>
      <c r="M10" s="294">
        <v>6045121.4</v>
      </c>
      <c r="N10" s="294">
        <v>0</v>
      </c>
      <c r="O10" s="294">
        <f>SUM(SUM(C10:F10)*1000)+SUM(G10:N10)</f>
        <v>686218196.26</v>
      </c>
    </row>
    <row r="11" spans="1:15" s="3" customFormat="1" ht="12.75">
      <c r="A11" s="15" t="s">
        <v>33</v>
      </c>
      <c r="B11" s="262">
        <f>SUM(SUM(C11:F11)*1000)+G11</f>
        <v>364603000</v>
      </c>
      <c r="C11" s="295">
        <f aca="true" t="shared" si="0" ref="C11:H11">SUM(C9:C10)</f>
        <v>9167</v>
      </c>
      <c r="D11" s="295">
        <f t="shared" si="0"/>
        <v>21030</v>
      </c>
      <c r="E11" s="295">
        <f t="shared" si="0"/>
        <v>41069</v>
      </c>
      <c r="F11" s="295">
        <f t="shared" si="0"/>
        <v>126973</v>
      </c>
      <c r="G11" s="287">
        <f t="shared" si="0"/>
        <v>166364000</v>
      </c>
      <c r="H11" s="287">
        <f t="shared" si="0"/>
        <v>177956000</v>
      </c>
      <c r="I11" s="287">
        <f aca="true" t="shared" si="1" ref="I11:N11">SUM(I9:I10)</f>
        <v>146276800</v>
      </c>
      <c r="J11" s="287">
        <f t="shared" si="1"/>
        <v>154298000</v>
      </c>
      <c r="K11" s="293">
        <f t="shared" si="1"/>
        <v>112499461.15</v>
      </c>
      <c r="L11" s="293">
        <f t="shared" si="1"/>
        <v>54142931.18</v>
      </c>
      <c r="M11" s="293">
        <f t="shared" si="1"/>
        <v>19184933.61</v>
      </c>
      <c r="N11" s="293">
        <f t="shared" si="1"/>
        <v>4037205.82</v>
      </c>
      <c r="O11" s="294">
        <f>SUM(SUM(C11:F11)*1000)+SUM(G11:N11)</f>
        <v>1032998331.76</v>
      </c>
    </row>
    <row r="12" spans="1:15" s="3" customFormat="1" ht="12.75">
      <c r="A12" s="21"/>
      <c r="B12" s="2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3" customFormat="1" ht="12.75">
      <c r="A13" s="43" t="s">
        <v>5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" customFormat="1" ht="12.75">
      <c r="A14" s="15" t="s">
        <v>24</v>
      </c>
      <c r="B14" s="265">
        <f>SUM(C14:G14)</f>
        <v>890</v>
      </c>
      <c r="C14" s="265">
        <v>6</v>
      </c>
      <c r="D14" s="265">
        <v>46</v>
      </c>
      <c r="E14" s="265">
        <v>58</v>
      </c>
      <c r="F14" s="265">
        <v>284</v>
      </c>
      <c r="G14" s="265">
        <v>496</v>
      </c>
      <c r="H14" s="265">
        <v>1005</v>
      </c>
      <c r="I14" s="265">
        <v>832</v>
      </c>
      <c r="J14" s="265">
        <v>827</v>
      </c>
      <c r="K14" s="265">
        <v>509</v>
      </c>
      <c r="L14" s="265">
        <v>341</v>
      </c>
      <c r="M14" s="267">
        <v>64</v>
      </c>
      <c r="N14" s="267">
        <v>17</v>
      </c>
      <c r="O14" s="268">
        <f>SUM(C14:N14)</f>
        <v>4485</v>
      </c>
    </row>
    <row r="15" spans="1:15" s="3" customFormat="1" ht="12.75">
      <c r="A15" s="15" t="s">
        <v>23</v>
      </c>
      <c r="B15" s="265">
        <f>SUM(C15:G15)</f>
        <v>2099</v>
      </c>
      <c r="C15" s="265">
        <v>45</v>
      </c>
      <c r="D15" s="265">
        <v>59</v>
      </c>
      <c r="E15" s="265">
        <v>226</v>
      </c>
      <c r="F15" s="265">
        <v>587</v>
      </c>
      <c r="G15" s="265">
        <v>1182</v>
      </c>
      <c r="H15" s="265">
        <v>565</v>
      </c>
      <c r="I15" s="265">
        <v>1070</v>
      </c>
      <c r="J15" s="265">
        <v>1047</v>
      </c>
      <c r="K15" s="265">
        <v>665</v>
      </c>
      <c r="L15" s="267">
        <v>101</v>
      </c>
      <c r="M15" s="267"/>
      <c r="N15" s="267">
        <v>0</v>
      </c>
      <c r="O15" s="268">
        <f>SUM(C15:N15)</f>
        <v>5547</v>
      </c>
    </row>
    <row r="16" spans="1:15" s="3" customFormat="1" ht="12.75">
      <c r="A16" s="15" t="s">
        <v>21</v>
      </c>
      <c r="B16" s="265">
        <f>SUM(C16:G16)</f>
        <v>2989</v>
      </c>
      <c r="C16" s="265">
        <f aca="true" t="shared" si="2" ref="C16:H16">SUM(C14:C15)</f>
        <v>51</v>
      </c>
      <c r="D16" s="265">
        <f t="shared" si="2"/>
        <v>105</v>
      </c>
      <c r="E16" s="265">
        <f t="shared" si="2"/>
        <v>284</v>
      </c>
      <c r="F16" s="265">
        <f t="shared" si="2"/>
        <v>871</v>
      </c>
      <c r="G16" s="265">
        <f t="shared" si="2"/>
        <v>1678</v>
      </c>
      <c r="H16" s="265">
        <f t="shared" si="2"/>
        <v>1570</v>
      </c>
      <c r="I16" s="265">
        <f aca="true" t="shared" si="3" ref="I16:N16">SUM(I14:I15)</f>
        <v>1902</v>
      </c>
      <c r="J16" s="265">
        <f t="shared" si="3"/>
        <v>1874</v>
      </c>
      <c r="K16" s="265">
        <f t="shared" si="3"/>
        <v>1174</v>
      </c>
      <c r="L16" s="265">
        <f t="shared" si="3"/>
        <v>442</v>
      </c>
      <c r="M16" s="267">
        <f t="shared" si="3"/>
        <v>64</v>
      </c>
      <c r="N16" s="267">
        <f t="shared" si="3"/>
        <v>17</v>
      </c>
      <c r="O16" s="268">
        <f>SUM(C16:N16)</f>
        <v>10032</v>
      </c>
    </row>
    <row r="17" spans="1:15" s="3" customFormat="1" ht="12.75">
      <c r="A17" s="21"/>
      <c r="B17" s="2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8"/>
      <c r="N17" s="58"/>
      <c r="O17" s="58"/>
    </row>
    <row r="18" spans="1:15" s="3" customFormat="1" ht="12.75">
      <c r="A18" s="50" t="s">
        <v>24</v>
      </c>
      <c r="B18" s="5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s="3" customFormat="1" ht="12.75">
      <c r="A19" s="43" t="s">
        <v>72</v>
      </c>
      <c r="B19" s="40" t="s">
        <v>8</v>
      </c>
      <c r="C19" s="40" t="s">
        <v>8</v>
      </c>
      <c r="D19" s="40" t="s">
        <v>8</v>
      </c>
      <c r="E19" s="40" t="s">
        <v>8</v>
      </c>
      <c r="F19" s="40" t="s">
        <v>8</v>
      </c>
      <c r="G19" s="40" t="s">
        <v>8</v>
      </c>
      <c r="H19" s="40" t="s">
        <v>8</v>
      </c>
      <c r="I19" s="40" t="s">
        <v>8</v>
      </c>
      <c r="J19" s="45" t="s">
        <v>8</v>
      </c>
      <c r="K19" s="45" t="s">
        <v>8</v>
      </c>
      <c r="L19" s="45" t="s">
        <v>8</v>
      </c>
      <c r="M19" s="45" t="s">
        <v>8</v>
      </c>
      <c r="N19" s="45" t="s">
        <v>8</v>
      </c>
      <c r="O19" s="40" t="s">
        <v>8</v>
      </c>
    </row>
    <row r="20" spans="1:15" ht="12.75">
      <c r="A20" s="15" t="s">
        <v>73</v>
      </c>
      <c r="B20" s="265">
        <f>SUM(C20:G20)</f>
        <v>33281</v>
      </c>
      <c r="C20" s="265">
        <v>11</v>
      </c>
      <c r="D20" s="265">
        <v>2896</v>
      </c>
      <c r="E20" s="265">
        <v>7239</v>
      </c>
      <c r="F20" s="265">
        <v>6515</v>
      </c>
      <c r="G20" s="265">
        <v>16620</v>
      </c>
      <c r="H20" s="265">
        <v>22470</v>
      </c>
      <c r="I20" s="265">
        <v>24369</v>
      </c>
      <c r="J20" s="265">
        <v>17726</v>
      </c>
      <c r="K20" s="265">
        <v>15432</v>
      </c>
      <c r="L20" s="265">
        <v>18181</v>
      </c>
      <c r="M20" s="265">
        <v>6961</v>
      </c>
      <c r="N20" s="267">
        <v>3632</v>
      </c>
      <c r="O20" s="266">
        <f>SUM(C20:N20)</f>
        <v>142052</v>
      </c>
    </row>
    <row r="21" spans="1:15" ht="12.75">
      <c r="A21" s="15" t="s">
        <v>74</v>
      </c>
      <c r="B21" s="265">
        <f>SUM(C21:G21)</f>
        <v>600659</v>
      </c>
      <c r="C21" s="265">
        <v>173</v>
      </c>
      <c r="D21" s="265">
        <v>56330</v>
      </c>
      <c r="E21" s="265">
        <v>109981</v>
      </c>
      <c r="F21" s="265">
        <v>82996</v>
      </c>
      <c r="G21" s="265">
        <v>351179</v>
      </c>
      <c r="H21" s="265">
        <v>449400</v>
      </c>
      <c r="I21" s="265">
        <v>487379</v>
      </c>
      <c r="J21" s="265">
        <v>354528</v>
      </c>
      <c r="K21" s="265">
        <v>308648</v>
      </c>
      <c r="L21" s="265">
        <v>363625</v>
      </c>
      <c r="M21" s="265">
        <v>139211</v>
      </c>
      <c r="N21" s="267">
        <v>72638</v>
      </c>
      <c r="O21" s="266">
        <f>SUM(C21:N21)</f>
        <v>2776088</v>
      </c>
    </row>
    <row r="22" spans="1:15" ht="12.75">
      <c r="A22" s="21"/>
      <c r="B22" s="2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8"/>
      <c r="O22" s="44"/>
    </row>
    <row r="23" spans="1:15" ht="12.75">
      <c r="A23" s="43" t="s">
        <v>133</v>
      </c>
      <c r="B23" s="44" t="s">
        <v>11</v>
      </c>
      <c r="C23" s="44" t="s">
        <v>11</v>
      </c>
      <c r="D23" s="44" t="s">
        <v>11</v>
      </c>
      <c r="E23" s="44" t="s">
        <v>11</v>
      </c>
      <c r="F23" s="44" t="s">
        <v>11</v>
      </c>
      <c r="G23" s="44" t="s">
        <v>11</v>
      </c>
      <c r="H23" s="44" t="s">
        <v>11</v>
      </c>
      <c r="I23" s="44" t="s">
        <v>11</v>
      </c>
      <c r="J23" s="86" t="s">
        <v>11</v>
      </c>
      <c r="K23" s="86" t="s">
        <v>11</v>
      </c>
      <c r="L23" s="86" t="s">
        <v>11</v>
      </c>
      <c r="M23" s="86" t="s">
        <v>11</v>
      </c>
      <c r="N23" s="90" t="s">
        <v>11</v>
      </c>
      <c r="O23" s="44" t="s">
        <v>11</v>
      </c>
    </row>
    <row r="24" spans="1:15" ht="12.75">
      <c r="A24" s="15" t="s">
        <v>75</v>
      </c>
      <c r="B24" s="265">
        <f>SUM(C24:G24)</f>
        <v>12923</v>
      </c>
      <c r="C24" s="265">
        <v>8</v>
      </c>
      <c r="D24" s="265">
        <v>1142</v>
      </c>
      <c r="E24" s="265">
        <v>1743</v>
      </c>
      <c r="F24" s="265">
        <v>2644</v>
      </c>
      <c r="G24" s="265">
        <v>7386</v>
      </c>
      <c r="H24" s="265">
        <v>18725</v>
      </c>
      <c r="I24" s="265">
        <v>20307</v>
      </c>
      <c r="J24" s="265">
        <v>14772</v>
      </c>
      <c r="K24" s="265">
        <v>12860</v>
      </c>
      <c r="L24" s="265">
        <v>15151</v>
      </c>
      <c r="M24" s="265">
        <v>5800</v>
      </c>
      <c r="N24" s="267">
        <v>2314</v>
      </c>
      <c r="O24" s="266">
        <f>SUM(C24:N24)</f>
        <v>102852</v>
      </c>
    </row>
    <row r="25" spans="1:15" ht="12.75">
      <c r="A25" s="40"/>
      <c r="B25" s="40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8"/>
      <c r="O25" s="44"/>
    </row>
    <row r="26" spans="1:15" ht="12.75">
      <c r="A26" s="43" t="s">
        <v>77</v>
      </c>
      <c r="B26" s="44" t="s">
        <v>13</v>
      </c>
      <c r="C26" s="44" t="s">
        <v>13</v>
      </c>
      <c r="D26" s="44" t="s">
        <v>13</v>
      </c>
      <c r="E26" s="44" t="s">
        <v>13</v>
      </c>
      <c r="F26" s="44" t="s">
        <v>13</v>
      </c>
      <c r="G26" s="44" t="s">
        <v>13</v>
      </c>
      <c r="H26" s="44" t="s">
        <v>13</v>
      </c>
      <c r="I26" s="44" t="s">
        <v>13</v>
      </c>
      <c r="J26" s="86" t="s">
        <v>13</v>
      </c>
      <c r="K26" s="86" t="s">
        <v>13</v>
      </c>
      <c r="L26" s="86" t="s">
        <v>13</v>
      </c>
      <c r="M26" s="86" t="s">
        <v>13</v>
      </c>
      <c r="N26" s="90" t="s">
        <v>13</v>
      </c>
      <c r="O26" s="44" t="s">
        <v>13</v>
      </c>
    </row>
    <row r="27" spans="1:15" ht="12.75">
      <c r="A27" s="15" t="s">
        <v>14</v>
      </c>
      <c r="B27" s="265">
        <f>SUM(C27:G27)</f>
        <v>5825</v>
      </c>
      <c r="C27" s="265">
        <v>0</v>
      </c>
      <c r="D27" s="265">
        <v>4161</v>
      </c>
      <c r="E27" s="265">
        <v>1664</v>
      </c>
      <c r="F27" s="265">
        <v>0</v>
      </c>
      <c r="G27" s="265">
        <v>0</v>
      </c>
      <c r="H27" s="265">
        <v>0</v>
      </c>
      <c r="I27" s="265"/>
      <c r="J27" s="265"/>
      <c r="K27" s="265"/>
      <c r="L27" s="265"/>
      <c r="M27" s="265"/>
      <c r="N27" s="267"/>
      <c r="O27" s="266">
        <f>SUM(C27:N27)</f>
        <v>5825</v>
      </c>
    </row>
    <row r="28" spans="1:15" ht="12.75">
      <c r="A28" s="15" t="s">
        <v>76</v>
      </c>
      <c r="B28" s="265">
        <f>SUM(C28:G28)</f>
        <v>116508</v>
      </c>
      <c r="C28" s="265">
        <v>0</v>
      </c>
      <c r="D28" s="265">
        <v>83220</v>
      </c>
      <c r="E28" s="265">
        <v>33288</v>
      </c>
      <c r="F28" s="265">
        <v>0</v>
      </c>
      <c r="G28" s="265">
        <v>0</v>
      </c>
      <c r="H28" s="265">
        <v>0</v>
      </c>
      <c r="I28" s="265"/>
      <c r="J28" s="265"/>
      <c r="K28" s="265"/>
      <c r="L28" s="265"/>
      <c r="M28" s="265"/>
      <c r="N28" s="267"/>
      <c r="O28" s="266">
        <f>SUM(C28:N28)</f>
        <v>116508</v>
      </c>
    </row>
    <row r="29" ht="12.75">
      <c r="N29" s="65"/>
    </row>
    <row r="30" spans="1:14" ht="12.75">
      <c r="A30" s="61" t="s">
        <v>23</v>
      </c>
      <c r="B30" s="61"/>
      <c r="C30" s="7"/>
      <c r="N30" s="65"/>
    </row>
    <row r="31" spans="1:15" ht="12.75">
      <c r="A31" s="43" t="s">
        <v>72</v>
      </c>
      <c r="B31" s="40" t="s">
        <v>8</v>
      </c>
      <c r="C31" s="40" t="s">
        <v>8</v>
      </c>
      <c r="D31" s="40" t="s">
        <v>8</v>
      </c>
      <c r="E31" s="40" t="s">
        <v>8</v>
      </c>
      <c r="F31" s="40" t="s">
        <v>8</v>
      </c>
      <c r="G31" s="40" t="s">
        <v>8</v>
      </c>
      <c r="H31" s="40" t="s">
        <v>8</v>
      </c>
      <c r="I31" s="40" t="s">
        <v>8</v>
      </c>
      <c r="J31" s="45" t="s">
        <v>8</v>
      </c>
      <c r="K31" s="45" t="s">
        <v>8</v>
      </c>
      <c r="L31" s="45" t="s">
        <v>8</v>
      </c>
      <c r="M31" s="45" t="s">
        <v>8</v>
      </c>
      <c r="N31" s="89" t="s">
        <v>8</v>
      </c>
      <c r="O31" s="40"/>
    </row>
    <row r="32" spans="1:15" ht="12.75">
      <c r="A32" s="15" t="s">
        <v>73</v>
      </c>
      <c r="B32" s="265">
        <f>SUM(C32:G32)</f>
        <v>83601</v>
      </c>
      <c r="C32" s="265"/>
      <c r="D32" s="265"/>
      <c r="E32" s="265"/>
      <c r="F32" s="265"/>
      <c r="G32" s="265">
        <v>83601</v>
      </c>
      <c r="H32" s="265">
        <v>35316</v>
      </c>
      <c r="I32" s="265">
        <v>25757</v>
      </c>
      <c r="J32" s="265">
        <v>64262</v>
      </c>
      <c r="K32" s="265">
        <v>48452</v>
      </c>
      <c r="L32" s="265">
        <v>16435</v>
      </c>
      <c r="M32" s="265">
        <v>5239</v>
      </c>
      <c r="N32" s="267">
        <v>0</v>
      </c>
      <c r="O32" s="86"/>
    </row>
    <row r="33" spans="1:15" ht="12.75">
      <c r="A33" s="15" t="s">
        <v>74</v>
      </c>
      <c r="B33" s="265">
        <f>SUM(C33:G33)</f>
        <v>1488376</v>
      </c>
      <c r="C33" s="265"/>
      <c r="D33" s="265"/>
      <c r="E33" s="265"/>
      <c r="F33" s="265"/>
      <c r="G33" s="265">
        <v>1488376</v>
      </c>
      <c r="H33" s="265">
        <v>706325</v>
      </c>
      <c r="I33" s="265">
        <v>515130</v>
      </c>
      <c r="J33" s="265">
        <v>1285248</v>
      </c>
      <c r="K33" s="265">
        <v>969030</v>
      </c>
      <c r="L33" s="265">
        <v>328695</v>
      </c>
      <c r="M33" s="265">
        <v>104779</v>
      </c>
      <c r="N33" s="267">
        <v>0</v>
      </c>
      <c r="O33" s="86"/>
    </row>
    <row r="34" spans="1:15" ht="12.75">
      <c r="A34" s="21"/>
      <c r="B34" s="2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8"/>
      <c r="O34" s="44"/>
    </row>
    <row r="35" spans="1:15" ht="12.75">
      <c r="A35" s="43" t="s">
        <v>133</v>
      </c>
      <c r="B35" s="44" t="s">
        <v>11</v>
      </c>
      <c r="C35" s="44" t="s">
        <v>11</v>
      </c>
      <c r="D35" s="44" t="s">
        <v>11</v>
      </c>
      <c r="E35" s="44" t="s">
        <v>11</v>
      </c>
      <c r="F35" s="44" t="s">
        <v>11</v>
      </c>
      <c r="G35" s="44" t="s">
        <v>11</v>
      </c>
      <c r="H35" s="44" t="s">
        <v>11</v>
      </c>
      <c r="I35" s="44" t="s">
        <v>11</v>
      </c>
      <c r="J35" s="86" t="s">
        <v>11</v>
      </c>
      <c r="K35" s="86" t="s">
        <v>11</v>
      </c>
      <c r="L35" s="86" t="s">
        <v>11</v>
      </c>
      <c r="M35" s="86" t="s">
        <v>11</v>
      </c>
      <c r="N35" s="90" t="s">
        <v>11</v>
      </c>
      <c r="O35" s="86"/>
    </row>
    <row r="36" spans="1:24" ht="12.75">
      <c r="A36" s="15" t="s">
        <v>75</v>
      </c>
      <c r="B36" s="265">
        <f>SUM(C36:G36)</f>
        <v>38148</v>
      </c>
      <c r="C36" s="265"/>
      <c r="D36" s="265"/>
      <c r="E36" s="265"/>
      <c r="F36" s="265"/>
      <c r="G36" s="265">
        <v>38148</v>
      </c>
      <c r="H36" s="265">
        <v>29430</v>
      </c>
      <c r="I36" s="265">
        <v>21464</v>
      </c>
      <c r="J36" s="265">
        <v>53552</v>
      </c>
      <c r="K36" s="265">
        <v>40376</v>
      </c>
      <c r="L36" s="265">
        <v>13696</v>
      </c>
      <c r="M36" s="265">
        <v>4366</v>
      </c>
      <c r="N36" s="267">
        <v>0</v>
      </c>
      <c r="O36" s="86"/>
      <c r="P36" s="10"/>
      <c r="Q36" s="9"/>
      <c r="R36" s="9"/>
      <c r="S36" s="9"/>
      <c r="T36" s="9"/>
      <c r="U36" s="9"/>
      <c r="V36" s="9"/>
      <c r="W36" s="9"/>
      <c r="X36" s="9"/>
    </row>
    <row r="37" spans="1:24" ht="12.75">
      <c r="A37" s="2" t="s">
        <v>356</v>
      </c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9"/>
      <c r="R37" s="9"/>
      <c r="S37" s="9"/>
      <c r="T37" s="9"/>
      <c r="U37" s="9"/>
      <c r="V37" s="9"/>
      <c r="W37" s="9"/>
      <c r="X37" s="9"/>
    </row>
    <row r="38" spans="1:24" ht="12.75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9"/>
      <c r="R38" s="9"/>
      <c r="S38" s="9"/>
      <c r="T38" s="9"/>
      <c r="U38" s="9"/>
      <c r="V38" s="9"/>
      <c r="W38" s="9"/>
      <c r="X38" s="9"/>
    </row>
    <row r="39" spans="1:24" ht="12.75">
      <c r="A39" s="2"/>
      <c r="B39" s="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3:16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3" ht="12.75">
      <c r="A41" s="6"/>
      <c r="B41" s="6"/>
      <c r="C41" s="8"/>
    </row>
    <row r="42" spans="1:2" ht="12.75">
      <c r="A42" s="2"/>
      <c r="B42" s="2"/>
    </row>
    <row r="43" spans="1:16" ht="12.75">
      <c r="A43" s="2"/>
      <c r="B43" s="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2"/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3" ht="12.75">
      <c r="A47" s="2"/>
      <c r="B47" s="2"/>
      <c r="C47" s="8"/>
    </row>
    <row r="48" spans="1:2" ht="12.75">
      <c r="A48" s="2"/>
      <c r="B48" s="2"/>
    </row>
    <row r="49" spans="1:16" ht="12.75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mergeCells count="2">
    <mergeCell ref="A1:O1"/>
    <mergeCell ref="B6:O6"/>
  </mergeCells>
  <printOptions/>
  <pageMargins left="0.55" right="0.57" top="0.63" bottom="0.8" header="0.5" footer="0.5"/>
  <pageSetup fitToHeight="1" fitToWidth="1" horizontalDpi="600" verticalDpi="600" orientation="landscape" scale="82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39"/>
  <sheetViews>
    <sheetView showGridLines="0" zoomScalePageLayoutView="0" workbookViewId="0" topLeftCell="A1">
      <selection activeCell="A1" sqref="A1:H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7" width="10.8515625" style="6" customWidth="1"/>
    <col min="8" max="8" width="11.140625" style="6" bestFit="1" customWidth="1"/>
    <col min="9" max="16384" width="10.7109375" style="6" customWidth="1"/>
  </cols>
  <sheetData>
    <row r="1" spans="1:8" ht="15.75">
      <c r="A1" s="382" t="s">
        <v>240</v>
      </c>
      <c r="B1" s="383"/>
      <c r="C1" s="383"/>
      <c r="D1" s="383"/>
      <c r="E1" s="383"/>
      <c r="F1" s="383"/>
      <c r="G1" s="383"/>
      <c r="H1" s="383"/>
    </row>
    <row r="2" spans="1:11" ht="12.75">
      <c r="A2" s="21"/>
      <c r="I2" s="3"/>
      <c r="J2" s="3"/>
      <c r="K2" s="3"/>
    </row>
    <row r="3" spans="1:11" ht="25.5">
      <c r="A3" s="30" t="s">
        <v>255</v>
      </c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  <c r="G3" s="207" t="s">
        <v>423</v>
      </c>
      <c r="H3" s="28" t="s">
        <v>1</v>
      </c>
      <c r="I3" s="3"/>
      <c r="J3" s="3"/>
      <c r="K3" s="3"/>
    </row>
    <row r="4" spans="1:11" ht="12.75">
      <c r="A4" s="18"/>
      <c r="B4" s="295">
        <f>842*1000</f>
        <v>842000</v>
      </c>
      <c r="C4" s="295">
        <f>1659*1000</f>
        <v>1659000</v>
      </c>
      <c r="D4" s="295"/>
      <c r="E4" s="295"/>
      <c r="F4" s="295"/>
      <c r="G4" s="314"/>
      <c r="H4" s="295">
        <f>SUM(B4:G4)</f>
        <v>2501000</v>
      </c>
      <c r="I4" s="3"/>
      <c r="J4" s="3"/>
      <c r="K4" s="3"/>
    </row>
    <row r="5" spans="1:11" ht="12.75">
      <c r="A5" s="21"/>
      <c r="B5" s="40"/>
      <c r="C5" s="40"/>
      <c r="D5" s="40"/>
      <c r="E5" s="40"/>
      <c r="F5" s="40"/>
      <c r="G5" s="63"/>
      <c r="H5" s="40"/>
      <c r="I5" s="3"/>
      <c r="J5" s="3"/>
      <c r="K5" s="3"/>
    </row>
    <row r="6" spans="1:11" ht="12.75">
      <c r="A6" s="30" t="s">
        <v>256</v>
      </c>
      <c r="B6" s="41"/>
      <c r="C6" s="41"/>
      <c r="D6" s="41"/>
      <c r="E6" s="41"/>
      <c r="F6" s="41"/>
      <c r="G6" s="202"/>
      <c r="H6" s="40"/>
      <c r="I6" s="3"/>
      <c r="J6" s="3"/>
      <c r="K6" s="3"/>
    </row>
    <row r="7" spans="1:8" s="3" customFormat="1" ht="12.75">
      <c r="A7" s="15" t="s">
        <v>32</v>
      </c>
      <c r="B7" s="295">
        <f>289*1000</f>
        <v>289000</v>
      </c>
      <c r="C7" s="295">
        <f>876*1000</f>
        <v>876000</v>
      </c>
      <c r="D7" s="295"/>
      <c r="E7" s="295"/>
      <c r="F7" s="295"/>
      <c r="G7" s="314"/>
      <c r="H7" s="295">
        <f>SUM(B7:G7)</f>
        <v>1165000</v>
      </c>
    </row>
    <row r="8" spans="1:8" s="3" customFormat="1" ht="12.75">
      <c r="A8" s="21"/>
      <c r="B8" s="40"/>
      <c r="C8" s="40"/>
      <c r="D8" s="40"/>
      <c r="E8" s="40"/>
      <c r="F8" s="40"/>
      <c r="G8" s="40"/>
      <c r="H8" s="40"/>
    </row>
    <row r="9" spans="1:8" s="3" customFormat="1" ht="12.75">
      <c r="A9" s="43" t="s">
        <v>5</v>
      </c>
      <c r="B9" s="40"/>
      <c r="C9" s="40"/>
      <c r="D9" s="40"/>
      <c r="E9" s="40"/>
      <c r="F9" s="40"/>
      <c r="G9" s="40"/>
      <c r="H9" s="40"/>
    </row>
    <row r="10" spans="1:8" s="3" customFormat="1" ht="12.75">
      <c r="A10" s="19" t="s">
        <v>326</v>
      </c>
      <c r="B10" s="265">
        <v>2</v>
      </c>
      <c r="C10" s="267">
        <v>1023</v>
      </c>
      <c r="D10" s="267">
        <v>101</v>
      </c>
      <c r="E10" s="267">
        <v>589</v>
      </c>
      <c r="F10" s="267">
        <v>4356</v>
      </c>
      <c r="G10" s="267">
        <v>9056</v>
      </c>
      <c r="H10" s="265">
        <f>SUM(B10:G10)</f>
        <v>15127</v>
      </c>
    </row>
    <row r="11" spans="1:8" s="3" customFormat="1" ht="12.75">
      <c r="A11" s="21"/>
      <c r="B11" s="44"/>
      <c r="C11" s="44"/>
      <c r="D11" s="44"/>
      <c r="E11" s="44"/>
      <c r="F11" s="44"/>
      <c r="G11" s="44"/>
      <c r="H11" s="44"/>
    </row>
    <row r="12" spans="1:8" s="3" customFormat="1" ht="12.75">
      <c r="A12" s="50" t="s">
        <v>24</v>
      </c>
      <c r="B12" s="40"/>
      <c r="C12" s="40"/>
      <c r="D12" s="40"/>
      <c r="E12" s="40"/>
      <c r="F12" s="40"/>
      <c r="G12" s="40"/>
      <c r="H12" s="44"/>
    </row>
    <row r="13" spans="1:8" s="3" customFormat="1" ht="12.75">
      <c r="A13" s="43" t="s">
        <v>72</v>
      </c>
      <c r="B13" s="40" t="s">
        <v>8</v>
      </c>
      <c r="C13" s="45" t="s">
        <v>8</v>
      </c>
      <c r="D13" s="45" t="s">
        <v>8</v>
      </c>
      <c r="E13" s="45" t="s">
        <v>8</v>
      </c>
      <c r="F13" s="45" t="s">
        <v>8</v>
      </c>
      <c r="G13" s="45" t="s">
        <v>8</v>
      </c>
      <c r="H13" s="44" t="s">
        <v>8</v>
      </c>
    </row>
    <row r="14" spans="1:8" ht="12.75">
      <c r="A14" s="15" t="s">
        <v>73</v>
      </c>
      <c r="B14" s="265">
        <v>16</v>
      </c>
      <c r="C14" s="265">
        <v>10120</v>
      </c>
      <c r="D14" s="265">
        <v>41123</v>
      </c>
      <c r="E14" s="265">
        <v>174920</v>
      </c>
      <c r="F14" s="265">
        <v>353694</v>
      </c>
      <c r="G14" s="267">
        <v>634302</v>
      </c>
      <c r="H14" s="265">
        <f>SUM(B14:G14)</f>
        <v>1214175</v>
      </c>
    </row>
    <row r="15" spans="1:8" ht="12.75">
      <c r="A15" s="15" t="s">
        <v>74</v>
      </c>
      <c r="B15" s="265">
        <v>312</v>
      </c>
      <c r="C15" s="265">
        <v>202392</v>
      </c>
      <c r="D15" s="265">
        <v>822467</v>
      </c>
      <c r="E15" s="265">
        <v>3498394</v>
      </c>
      <c r="F15" s="265">
        <v>7073890</v>
      </c>
      <c r="G15" s="267">
        <v>12686040</v>
      </c>
      <c r="H15" s="265">
        <f>SUM(B15:G15)</f>
        <v>24283495</v>
      </c>
    </row>
    <row r="16" spans="1:8" ht="12.75">
      <c r="A16" s="21"/>
      <c r="B16" s="44"/>
      <c r="C16" s="44"/>
      <c r="D16" s="44"/>
      <c r="E16" s="44"/>
      <c r="F16" s="44"/>
      <c r="G16" s="58"/>
      <c r="H16" s="44"/>
    </row>
    <row r="17" spans="1:8" ht="12.75">
      <c r="A17" s="43" t="s">
        <v>133</v>
      </c>
      <c r="B17" s="44" t="s">
        <v>11</v>
      </c>
      <c r="C17" s="86" t="s">
        <v>11</v>
      </c>
      <c r="D17" s="86" t="s">
        <v>11</v>
      </c>
      <c r="E17" s="86" t="s">
        <v>11</v>
      </c>
      <c r="F17" s="86" t="s">
        <v>11</v>
      </c>
      <c r="G17" s="90" t="s">
        <v>11</v>
      </c>
      <c r="H17" s="44" t="s">
        <v>11</v>
      </c>
    </row>
    <row r="18" spans="1:8" ht="12.75">
      <c r="A18" s="15" t="s">
        <v>75</v>
      </c>
      <c r="B18" s="265">
        <v>13</v>
      </c>
      <c r="C18" s="265">
        <v>8433</v>
      </c>
      <c r="D18" s="265">
        <v>34269</v>
      </c>
      <c r="E18" s="265">
        <v>145766</v>
      </c>
      <c r="F18" s="265">
        <v>294745</v>
      </c>
      <c r="G18" s="267">
        <v>528585</v>
      </c>
      <c r="H18" s="265">
        <f>SUM(B18:G18)</f>
        <v>1011811</v>
      </c>
    </row>
    <row r="19" spans="1:8" ht="12.75">
      <c r="A19" s="40"/>
      <c r="B19" s="44"/>
      <c r="C19" s="44"/>
      <c r="D19" s="44"/>
      <c r="E19" s="44"/>
      <c r="F19" s="44"/>
      <c r="G19" s="58"/>
      <c r="H19" s="44"/>
    </row>
    <row r="20" spans="1:7" ht="12.75">
      <c r="A20" s="61" t="s">
        <v>23</v>
      </c>
      <c r="G20" s="65"/>
    </row>
    <row r="21" spans="1:8" ht="12.75">
      <c r="A21" s="43" t="s">
        <v>72</v>
      </c>
      <c r="B21" s="40" t="s">
        <v>8</v>
      </c>
      <c r="C21" s="45" t="s">
        <v>8</v>
      </c>
      <c r="D21" s="45" t="s">
        <v>8</v>
      </c>
      <c r="E21" s="45" t="s">
        <v>8</v>
      </c>
      <c r="F21" s="45" t="s">
        <v>8</v>
      </c>
      <c r="G21" s="89" t="s">
        <v>8</v>
      </c>
      <c r="H21" s="40"/>
    </row>
    <row r="22" spans="1:8" ht="12.75">
      <c r="A22" s="15" t="s">
        <v>73</v>
      </c>
      <c r="B22" s="265"/>
      <c r="C22" s="265"/>
      <c r="D22" s="265">
        <v>65002</v>
      </c>
      <c r="E22" s="265">
        <v>212449</v>
      </c>
      <c r="F22" s="265">
        <v>694020</v>
      </c>
      <c r="G22" s="267">
        <v>695273</v>
      </c>
      <c r="H22" s="44"/>
    </row>
    <row r="23" spans="1:8" ht="12.75">
      <c r="A23" s="15" t="s">
        <v>74</v>
      </c>
      <c r="B23" s="265"/>
      <c r="C23" s="265"/>
      <c r="D23" s="265">
        <v>1300036</v>
      </c>
      <c r="E23" s="265">
        <v>4248971</v>
      </c>
      <c r="F23" s="265">
        <v>13880410</v>
      </c>
      <c r="G23" s="267">
        <v>13905460</v>
      </c>
      <c r="H23" s="44"/>
    </row>
    <row r="24" spans="1:8" ht="12.75">
      <c r="A24" s="21"/>
      <c r="B24" s="44"/>
      <c r="C24" s="44"/>
      <c r="D24" s="44"/>
      <c r="E24" s="44"/>
      <c r="F24" s="44"/>
      <c r="G24" s="58"/>
      <c r="H24" s="44"/>
    </row>
    <row r="25" spans="1:8" ht="12.75">
      <c r="A25" s="43" t="s">
        <v>133</v>
      </c>
      <c r="B25" s="44" t="s">
        <v>11</v>
      </c>
      <c r="C25" s="86" t="s">
        <v>11</v>
      </c>
      <c r="D25" s="86" t="s">
        <v>11</v>
      </c>
      <c r="E25" s="86" t="s">
        <v>11</v>
      </c>
      <c r="F25" s="86" t="s">
        <v>11</v>
      </c>
      <c r="G25" s="86" t="s">
        <v>11</v>
      </c>
      <c r="H25" s="44"/>
    </row>
    <row r="26" spans="1:20" ht="12.75">
      <c r="A26" s="15" t="s">
        <v>75</v>
      </c>
      <c r="B26" s="265"/>
      <c r="C26" s="265"/>
      <c r="D26" s="265">
        <v>54168</v>
      </c>
      <c r="E26" s="265">
        <v>177040</v>
      </c>
      <c r="F26" s="265">
        <v>578350</v>
      </c>
      <c r="G26" s="267">
        <v>579394</v>
      </c>
      <c r="H26" s="44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</row>
    <row r="27" spans="1:20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2" ht="12.75">
      <c r="A28" s="7" t="s">
        <v>293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9" ht="12.75">
      <c r="A29" s="6"/>
      <c r="I29" s="8"/>
    </row>
    <row r="30" ht="12.75">
      <c r="A30" s="2"/>
    </row>
    <row r="31" spans="1:12" ht="12.7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ht="12.75">
      <c r="A35" s="2"/>
    </row>
    <row r="36" ht="12.75">
      <c r="A36" s="2"/>
    </row>
    <row r="37" spans="1:12" ht="12.75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</sheetData>
  <sheetProtection/>
  <mergeCells count="1">
    <mergeCell ref="A1:H1"/>
  </mergeCells>
  <printOptions/>
  <pageMargins left="0.55" right="0.57" top="1" bottom="0.85" header="0.5" footer="0.5"/>
  <pageSetup fitToHeight="1" fitToWidth="1"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R49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5" width="15.421875" style="6" customWidth="1"/>
    <col min="6" max="6" width="15.421875" style="6" bestFit="1" customWidth="1"/>
    <col min="7" max="16384" width="10.7109375" style="6" customWidth="1"/>
  </cols>
  <sheetData>
    <row r="1" spans="1:6" ht="15.75">
      <c r="A1" s="382" t="s">
        <v>245</v>
      </c>
      <c r="B1" s="383"/>
      <c r="C1" s="383"/>
      <c r="D1" s="383"/>
      <c r="E1" s="383"/>
      <c r="F1" s="383"/>
    </row>
    <row r="2" spans="1:9" ht="12.75">
      <c r="A2" s="21"/>
      <c r="G2" s="3"/>
      <c r="H2" s="3"/>
      <c r="I2" s="3"/>
    </row>
    <row r="3" spans="1:9" ht="25.5">
      <c r="A3" s="30" t="s">
        <v>255</v>
      </c>
      <c r="B3" s="28">
        <v>2009</v>
      </c>
      <c r="C3" s="28">
        <v>2010</v>
      </c>
      <c r="D3" s="28">
        <v>2011</v>
      </c>
      <c r="E3" s="207" t="s">
        <v>423</v>
      </c>
      <c r="F3" s="28" t="s">
        <v>1</v>
      </c>
      <c r="G3" s="3"/>
      <c r="H3" s="3"/>
      <c r="I3" s="3"/>
    </row>
    <row r="4" spans="1:9" ht="12.75">
      <c r="A4" s="18" t="s">
        <v>249</v>
      </c>
      <c r="B4" s="293">
        <v>54070980.4</v>
      </c>
      <c r="C4" s="293">
        <v>66771767.89</v>
      </c>
      <c r="D4" s="293">
        <v>41612455.1</v>
      </c>
      <c r="E4" s="294">
        <v>19074184.4</v>
      </c>
      <c r="F4" s="293">
        <f>SUM(B4:E4)</f>
        <v>181529387.79</v>
      </c>
      <c r="G4" s="3"/>
      <c r="H4" s="3"/>
      <c r="I4" s="3"/>
    </row>
    <row r="5" spans="1:9" ht="12.75">
      <c r="A5" s="21"/>
      <c r="B5" s="122"/>
      <c r="C5" s="122"/>
      <c r="D5" s="122"/>
      <c r="E5" s="196"/>
      <c r="F5" s="122"/>
      <c r="G5" s="3"/>
      <c r="H5" s="3"/>
      <c r="I5" s="3"/>
    </row>
    <row r="6" spans="1:9" ht="12.75">
      <c r="A6" s="30" t="s">
        <v>256</v>
      </c>
      <c r="B6" s="122"/>
      <c r="C6" s="122"/>
      <c r="D6" s="122"/>
      <c r="E6" s="196"/>
      <c r="F6" s="122"/>
      <c r="G6" s="3"/>
      <c r="H6" s="3"/>
      <c r="I6" s="3"/>
    </row>
    <row r="7" spans="1:6" s="3" customFormat="1" ht="12.75">
      <c r="A7" s="15" t="s">
        <v>32</v>
      </c>
      <c r="B7" s="293">
        <v>8813207.72</v>
      </c>
      <c r="C7" s="293">
        <v>27829023.33</v>
      </c>
      <c r="D7" s="293">
        <v>21336854.39</v>
      </c>
      <c r="E7" s="294">
        <v>6999160.28</v>
      </c>
      <c r="F7" s="293">
        <f>SUM(B7:E7)</f>
        <v>64978245.72</v>
      </c>
    </row>
    <row r="8" spans="1:6" s="3" customFormat="1" ht="12.75">
      <c r="A8" s="15" t="s">
        <v>20</v>
      </c>
      <c r="B8" s="293">
        <v>28631294</v>
      </c>
      <c r="C8" s="293">
        <v>27845676.43</v>
      </c>
      <c r="D8" s="293">
        <v>5152540.5</v>
      </c>
      <c r="E8" s="294">
        <v>7788112.3</v>
      </c>
      <c r="F8" s="310"/>
    </row>
    <row r="9" spans="1:6" s="3" customFormat="1" ht="12.75">
      <c r="A9" s="15" t="s">
        <v>33</v>
      </c>
      <c r="B9" s="293">
        <f>SUM(B7:B8)</f>
        <v>37444501.72</v>
      </c>
      <c r="C9" s="293">
        <f>SUM(C7:C8)</f>
        <v>55674699.76</v>
      </c>
      <c r="D9" s="293">
        <f>SUM(D7:D8)</f>
        <v>26489394.89</v>
      </c>
      <c r="E9" s="293">
        <f>SUM(E7:E8)</f>
        <v>14787272.58</v>
      </c>
      <c r="F9" s="310"/>
    </row>
    <row r="10" spans="1:6" s="3" customFormat="1" ht="12.75">
      <c r="A10" s="21"/>
      <c r="B10" s="40"/>
      <c r="C10" s="40"/>
      <c r="D10" s="40"/>
      <c r="E10" s="40"/>
      <c r="F10" s="40"/>
    </row>
    <row r="11" spans="1:6" s="3" customFormat="1" ht="12.75">
      <c r="A11" s="43" t="s">
        <v>5</v>
      </c>
      <c r="B11" s="40"/>
      <c r="C11" s="40"/>
      <c r="D11" s="40"/>
      <c r="E11" s="40"/>
      <c r="F11" s="40"/>
    </row>
    <row r="12" spans="1:8" s="3" customFormat="1" ht="12.75">
      <c r="A12" s="15" t="s">
        <v>24</v>
      </c>
      <c r="B12" s="265">
        <v>263</v>
      </c>
      <c r="C12" s="265">
        <v>1506</v>
      </c>
      <c r="D12" s="267">
        <v>1703</v>
      </c>
      <c r="E12" s="267">
        <v>349</v>
      </c>
      <c r="F12" s="268">
        <f>SUM(B12:E12)</f>
        <v>3821</v>
      </c>
      <c r="G12" s="146"/>
      <c r="H12" s="146"/>
    </row>
    <row r="13" spans="1:8" s="3" customFormat="1" ht="12.75">
      <c r="A13" s="15" t="s">
        <v>23</v>
      </c>
      <c r="B13" s="265">
        <v>1710</v>
      </c>
      <c r="C13" s="267">
        <v>2394</v>
      </c>
      <c r="D13" s="267"/>
      <c r="E13" s="267">
        <v>36</v>
      </c>
      <c r="F13" s="316"/>
      <c r="G13" s="132"/>
      <c r="H13" s="146"/>
    </row>
    <row r="14" spans="1:8" s="3" customFormat="1" ht="12.75">
      <c r="A14" s="15" t="s">
        <v>21</v>
      </c>
      <c r="B14" s="265">
        <f>SUM(B12:B13)</f>
        <v>1973</v>
      </c>
      <c r="C14" s="265">
        <f>SUM(C12:C13)</f>
        <v>3900</v>
      </c>
      <c r="D14" s="267">
        <f>SUM(D12:D13)</f>
        <v>1703</v>
      </c>
      <c r="E14" s="267">
        <f>SUM(E12:E13)</f>
        <v>385</v>
      </c>
      <c r="F14" s="316"/>
      <c r="G14" s="132"/>
      <c r="H14" s="146"/>
    </row>
    <row r="15" spans="1:8" s="3" customFormat="1" ht="12.75">
      <c r="A15" s="21"/>
      <c r="B15" s="44"/>
      <c r="C15" s="44"/>
      <c r="D15" s="58"/>
      <c r="E15" s="58"/>
      <c r="F15" s="58"/>
      <c r="G15" s="146"/>
      <c r="H15" s="146"/>
    </row>
    <row r="16" spans="1:8" s="3" customFormat="1" ht="12.75">
      <c r="A16" s="50" t="s">
        <v>24</v>
      </c>
      <c r="B16" s="40"/>
      <c r="C16" s="40"/>
      <c r="D16" s="63"/>
      <c r="E16" s="63"/>
      <c r="F16" s="63"/>
      <c r="G16" s="146"/>
      <c r="H16" s="146"/>
    </row>
    <row r="17" spans="1:6" s="3" customFormat="1" ht="12.75">
      <c r="A17" s="43" t="s">
        <v>72</v>
      </c>
      <c r="B17" s="45" t="s">
        <v>8</v>
      </c>
      <c r="C17" s="45" t="s">
        <v>8</v>
      </c>
      <c r="D17" s="45" t="s">
        <v>8</v>
      </c>
      <c r="E17" s="45" t="s">
        <v>8</v>
      </c>
      <c r="F17" s="40" t="s">
        <v>8</v>
      </c>
    </row>
    <row r="18" spans="1:6" ht="12.75">
      <c r="A18" s="15" t="s">
        <v>73</v>
      </c>
      <c r="B18" s="265">
        <v>2578</v>
      </c>
      <c r="C18" s="265">
        <v>19353</v>
      </c>
      <c r="D18" s="265">
        <v>21411</v>
      </c>
      <c r="E18" s="267">
        <v>2702</v>
      </c>
      <c r="F18" s="266">
        <f>SUM(B18:E18)</f>
        <v>46044</v>
      </c>
    </row>
    <row r="19" spans="1:6" ht="12.75">
      <c r="A19" s="15" t="s">
        <v>74</v>
      </c>
      <c r="B19" s="265">
        <v>51565</v>
      </c>
      <c r="C19" s="265">
        <v>387059</v>
      </c>
      <c r="D19" s="265">
        <v>428211</v>
      </c>
      <c r="E19" s="267">
        <v>54040</v>
      </c>
      <c r="F19" s="266">
        <f>SUM(B19:E19)</f>
        <v>920875</v>
      </c>
    </row>
    <row r="20" spans="1:6" ht="12.75">
      <c r="A20" s="21"/>
      <c r="B20" s="44"/>
      <c r="C20" s="44"/>
      <c r="D20" s="44"/>
      <c r="E20" s="58"/>
      <c r="F20" s="44"/>
    </row>
    <row r="21" spans="1:6" ht="12.75">
      <c r="A21" s="43" t="s">
        <v>133</v>
      </c>
      <c r="B21" s="86" t="s">
        <v>11</v>
      </c>
      <c r="C21" s="86" t="s">
        <v>11</v>
      </c>
      <c r="D21" s="86" t="s">
        <v>11</v>
      </c>
      <c r="E21" s="90" t="s">
        <v>11</v>
      </c>
      <c r="F21" s="44" t="s">
        <v>11</v>
      </c>
    </row>
    <row r="22" spans="1:6" ht="12.75">
      <c r="A22" s="15" t="s">
        <v>75</v>
      </c>
      <c r="B22" s="265">
        <v>2149</v>
      </c>
      <c r="C22" s="265">
        <v>16127</v>
      </c>
      <c r="D22" s="265">
        <v>17842</v>
      </c>
      <c r="E22" s="267">
        <v>2251</v>
      </c>
      <c r="F22" s="266">
        <f>SUM(B22:E22)</f>
        <v>38369</v>
      </c>
    </row>
    <row r="23" spans="1:6" ht="12.75">
      <c r="A23" s="40"/>
      <c r="B23" s="44"/>
      <c r="C23" s="44"/>
      <c r="D23" s="44"/>
      <c r="E23" s="58"/>
      <c r="F23" s="44"/>
    </row>
    <row r="24" spans="1:7" ht="12.75">
      <c r="A24" s="155" t="s">
        <v>77</v>
      </c>
      <c r="B24" s="90" t="s">
        <v>13</v>
      </c>
      <c r="C24" s="90" t="s">
        <v>13</v>
      </c>
      <c r="D24" s="90" t="s">
        <v>13</v>
      </c>
      <c r="E24" s="90" t="s">
        <v>13</v>
      </c>
      <c r="F24" s="58" t="s">
        <v>13</v>
      </c>
      <c r="G24" s="138"/>
    </row>
    <row r="25" spans="1:7" ht="12.75">
      <c r="A25" s="156" t="s">
        <v>14</v>
      </c>
      <c r="B25" s="267">
        <v>0</v>
      </c>
      <c r="C25" s="267"/>
      <c r="D25" s="267"/>
      <c r="E25" s="267"/>
      <c r="F25" s="268">
        <f>SUM(B25:E25)</f>
        <v>0</v>
      </c>
      <c r="G25" s="65"/>
    </row>
    <row r="26" spans="1:7" ht="12.75">
      <c r="A26" s="156" t="s">
        <v>76</v>
      </c>
      <c r="B26" s="267">
        <v>0</v>
      </c>
      <c r="C26" s="267"/>
      <c r="D26" s="267"/>
      <c r="E26" s="267"/>
      <c r="F26" s="268">
        <f>SUM(B26:E26)</f>
        <v>0</v>
      </c>
      <c r="G26" s="65"/>
    </row>
    <row r="27" ht="12.75">
      <c r="E27" s="65"/>
    </row>
    <row r="28" spans="1:5" ht="12.75">
      <c r="A28" s="61" t="s">
        <v>23</v>
      </c>
      <c r="E28" s="65"/>
    </row>
    <row r="29" spans="1:6" ht="12.75">
      <c r="A29" s="43" t="s">
        <v>72</v>
      </c>
      <c r="B29" s="45" t="s">
        <v>8</v>
      </c>
      <c r="C29" s="45" t="s">
        <v>8</v>
      </c>
      <c r="D29" s="45" t="s">
        <v>8</v>
      </c>
      <c r="E29" s="89" t="s">
        <v>8</v>
      </c>
      <c r="F29" s="40"/>
    </row>
    <row r="30" spans="1:6" ht="12.75">
      <c r="A30" s="15" t="s">
        <v>73</v>
      </c>
      <c r="B30" s="265">
        <v>25440</v>
      </c>
      <c r="C30" s="265">
        <v>33278</v>
      </c>
      <c r="D30" s="265">
        <v>7043</v>
      </c>
      <c r="E30" s="267">
        <v>24821</v>
      </c>
      <c r="F30" s="86"/>
    </row>
    <row r="31" spans="1:6" ht="12.75">
      <c r="A31" s="15" t="s">
        <v>74</v>
      </c>
      <c r="B31" s="265">
        <v>508800</v>
      </c>
      <c r="C31" s="265">
        <v>665554</v>
      </c>
      <c r="D31" s="265">
        <v>140862</v>
      </c>
      <c r="E31" s="267">
        <v>496418</v>
      </c>
      <c r="F31" s="86"/>
    </row>
    <row r="32" spans="1:6" ht="12.75">
      <c r="A32" s="21"/>
      <c r="B32" s="44"/>
      <c r="C32" s="44"/>
      <c r="D32" s="44"/>
      <c r="E32" s="58"/>
      <c r="F32" s="44"/>
    </row>
    <row r="33" spans="1:7" ht="12.75">
      <c r="A33" s="155" t="s">
        <v>133</v>
      </c>
      <c r="B33" s="90" t="s">
        <v>11</v>
      </c>
      <c r="C33" s="90" t="s">
        <v>11</v>
      </c>
      <c r="D33" s="90" t="s">
        <v>11</v>
      </c>
      <c r="E33" s="90" t="s">
        <v>11</v>
      </c>
      <c r="F33" s="58"/>
      <c r="G33" s="138"/>
    </row>
    <row r="34" spans="1:18" ht="12.75">
      <c r="A34" s="156" t="s">
        <v>75</v>
      </c>
      <c r="B34" s="267">
        <v>21200</v>
      </c>
      <c r="C34" s="267">
        <v>27731</v>
      </c>
      <c r="D34" s="267">
        <v>5869</v>
      </c>
      <c r="E34" s="267">
        <v>3652</v>
      </c>
      <c r="F34" s="90"/>
      <c r="G34" s="64"/>
      <c r="H34" s="10"/>
      <c r="I34" s="10"/>
      <c r="J34" s="10"/>
      <c r="K34" s="9"/>
      <c r="L34" s="9"/>
      <c r="M34" s="9"/>
      <c r="N34" s="9"/>
      <c r="O34" s="9"/>
      <c r="P34" s="9"/>
      <c r="Q34" s="9"/>
      <c r="R34" s="9"/>
    </row>
    <row r="35" spans="1:18" ht="12.7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9"/>
      <c r="L35" s="9"/>
      <c r="M35" s="9"/>
      <c r="N35" s="9"/>
      <c r="O35" s="9"/>
      <c r="P35" s="9"/>
      <c r="Q35" s="9"/>
      <c r="R35" s="9"/>
    </row>
    <row r="36" spans="1:18" ht="12.75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9"/>
      <c r="L36" s="9"/>
      <c r="M36" s="9"/>
      <c r="N36" s="9"/>
      <c r="O36" s="9"/>
      <c r="P36" s="9"/>
      <c r="Q36" s="9"/>
      <c r="R36" s="9"/>
    </row>
    <row r="37" spans="1:18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1:7" ht="12.75">
      <c r="A39" s="6"/>
      <c r="G39" s="8"/>
    </row>
    <row r="40" ht="12.75">
      <c r="A40" s="2"/>
    </row>
    <row r="41" spans="1:10" ht="12.75">
      <c r="A41" s="2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2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2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2"/>
      <c r="B44" s="9"/>
      <c r="C44" s="9"/>
      <c r="D44" s="9"/>
      <c r="E44" s="9"/>
      <c r="F44" s="9"/>
      <c r="G44" s="9"/>
      <c r="H44" s="9"/>
      <c r="I44" s="9"/>
      <c r="J44" s="9"/>
    </row>
    <row r="45" ht="12.75">
      <c r="A45" s="2"/>
    </row>
    <row r="46" ht="12.75">
      <c r="A46" s="2"/>
    </row>
    <row r="47" spans="1:10" ht="12.75">
      <c r="A47" s="2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2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2"/>
      <c r="B49" s="10"/>
      <c r="C49" s="10"/>
      <c r="D49" s="10"/>
      <c r="E49" s="10"/>
      <c r="F49" s="10"/>
      <c r="G49" s="10"/>
      <c r="H49" s="10"/>
      <c r="I49" s="10"/>
      <c r="J49" s="10"/>
    </row>
  </sheetData>
  <sheetProtection/>
  <mergeCells count="1">
    <mergeCell ref="A1:F1"/>
  </mergeCells>
  <printOptions/>
  <pageMargins left="0.55" right="0.57" top="1" bottom="0.8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N6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3.7109375" style="0" customWidth="1"/>
    <col min="2" max="2" width="12.57421875" style="0" bestFit="1" customWidth="1"/>
    <col min="3" max="4" width="13.00390625" style="0" hidden="1" customWidth="1"/>
    <col min="5" max="7" width="13.00390625" style="0" customWidth="1"/>
    <col min="8" max="10" width="14.421875" style="0" bestFit="1" customWidth="1"/>
    <col min="11" max="11" width="13.00390625" style="0" customWidth="1"/>
  </cols>
  <sheetData>
    <row r="1" spans="1:11" ht="15.75">
      <c r="A1" s="382" t="s">
        <v>257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2.75">
      <c r="A2" s="30" t="s">
        <v>179</v>
      </c>
      <c r="B2" s="30"/>
      <c r="C2" s="30" t="s">
        <v>276</v>
      </c>
      <c r="D2" s="24"/>
      <c r="E2" s="24"/>
      <c r="F2" s="24"/>
      <c r="G2" s="24"/>
      <c r="H2" s="24"/>
      <c r="I2" s="24"/>
      <c r="J2" s="24"/>
      <c r="K2" s="24"/>
    </row>
    <row r="3" spans="1:10" ht="24.75" customHeight="1">
      <c r="A3" s="390" t="s">
        <v>343</v>
      </c>
      <c r="B3" s="390"/>
      <c r="C3" s="390"/>
      <c r="D3" s="390"/>
      <c r="E3" s="390"/>
      <c r="F3" s="390"/>
      <c r="G3" s="390"/>
      <c r="H3" s="390"/>
      <c r="I3" s="390"/>
      <c r="J3" s="390"/>
    </row>
    <row r="4" spans="1:11" ht="25.5">
      <c r="A4" s="135"/>
      <c r="B4" s="82" t="s">
        <v>355</v>
      </c>
      <c r="C4" s="28">
        <v>2004</v>
      </c>
      <c r="D4" s="28">
        <v>2005</v>
      </c>
      <c r="E4" s="25">
        <v>2006</v>
      </c>
      <c r="F4" s="25">
        <v>2007</v>
      </c>
      <c r="G4" s="25">
        <v>2008</v>
      </c>
      <c r="H4" s="25">
        <v>2009</v>
      </c>
      <c r="I4" s="25">
        <v>2010</v>
      </c>
      <c r="J4" s="25">
        <v>2011</v>
      </c>
      <c r="K4" s="221" t="s">
        <v>423</v>
      </c>
    </row>
    <row r="5" spans="1:2" ht="12.75">
      <c r="A5" s="30" t="s">
        <v>313</v>
      </c>
      <c r="B5" s="30"/>
    </row>
    <row r="6" spans="1:11" ht="12.75">
      <c r="A6" s="18" t="s">
        <v>200</v>
      </c>
      <c r="B6" s="193">
        <f aca="true" t="shared" si="0" ref="B6:B22">SUM(C6:D6)</f>
        <v>0</v>
      </c>
      <c r="C6" s="317"/>
      <c r="D6" s="318"/>
      <c r="E6" s="319"/>
      <c r="F6" s="320">
        <v>380</v>
      </c>
      <c r="G6" s="252"/>
      <c r="H6" s="255"/>
      <c r="I6" s="255"/>
      <c r="J6" s="255"/>
      <c r="K6" s="255"/>
    </row>
    <row r="7" spans="1:11" ht="12.75">
      <c r="A7" s="18" t="s">
        <v>199</v>
      </c>
      <c r="B7" s="193">
        <f t="shared" si="0"/>
        <v>0</v>
      </c>
      <c r="C7" s="317"/>
      <c r="D7" s="318"/>
      <c r="E7" s="319"/>
      <c r="F7" s="320">
        <v>986</v>
      </c>
      <c r="G7" s="252"/>
      <c r="H7" s="255"/>
      <c r="I7" s="255"/>
      <c r="J7" s="255"/>
      <c r="K7" s="255"/>
    </row>
    <row r="8" spans="1:11" ht="12.75">
      <c r="A8" s="18" t="s">
        <v>201</v>
      </c>
      <c r="B8" s="193">
        <f t="shared" si="0"/>
        <v>0</v>
      </c>
      <c r="C8" s="317"/>
      <c r="D8" s="318"/>
      <c r="E8" s="319"/>
      <c r="F8" s="320">
        <v>1082</v>
      </c>
      <c r="G8" s="252">
        <v>49</v>
      </c>
      <c r="H8" s="255"/>
      <c r="I8" s="255"/>
      <c r="J8" s="255"/>
      <c r="K8" s="255"/>
    </row>
    <row r="9" spans="1:11" ht="12.75">
      <c r="A9" s="18" t="s">
        <v>259</v>
      </c>
      <c r="B9" s="193">
        <f t="shared" si="0"/>
        <v>0</v>
      </c>
      <c r="C9" s="317"/>
      <c r="D9" s="318"/>
      <c r="E9" s="319"/>
      <c r="F9" s="320"/>
      <c r="G9" s="252"/>
      <c r="H9" s="255">
        <v>1555000</v>
      </c>
      <c r="I9" s="255">
        <v>1038200</v>
      </c>
      <c r="J9" s="255">
        <v>1075000</v>
      </c>
      <c r="K9" s="255">
        <v>1575000</v>
      </c>
    </row>
    <row r="10" spans="1:11" ht="12.75">
      <c r="A10" s="18" t="s">
        <v>260</v>
      </c>
      <c r="B10" s="193">
        <f t="shared" si="0"/>
        <v>0</v>
      </c>
      <c r="C10" s="317"/>
      <c r="D10" s="318"/>
      <c r="E10" s="319"/>
      <c r="F10" s="320"/>
      <c r="G10" s="252"/>
      <c r="H10" s="255">
        <v>1046000.4</v>
      </c>
      <c r="I10" s="255">
        <v>123866.12</v>
      </c>
      <c r="J10" s="255"/>
      <c r="K10" s="255"/>
    </row>
    <row r="11" spans="1:11" ht="12.75">
      <c r="A11" s="18" t="s">
        <v>231</v>
      </c>
      <c r="B11" s="193">
        <f t="shared" si="0"/>
        <v>0</v>
      </c>
      <c r="C11" s="317"/>
      <c r="D11" s="318"/>
      <c r="E11" s="319"/>
      <c r="F11" s="252"/>
      <c r="G11" s="252">
        <v>9000</v>
      </c>
      <c r="H11" s="255"/>
      <c r="I11" s="255"/>
      <c r="J11" s="255"/>
      <c r="K11" s="255"/>
    </row>
    <row r="12" spans="1:11" ht="12.75">
      <c r="A12" s="18" t="s">
        <v>351</v>
      </c>
      <c r="B12" s="193">
        <f t="shared" si="0"/>
        <v>0</v>
      </c>
      <c r="C12" s="317"/>
      <c r="D12" s="318"/>
      <c r="E12" s="319"/>
      <c r="F12" s="320"/>
      <c r="G12" s="252">
        <v>345</v>
      </c>
      <c r="H12" s="255">
        <v>1247612</v>
      </c>
      <c r="I12" s="255">
        <v>992612</v>
      </c>
      <c r="J12" s="255"/>
      <c r="K12" s="255"/>
    </row>
    <row r="13" spans="1:11" ht="12.75">
      <c r="A13" s="18" t="s">
        <v>322</v>
      </c>
      <c r="B13" s="193">
        <f t="shared" si="0"/>
        <v>0</v>
      </c>
      <c r="C13" s="317"/>
      <c r="D13" s="318"/>
      <c r="E13" s="319"/>
      <c r="F13" s="320"/>
      <c r="G13" s="252"/>
      <c r="H13" s="255"/>
      <c r="I13" s="255"/>
      <c r="J13" s="255">
        <v>20000000</v>
      </c>
      <c r="K13" s="255"/>
    </row>
    <row r="14" spans="1:11" ht="12.75">
      <c r="A14" s="55" t="s">
        <v>176</v>
      </c>
      <c r="B14" s="193">
        <f t="shared" si="0"/>
        <v>0</v>
      </c>
      <c r="C14" s="318"/>
      <c r="D14" s="318"/>
      <c r="E14" s="319">
        <v>1600</v>
      </c>
      <c r="F14" s="320"/>
      <c r="G14" s="252"/>
      <c r="H14" s="255"/>
      <c r="I14" s="255"/>
      <c r="J14" s="255"/>
      <c r="K14" s="255"/>
    </row>
    <row r="15" spans="1:11" ht="12.75">
      <c r="A15" s="55" t="s">
        <v>177</v>
      </c>
      <c r="B15" s="193">
        <f t="shared" si="0"/>
        <v>0</v>
      </c>
      <c r="C15" s="318"/>
      <c r="D15" s="318"/>
      <c r="E15" s="319">
        <v>607</v>
      </c>
      <c r="F15" s="320">
        <v>200</v>
      </c>
      <c r="G15" s="252"/>
      <c r="H15" s="255"/>
      <c r="I15" s="255"/>
      <c r="J15" s="255"/>
      <c r="K15" s="255"/>
    </row>
    <row r="16" spans="1:11" ht="12.75">
      <c r="A16" s="18" t="s">
        <v>320</v>
      </c>
      <c r="B16" s="193">
        <f t="shared" si="0"/>
        <v>0</v>
      </c>
      <c r="C16" s="317"/>
      <c r="D16" s="318"/>
      <c r="E16" s="319"/>
      <c r="F16" s="320"/>
      <c r="G16" s="252"/>
      <c r="H16" s="255"/>
      <c r="I16" s="255"/>
      <c r="J16" s="255">
        <v>678853.1</v>
      </c>
      <c r="K16" s="255">
        <v>386450.47</v>
      </c>
    </row>
    <row r="17" spans="1:11" ht="12.75">
      <c r="A17" s="18" t="s">
        <v>319</v>
      </c>
      <c r="B17" s="193">
        <f t="shared" si="0"/>
        <v>0</v>
      </c>
      <c r="C17" s="317"/>
      <c r="D17" s="318"/>
      <c r="E17" s="319"/>
      <c r="F17" s="320"/>
      <c r="G17" s="252"/>
      <c r="H17" s="255"/>
      <c r="I17" s="255"/>
      <c r="J17" s="255">
        <v>10000000</v>
      </c>
      <c r="K17" s="255"/>
    </row>
    <row r="18" spans="1:11" ht="12.75">
      <c r="A18" s="18" t="s">
        <v>258</v>
      </c>
      <c r="B18" s="193">
        <f t="shared" si="0"/>
        <v>0</v>
      </c>
      <c r="C18" s="317"/>
      <c r="D18" s="318"/>
      <c r="E18" s="319"/>
      <c r="F18" s="320"/>
      <c r="G18" s="252"/>
      <c r="H18" s="255">
        <v>4580830</v>
      </c>
      <c r="I18" s="255">
        <v>3260238.5</v>
      </c>
      <c r="J18" s="255">
        <v>1309984</v>
      </c>
      <c r="K18" s="255">
        <v>1743976.16</v>
      </c>
    </row>
    <row r="19" spans="1:11" ht="12.75">
      <c r="A19" s="22" t="s">
        <v>97</v>
      </c>
      <c r="B19" s="193">
        <f t="shared" si="0"/>
        <v>2480</v>
      </c>
      <c r="C19" s="317">
        <v>1230</v>
      </c>
      <c r="D19" s="318">
        <v>1250</v>
      </c>
      <c r="E19" s="319">
        <v>1000</v>
      </c>
      <c r="F19" s="320"/>
      <c r="G19" s="252">
        <v>1000</v>
      </c>
      <c r="H19" s="255">
        <v>1327101.5</v>
      </c>
      <c r="I19" s="255">
        <v>877801</v>
      </c>
      <c r="J19" s="255"/>
      <c r="K19" s="255"/>
    </row>
    <row r="20" spans="1:11" ht="12.75">
      <c r="A20" s="22" t="s">
        <v>95</v>
      </c>
      <c r="B20" s="193">
        <f t="shared" si="0"/>
        <v>340</v>
      </c>
      <c r="C20" s="318">
        <v>170</v>
      </c>
      <c r="D20" s="318">
        <v>170</v>
      </c>
      <c r="E20" s="319"/>
      <c r="F20" s="320"/>
      <c r="G20" s="252"/>
      <c r="H20" s="255"/>
      <c r="I20" s="255"/>
      <c r="J20" s="255"/>
      <c r="K20" s="255"/>
    </row>
    <row r="21" spans="1:11" ht="12.75">
      <c r="A21" s="18" t="s">
        <v>321</v>
      </c>
      <c r="B21" s="193">
        <f t="shared" si="0"/>
        <v>0</v>
      </c>
      <c r="C21" s="317"/>
      <c r="D21" s="318"/>
      <c r="E21" s="319"/>
      <c r="F21" s="320"/>
      <c r="G21" s="252"/>
      <c r="H21" s="255"/>
      <c r="I21" s="255"/>
      <c r="J21" s="255">
        <v>1070000</v>
      </c>
      <c r="K21" s="255">
        <v>1439850.89</v>
      </c>
    </row>
    <row r="22" spans="1:11" ht="12.75">
      <c r="A22" s="18" t="s">
        <v>230</v>
      </c>
      <c r="B22" s="193">
        <f t="shared" si="0"/>
        <v>0</v>
      </c>
      <c r="C22" s="317"/>
      <c r="D22" s="318"/>
      <c r="E22" s="319"/>
      <c r="F22" s="320"/>
      <c r="G22" s="252">
        <v>400</v>
      </c>
      <c r="H22" s="255">
        <v>795600</v>
      </c>
      <c r="I22" s="255">
        <v>1000000</v>
      </c>
      <c r="J22" s="255">
        <v>682829.5</v>
      </c>
      <c r="K22" s="255"/>
    </row>
    <row r="23" spans="1:11" ht="12.75">
      <c r="A23" s="14" t="s">
        <v>1</v>
      </c>
      <c r="B23" s="321">
        <f aca="true" t="shared" si="1" ref="B23:K23">SUM(B6:B22)</f>
        <v>2820</v>
      </c>
      <c r="C23" s="321">
        <f t="shared" si="1"/>
        <v>1400</v>
      </c>
      <c r="D23" s="321">
        <f t="shared" si="1"/>
        <v>1420</v>
      </c>
      <c r="E23" s="321">
        <f t="shared" si="1"/>
        <v>3207</v>
      </c>
      <c r="F23" s="321">
        <f t="shared" si="1"/>
        <v>2648</v>
      </c>
      <c r="G23" s="321">
        <f t="shared" si="1"/>
        <v>10794</v>
      </c>
      <c r="H23" s="291">
        <f t="shared" si="1"/>
        <v>10552143.9</v>
      </c>
      <c r="I23" s="291">
        <f t="shared" si="1"/>
        <v>7292717.62</v>
      </c>
      <c r="J23" s="291">
        <f t="shared" si="1"/>
        <v>34816666.6</v>
      </c>
      <c r="K23" s="291">
        <f t="shared" si="1"/>
        <v>5145277.52</v>
      </c>
    </row>
    <row r="24" spans="1:11" ht="12.75">
      <c r="A24" s="24"/>
      <c r="B24" s="24"/>
      <c r="C24" s="96"/>
      <c r="D24" s="97"/>
      <c r="E24" s="98"/>
      <c r="F24" s="33"/>
      <c r="G24" s="24"/>
      <c r="H24" s="12"/>
      <c r="I24" s="12"/>
      <c r="J24" s="12"/>
      <c r="K24" s="12"/>
    </row>
    <row r="25" spans="1:11" ht="12.75">
      <c r="A25" s="30" t="s">
        <v>314</v>
      </c>
      <c r="B25" s="30"/>
      <c r="C25" s="181"/>
      <c r="D25" s="182"/>
      <c r="E25" s="183"/>
      <c r="F25" s="184"/>
      <c r="G25" s="192"/>
      <c r="H25" s="184"/>
      <c r="I25" s="184"/>
      <c r="J25" s="184"/>
      <c r="K25" s="184"/>
    </row>
    <row r="26" spans="1:11" ht="12.75">
      <c r="A26" s="18" t="s">
        <v>202</v>
      </c>
      <c r="B26" s="252">
        <f aca="true" t="shared" si="2" ref="B26:B34">SUM(C26:D26)</f>
        <v>0</v>
      </c>
      <c r="C26" s="317"/>
      <c r="D26" s="318"/>
      <c r="E26" s="319"/>
      <c r="F26" s="320">
        <v>606</v>
      </c>
      <c r="G26" s="252"/>
      <c r="H26" s="255"/>
      <c r="I26" s="255"/>
      <c r="J26" s="255"/>
      <c r="K26" s="255"/>
    </row>
    <row r="27" spans="1:14" ht="12.75">
      <c r="A27" s="22" t="s">
        <v>178</v>
      </c>
      <c r="B27" s="252">
        <f t="shared" si="2"/>
        <v>0</v>
      </c>
      <c r="C27" s="317"/>
      <c r="D27" s="318"/>
      <c r="E27" s="319">
        <v>15</v>
      </c>
      <c r="F27" s="320"/>
      <c r="G27" s="252"/>
      <c r="H27" s="255"/>
      <c r="I27" s="255"/>
      <c r="J27" s="255"/>
      <c r="K27" s="255"/>
      <c r="N27" s="88"/>
    </row>
    <row r="28" spans="1:11" ht="12.75">
      <c r="A28" s="18" t="s">
        <v>231</v>
      </c>
      <c r="B28" s="252">
        <f t="shared" si="2"/>
        <v>0</v>
      </c>
      <c r="C28" s="317"/>
      <c r="D28" s="318"/>
      <c r="E28" s="319"/>
      <c r="F28" s="320"/>
      <c r="G28" s="252">
        <v>3000</v>
      </c>
      <c r="H28" s="255"/>
      <c r="I28" s="255"/>
      <c r="J28" s="255"/>
      <c r="K28" s="255"/>
    </row>
    <row r="29" spans="1:11" ht="12.75">
      <c r="A29" s="18" t="s">
        <v>352</v>
      </c>
      <c r="B29" s="252">
        <f t="shared" si="2"/>
        <v>0</v>
      </c>
      <c r="C29" s="317"/>
      <c r="D29" s="318"/>
      <c r="E29" s="319"/>
      <c r="F29" s="320">
        <v>2000</v>
      </c>
      <c r="G29" s="252">
        <v>2000</v>
      </c>
      <c r="H29" s="255">
        <v>2100000</v>
      </c>
      <c r="I29" s="255"/>
      <c r="J29" s="255"/>
      <c r="K29" s="255"/>
    </row>
    <row r="30" spans="1:11" ht="12.75">
      <c r="A30" s="22" t="s">
        <v>181</v>
      </c>
      <c r="B30" s="252">
        <f t="shared" si="2"/>
        <v>0</v>
      </c>
      <c r="C30" s="317"/>
      <c r="D30" s="318"/>
      <c r="E30" s="319">
        <v>30</v>
      </c>
      <c r="F30" s="320">
        <v>4000</v>
      </c>
      <c r="G30" s="252"/>
      <c r="H30" s="255"/>
      <c r="I30" s="255"/>
      <c r="J30" s="255"/>
      <c r="K30" s="255"/>
    </row>
    <row r="31" spans="1:11" ht="12.75">
      <c r="A31" s="18" t="s">
        <v>233</v>
      </c>
      <c r="B31" s="252">
        <f t="shared" si="2"/>
        <v>0</v>
      </c>
      <c r="C31" s="317"/>
      <c r="D31" s="318"/>
      <c r="E31" s="319"/>
      <c r="F31" s="320"/>
      <c r="G31" s="252">
        <v>1900</v>
      </c>
      <c r="H31" s="255">
        <v>13765676</v>
      </c>
      <c r="I31" s="255">
        <v>13870253</v>
      </c>
      <c r="J31" s="255">
        <v>11070253</v>
      </c>
      <c r="K31" s="255">
        <v>5518408</v>
      </c>
    </row>
    <row r="32" spans="1:11" ht="12.75">
      <c r="A32" s="22" t="s">
        <v>137</v>
      </c>
      <c r="B32" s="252">
        <f t="shared" si="2"/>
        <v>3000</v>
      </c>
      <c r="C32" s="317">
        <v>3000</v>
      </c>
      <c r="D32" s="318">
        <v>0</v>
      </c>
      <c r="E32" s="319">
        <v>6</v>
      </c>
      <c r="F32" s="320"/>
      <c r="G32" s="252"/>
      <c r="H32" s="255"/>
      <c r="I32" s="255"/>
      <c r="J32" s="255"/>
      <c r="K32" s="255"/>
    </row>
    <row r="33" spans="1:11" ht="12.75">
      <c r="A33" s="18" t="s">
        <v>261</v>
      </c>
      <c r="B33" s="252">
        <f t="shared" si="2"/>
        <v>0</v>
      </c>
      <c r="C33" s="317"/>
      <c r="D33" s="318"/>
      <c r="E33" s="319"/>
      <c r="F33" s="320"/>
      <c r="G33" s="252"/>
      <c r="H33" s="255">
        <v>680319</v>
      </c>
      <c r="I33" s="255">
        <v>394755.5</v>
      </c>
      <c r="J33" s="255"/>
      <c r="K33" s="255"/>
    </row>
    <row r="34" spans="1:11" ht="12.75">
      <c r="A34" s="18" t="s">
        <v>232</v>
      </c>
      <c r="B34" s="252">
        <f t="shared" si="2"/>
        <v>0</v>
      </c>
      <c r="C34" s="317"/>
      <c r="D34" s="318"/>
      <c r="E34" s="319"/>
      <c r="F34" s="320"/>
      <c r="G34" s="252">
        <v>4163</v>
      </c>
      <c r="H34" s="255"/>
      <c r="I34" s="255">
        <v>6201606</v>
      </c>
      <c r="J34" s="255"/>
      <c r="K34" s="255">
        <v>425386.4</v>
      </c>
    </row>
    <row r="35" spans="1:11" ht="12.75">
      <c r="A35" s="14" t="s">
        <v>1</v>
      </c>
      <c r="B35" s="322">
        <f>SUM(B26:B34)</f>
        <v>3000</v>
      </c>
      <c r="C35" s="322">
        <f>SUM(C26:C34)</f>
        <v>3000</v>
      </c>
      <c r="D35" s="322">
        <f aca="true" t="shared" si="3" ref="D35:J35">SUM(D26:D34)</f>
        <v>0</v>
      </c>
      <c r="E35" s="322">
        <f t="shared" si="3"/>
        <v>51</v>
      </c>
      <c r="F35" s="322">
        <f t="shared" si="3"/>
        <v>6606</v>
      </c>
      <c r="G35" s="322">
        <f t="shared" si="3"/>
        <v>11063</v>
      </c>
      <c r="H35" s="290">
        <f t="shared" si="3"/>
        <v>16545995</v>
      </c>
      <c r="I35" s="290">
        <f t="shared" si="3"/>
        <v>20466614.5</v>
      </c>
      <c r="J35" s="290">
        <f t="shared" si="3"/>
        <v>11070253</v>
      </c>
      <c r="K35" s="290">
        <f>SUM(K26:K34)</f>
        <v>5943794.4</v>
      </c>
    </row>
    <row r="36" spans="1:11" ht="12.75">
      <c r="A36" t="s">
        <v>356</v>
      </c>
      <c r="B36" s="24"/>
      <c r="C36" s="54"/>
      <c r="D36" s="54"/>
      <c r="F36" s="12"/>
      <c r="H36" s="12"/>
      <c r="I36" s="12"/>
      <c r="J36" s="12"/>
      <c r="K36" s="12"/>
    </row>
    <row r="37" spans="1:11" ht="12.75">
      <c r="A37" s="1" t="s">
        <v>315</v>
      </c>
      <c r="B37" s="1"/>
      <c r="C37" s="31"/>
      <c r="D37" s="31"/>
      <c r="F37" s="12"/>
      <c r="H37" s="12"/>
      <c r="I37" s="12"/>
      <c r="J37" s="12"/>
      <c r="K37" s="12"/>
    </row>
    <row r="38" spans="1:11" ht="12.75">
      <c r="A38" s="18" t="s">
        <v>200</v>
      </c>
      <c r="B38" s="252">
        <f aca="true" t="shared" si="4" ref="B38:B54">SUM(C38:D38)</f>
        <v>0</v>
      </c>
      <c r="C38" s="317"/>
      <c r="D38" s="318"/>
      <c r="E38" s="252"/>
      <c r="F38" s="252">
        <v>380</v>
      </c>
      <c r="G38" s="252"/>
      <c r="H38" s="255"/>
      <c r="I38" s="255"/>
      <c r="J38" s="255"/>
      <c r="K38" s="255"/>
    </row>
    <row r="39" spans="1:11" ht="12.75">
      <c r="A39" s="18" t="s">
        <v>199</v>
      </c>
      <c r="B39" s="252">
        <f t="shared" si="4"/>
        <v>0</v>
      </c>
      <c r="C39" s="317"/>
      <c r="D39" s="318"/>
      <c r="E39" s="252"/>
      <c r="F39" s="252">
        <v>896</v>
      </c>
      <c r="G39" s="252"/>
      <c r="H39" s="255"/>
      <c r="I39" s="255"/>
      <c r="J39" s="255"/>
      <c r="K39" s="255"/>
    </row>
    <row r="40" spans="1:11" ht="12.75">
      <c r="A40" s="18" t="s">
        <v>201</v>
      </c>
      <c r="B40" s="252">
        <f t="shared" si="4"/>
        <v>0</v>
      </c>
      <c r="C40" s="317"/>
      <c r="D40" s="318"/>
      <c r="E40" s="252"/>
      <c r="F40" s="252">
        <v>254</v>
      </c>
      <c r="G40" s="252"/>
      <c r="H40" s="255"/>
      <c r="I40" s="255"/>
      <c r="J40" s="255"/>
      <c r="K40" s="255"/>
    </row>
    <row r="41" spans="1:11" ht="12.75">
      <c r="A41" s="18" t="s">
        <v>259</v>
      </c>
      <c r="B41" s="252">
        <f t="shared" si="4"/>
        <v>0</v>
      </c>
      <c r="C41" s="317"/>
      <c r="D41" s="318"/>
      <c r="E41" s="252"/>
      <c r="F41" s="252"/>
      <c r="G41" s="252"/>
      <c r="H41" s="255">
        <v>1546809.2</v>
      </c>
      <c r="I41" s="255"/>
      <c r="J41" s="255">
        <v>1062330.79</v>
      </c>
      <c r="K41" s="255">
        <v>1573000.91</v>
      </c>
    </row>
    <row r="42" spans="1:11" ht="12.75">
      <c r="A42" s="18" t="s">
        <v>260</v>
      </c>
      <c r="B42" s="252">
        <f t="shared" si="4"/>
        <v>0</v>
      </c>
      <c r="C42" s="317"/>
      <c r="D42" s="318"/>
      <c r="E42" s="252"/>
      <c r="F42" s="252"/>
      <c r="G42" s="252"/>
      <c r="H42" s="255">
        <v>710932.44</v>
      </c>
      <c r="I42" s="255"/>
      <c r="J42" s="255"/>
      <c r="K42" s="255"/>
    </row>
    <row r="43" spans="1:11" ht="12.75">
      <c r="A43" s="18" t="s">
        <v>231</v>
      </c>
      <c r="B43" s="252">
        <f t="shared" si="4"/>
        <v>0</v>
      </c>
      <c r="C43" s="317"/>
      <c r="D43" s="318"/>
      <c r="E43" s="252"/>
      <c r="F43" s="252"/>
      <c r="G43" s="252">
        <v>0</v>
      </c>
      <c r="H43" s="255"/>
      <c r="I43" s="255"/>
      <c r="J43" s="255"/>
      <c r="K43" s="255"/>
    </row>
    <row r="44" spans="1:11" ht="12.75">
      <c r="A44" s="18" t="s">
        <v>351</v>
      </c>
      <c r="B44" s="252">
        <f t="shared" si="4"/>
        <v>0</v>
      </c>
      <c r="C44" s="317"/>
      <c r="D44" s="318"/>
      <c r="E44" s="252"/>
      <c r="F44" s="252"/>
      <c r="G44" s="252">
        <v>0</v>
      </c>
      <c r="H44" s="255">
        <v>447612</v>
      </c>
      <c r="I44" s="255"/>
      <c r="J44" s="255"/>
      <c r="K44" s="255"/>
    </row>
    <row r="45" spans="1:11" ht="12.75">
      <c r="A45" s="18" t="s">
        <v>322</v>
      </c>
      <c r="B45" s="252">
        <f t="shared" si="4"/>
        <v>0</v>
      </c>
      <c r="C45" s="317"/>
      <c r="D45" s="318"/>
      <c r="E45" s="252"/>
      <c r="F45" s="252"/>
      <c r="G45" s="252"/>
      <c r="H45" s="255"/>
      <c r="I45" s="255"/>
      <c r="J45" s="255">
        <v>0</v>
      </c>
      <c r="K45" s="255"/>
    </row>
    <row r="46" spans="1:11" ht="12.75">
      <c r="A46" s="55" t="s">
        <v>176</v>
      </c>
      <c r="B46" s="252">
        <f t="shared" si="4"/>
        <v>0</v>
      </c>
      <c r="C46" s="318"/>
      <c r="D46" s="318"/>
      <c r="E46" s="252">
        <v>0</v>
      </c>
      <c r="F46" s="252"/>
      <c r="G46" s="252"/>
      <c r="H46" s="255"/>
      <c r="I46" s="255"/>
      <c r="J46" s="255"/>
      <c r="K46" s="255"/>
    </row>
    <row r="47" spans="1:11" ht="12.75">
      <c r="A47" s="55" t="s">
        <v>177</v>
      </c>
      <c r="B47" s="252">
        <f t="shared" si="4"/>
        <v>0</v>
      </c>
      <c r="C47" s="318"/>
      <c r="D47" s="318"/>
      <c r="E47" s="252">
        <v>371</v>
      </c>
      <c r="F47" s="252">
        <v>517</v>
      </c>
      <c r="G47" s="252"/>
      <c r="H47" s="255"/>
      <c r="I47" s="255"/>
      <c r="J47" s="255"/>
      <c r="K47" s="255"/>
    </row>
    <row r="48" spans="1:11" ht="12.75">
      <c r="A48" s="18" t="s">
        <v>320</v>
      </c>
      <c r="B48" s="252">
        <f t="shared" si="4"/>
        <v>0</v>
      </c>
      <c r="C48" s="317"/>
      <c r="D48" s="318"/>
      <c r="E48" s="252"/>
      <c r="F48" s="252"/>
      <c r="G48" s="252"/>
      <c r="H48" s="255"/>
      <c r="I48" s="255"/>
      <c r="J48" s="255">
        <v>195895.63</v>
      </c>
      <c r="K48" s="255">
        <v>280151.35</v>
      </c>
    </row>
    <row r="49" spans="1:11" ht="12.75">
      <c r="A49" s="18" t="s">
        <v>319</v>
      </c>
      <c r="B49" s="252">
        <f t="shared" si="4"/>
        <v>0</v>
      </c>
      <c r="C49" s="317"/>
      <c r="D49" s="318"/>
      <c r="E49" s="252"/>
      <c r="F49" s="252"/>
      <c r="G49" s="252"/>
      <c r="H49" s="255"/>
      <c r="I49" s="255"/>
      <c r="J49" s="255">
        <v>0</v>
      </c>
      <c r="K49" s="255"/>
    </row>
    <row r="50" spans="1:11" ht="12.75">
      <c r="A50" s="18" t="s">
        <v>258</v>
      </c>
      <c r="B50" s="252">
        <f t="shared" si="4"/>
        <v>0</v>
      </c>
      <c r="C50" s="317"/>
      <c r="D50" s="318"/>
      <c r="E50" s="252"/>
      <c r="F50" s="252"/>
      <c r="G50" s="252"/>
      <c r="H50" s="255">
        <v>3710123.26</v>
      </c>
      <c r="I50" s="255"/>
      <c r="J50" s="255">
        <v>1111985.1</v>
      </c>
      <c r="K50" s="255">
        <v>1705193.2</v>
      </c>
    </row>
    <row r="51" spans="1:11" ht="12.75">
      <c r="A51" s="22" t="s">
        <v>97</v>
      </c>
      <c r="B51" s="252">
        <f t="shared" si="4"/>
        <v>8</v>
      </c>
      <c r="C51" s="317">
        <v>8</v>
      </c>
      <c r="D51" s="318">
        <v>0</v>
      </c>
      <c r="E51" s="252">
        <v>0</v>
      </c>
      <c r="F51" s="252"/>
      <c r="G51" s="252"/>
      <c r="H51" s="255"/>
      <c r="I51" s="255">
        <v>298947.9</v>
      </c>
      <c r="J51" s="255"/>
      <c r="K51" s="255"/>
    </row>
    <row r="52" spans="1:11" ht="12.75">
      <c r="A52" s="22" t="s">
        <v>95</v>
      </c>
      <c r="B52" s="252">
        <f t="shared" si="4"/>
        <v>86</v>
      </c>
      <c r="C52" s="318">
        <v>1</v>
      </c>
      <c r="D52" s="318">
        <v>85</v>
      </c>
      <c r="E52" s="252">
        <v>0</v>
      </c>
      <c r="F52" s="252"/>
      <c r="G52" s="252"/>
      <c r="H52" s="255"/>
      <c r="I52" s="255"/>
      <c r="J52" s="255"/>
      <c r="K52" s="255"/>
    </row>
    <row r="53" spans="1:11" ht="12.75">
      <c r="A53" s="18" t="s">
        <v>321</v>
      </c>
      <c r="B53" s="252">
        <f t="shared" si="4"/>
        <v>0</v>
      </c>
      <c r="C53" s="317"/>
      <c r="D53" s="318"/>
      <c r="E53" s="252"/>
      <c r="F53" s="252"/>
      <c r="G53" s="252"/>
      <c r="H53" s="255"/>
      <c r="I53" s="255"/>
      <c r="J53" s="255">
        <v>380149.11</v>
      </c>
      <c r="K53" s="255">
        <v>938492.95</v>
      </c>
    </row>
    <row r="54" spans="1:11" ht="12.75">
      <c r="A54" s="18" t="s">
        <v>230</v>
      </c>
      <c r="B54" s="252">
        <f t="shared" si="4"/>
        <v>0</v>
      </c>
      <c r="C54" s="317"/>
      <c r="D54" s="318"/>
      <c r="E54" s="252"/>
      <c r="F54" s="252"/>
      <c r="G54" s="252">
        <v>4</v>
      </c>
      <c r="H54" s="255">
        <v>188225</v>
      </c>
      <c r="I54" s="255"/>
      <c r="J54" s="255">
        <v>121599.5</v>
      </c>
      <c r="K54" s="256"/>
    </row>
    <row r="55" spans="1:11" ht="12.75">
      <c r="A55" s="14" t="s">
        <v>1</v>
      </c>
      <c r="B55" s="322">
        <f aca="true" t="shared" si="5" ref="B55:K55">SUM(B38:B54)</f>
        <v>94</v>
      </c>
      <c r="C55" s="322">
        <f t="shared" si="5"/>
        <v>9</v>
      </c>
      <c r="D55" s="322">
        <f t="shared" si="5"/>
        <v>85</v>
      </c>
      <c r="E55" s="322">
        <f t="shared" si="5"/>
        <v>371</v>
      </c>
      <c r="F55" s="322">
        <f t="shared" si="5"/>
        <v>2047</v>
      </c>
      <c r="G55" s="322">
        <f t="shared" si="5"/>
        <v>4</v>
      </c>
      <c r="H55" s="257">
        <f t="shared" si="5"/>
        <v>6603701.899999999</v>
      </c>
      <c r="I55" s="257">
        <f t="shared" si="5"/>
        <v>298947.9</v>
      </c>
      <c r="J55" s="257">
        <f t="shared" si="5"/>
        <v>2871960.13</v>
      </c>
      <c r="K55" s="257">
        <f t="shared" si="5"/>
        <v>4496838.41</v>
      </c>
    </row>
    <row r="56" spans="6:11" ht="12.75">
      <c r="F56" s="12"/>
      <c r="H56" s="12"/>
      <c r="I56" s="12"/>
      <c r="J56" s="12"/>
      <c r="K56" s="12"/>
    </row>
    <row r="57" spans="1:11" ht="12.75">
      <c r="A57" s="1" t="s">
        <v>316</v>
      </c>
      <c r="B57" s="1"/>
      <c r="C57" s="181"/>
      <c r="D57" s="182"/>
      <c r="E57" s="183"/>
      <c r="F57" s="184"/>
      <c r="G57" s="184"/>
      <c r="H57" s="184"/>
      <c r="I57" s="184"/>
      <c r="J57" s="184"/>
      <c r="K57" s="184"/>
    </row>
    <row r="58" spans="1:11" ht="12.75">
      <c r="A58" s="18" t="s">
        <v>202</v>
      </c>
      <c r="B58" s="252">
        <f aca="true" t="shared" si="6" ref="B58:B66">SUM(C58:D58)</f>
        <v>0</v>
      </c>
      <c r="C58" s="317"/>
      <c r="D58" s="318"/>
      <c r="E58" s="287"/>
      <c r="F58" s="252">
        <v>603</v>
      </c>
      <c r="G58" s="252"/>
      <c r="H58" s="255"/>
      <c r="I58" s="255"/>
      <c r="J58" s="255"/>
      <c r="K58" s="255"/>
    </row>
    <row r="59" spans="1:11" ht="12.75">
      <c r="A59" s="22" t="s">
        <v>178</v>
      </c>
      <c r="B59" s="252">
        <f t="shared" si="6"/>
        <v>0</v>
      </c>
      <c r="C59" s="317"/>
      <c r="D59" s="318"/>
      <c r="E59" s="287">
        <v>29</v>
      </c>
      <c r="F59" s="252"/>
      <c r="G59" s="252"/>
      <c r="H59" s="255"/>
      <c r="I59" s="255"/>
      <c r="J59" s="255"/>
      <c r="K59" s="255"/>
    </row>
    <row r="60" spans="1:11" ht="12.75">
      <c r="A60" s="18" t="s">
        <v>231</v>
      </c>
      <c r="B60" s="252">
        <f t="shared" si="6"/>
        <v>0</v>
      </c>
      <c r="C60" s="317"/>
      <c r="D60" s="318"/>
      <c r="E60" s="287"/>
      <c r="F60" s="252"/>
      <c r="G60" s="252"/>
      <c r="H60" s="255"/>
      <c r="I60" s="255"/>
      <c r="J60" s="255"/>
      <c r="K60" s="255"/>
    </row>
    <row r="61" spans="1:11" ht="12.75">
      <c r="A61" s="18" t="s">
        <v>352</v>
      </c>
      <c r="B61" s="252">
        <f t="shared" si="6"/>
        <v>0</v>
      </c>
      <c r="C61" s="317"/>
      <c r="D61" s="318"/>
      <c r="E61" s="287"/>
      <c r="F61" s="252">
        <v>0</v>
      </c>
      <c r="G61" s="252">
        <v>2000</v>
      </c>
      <c r="H61" s="255">
        <v>2100000</v>
      </c>
      <c r="I61" s="255"/>
      <c r="J61" s="255"/>
      <c r="K61" s="255"/>
    </row>
    <row r="62" spans="1:11" ht="12.75">
      <c r="A62" s="22" t="s">
        <v>181</v>
      </c>
      <c r="B62" s="252">
        <f t="shared" si="6"/>
        <v>0</v>
      </c>
      <c r="C62" s="317">
        <v>0</v>
      </c>
      <c r="D62" s="318">
        <v>0</v>
      </c>
      <c r="E62" s="287">
        <v>6</v>
      </c>
      <c r="F62" s="252">
        <v>33</v>
      </c>
      <c r="G62" s="252"/>
      <c r="H62" s="255">
        <v>2480000</v>
      </c>
      <c r="I62" s="255"/>
      <c r="J62" s="255"/>
      <c r="K62" s="255"/>
    </row>
    <row r="63" spans="1:11" ht="12.75">
      <c r="A63" s="18" t="s">
        <v>233</v>
      </c>
      <c r="B63" s="252">
        <f t="shared" si="6"/>
        <v>0</v>
      </c>
      <c r="C63" s="317"/>
      <c r="D63" s="318"/>
      <c r="E63" s="287"/>
      <c r="F63" s="252"/>
      <c r="G63" s="252"/>
      <c r="H63" s="255"/>
      <c r="I63" s="255"/>
      <c r="J63" s="255">
        <v>2633211</v>
      </c>
      <c r="K63" s="256">
        <v>5336674.71</v>
      </c>
    </row>
    <row r="64" spans="1:11" ht="12.75">
      <c r="A64" s="22" t="s">
        <v>137</v>
      </c>
      <c r="B64" s="252">
        <f t="shared" si="6"/>
        <v>56</v>
      </c>
      <c r="C64" s="317">
        <v>56</v>
      </c>
      <c r="D64" s="318">
        <v>0</v>
      </c>
      <c r="E64" s="287">
        <v>6</v>
      </c>
      <c r="F64" s="252"/>
      <c r="G64" s="252"/>
      <c r="H64" s="255"/>
      <c r="I64" s="255"/>
      <c r="J64" s="255"/>
      <c r="K64" s="255"/>
    </row>
    <row r="65" spans="1:11" ht="12.75">
      <c r="A65" s="18" t="s">
        <v>261</v>
      </c>
      <c r="B65" s="252">
        <f t="shared" si="6"/>
        <v>0</v>
      </c>
      <c r="C65" s="317"/>
      <c r="D65" s="318"/>
      <c r="E65" s="287"/>
      <c r="F65" s="252"/>
      <c r="G65" s="252"/>
      <c r="H65" s="255">
        <v>562751.17</v>
      </c>
      <c r="I65" s="255"/>
      <c r="J65" s="255"/>
      <c r="K65" s="255"/>
    </row>
    <row r="66" spans="1:11" ht="12.75">
      <c r="A66" s="18" t="s">
        <v>232</v>
      </c>
      <c r="B66" s="252">
        <f t="shared" si="6"/>
        <v>0</v>
      </c>
      <c r="C66" s="317"/>
      <c r="D66" s="318"/>
      <c r="E66" s="287"/>
      <c r="F66" s="252"/>
      <c r="G66" s="252"/>
      <c r="H66" s="255"/>
      <c r="I66" s="255"/>
      <c r="J66" s="255"/>
      <c r="K66" s="255">
        <v>0</v>
      </c>
    </row>
    <row r="67" spans="1:11" ht="12.75">
      <c r="A67" s="14" t="s">
        <v>1</v>
      </c>
      <c r="B67" s="322">
        <f aca="true" t="shared" si="7" ref="B67:K67">SUM(B58:B66)</f>
        <v>56</v>
      </c>
      <c r="C67" s="322">
        <f t="shared" si="7"/>
        <v>56</v>
      </c>
      <c r="D67" s="322">
        <f t="shared" si="7"/>
        <v>0</v>
      </c>
      <c r="E67" s="298">
        <f t="shared" si="7"/>
        <v>41</v>
      </c>
      <c r="F67" s="258">
        <f t="shared" si="7"/>
        <v>636</v>
      </c>
      <c r="G67" s="258">
        <f t="shared" si="7"/>
        <v>2000</v>
      </c>
      <c r="H67" s="257">
        <f t="shared" si="7"/>
        <v>5142751.17</v>
      </c>
      <c r="I67" s="257">
        <f t="shared" si="7"/>
        <v>0</v>
      </c>
      <c r="J67" s="257">
        <f t="shared" si="7"/>
        <v>2633211</v>
      </c>
      <c r="K67" s="257">
        <f t="shared" si="7"/>
        <v>5336674.71</v>
      </c>
    </row>
    <row r="68" ht="12.75">
      <c r="A68" t="str">
        <f>A36</f>
        <v>* These columns/years have been hidden in this worksheet for viewing &amp; printing purposes</v>
      </c>
    </row>
  </sheetData>
  <sheetProtection/>
  <mergeCells count="2">
    <mergeCell ref="A3:J3"/>
    <mergeCell ref="A1:K1"/>
  </mergeCells>
  <printOptions/>
  <pageMargins left="0.55" right="0.57" top="0.62" bottom="1" header="0.5" footer="0.5"/>
  <pageSetup horizontalDpi="600" verticalDpi="600" orientation="landscape" scale="9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36" max="255" man="1"/>
  </rowBreaks>
  <ignoredErrors>
    <ignoredError sqref="C23:J23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</sheetPr>
  <dimension ref="A1:H16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1.28125" style="0" customWidth="1"/>
    <col min="2" max="5" width="13.421875" style="0" bestFit="1" customWidth="1"/>
    <col min="6" max="6" width="14.421875" style="0" bestFit="1" customWidth="1"/>
  </cols>
  <sheetData>
    <row r="1" spans="1:6" ht="15.75">
      <c r="A1" s="382" t="s">
        <v>266</v>
      </c>
      <c r="B1" s="383"/>
      <c r="C1" s="383"/>
      <c r="D1" s="383"/>
      <c r="E1" s="383"/>
      <c r="F1" s="383"/>
    </row>
    <row r="2" spans="1:6" ht="12.75">
      <c r="A2" s="21"/>
      <c r="B2" s="6"/>
      <c r="C2" s="6"/>
      <c r="D2" s="6"/>
      <c r="E2" s="6"/>
      <c r="F2" s="6"/>
    </row>
    <row r="3" spans="1:6" ht="25.5">
      <c r="A3" s="30" t="s">
        <v>309</v>
      </c>
      <c r="B3" s="28">
        <v>2009</v>
      </c>
      <c r="C3" s="28">
        <v>2010</v>
      </c>
      <c r="D3" s="28">
        <v>2011</v>
      </c>
      <c r="E3" s="207" t="s">
        <v>423</v>
      </c>
      <c r="F3" s="28" t="s">
        <v>1</v>
      </c>
    </row>
    <row r="4" spans="1:6" ht="12.75">
      <c r="A4" s="18" t="s">
        <v>250</v>
      </c>
      <c r="B4" s="293">
        <v>6000000</v>
      </c>
      <c r="C4" s="293">
        <v>5940000</v>
      </c>
      <c r="D4" s="293">
        <v>3655277</v>
      </c>
      <c r="E4" s="294">
        <v>1831042.4</v>
      </c>
      <c r="F4" s="293">
        <f>SUM(B4:E4)</f>
        <v>17426319.4</v>
      </c>
    </row>
    <row r="5" spans="1:6" ht="12.75">
      <c r="A5" s="21"/>
      <c r="B5" s="104"/>
      <c r="C5" s="104"/>
      <c r="D5" s="104"/>
      <c r="E5" s="163"/>
      <c r="F5" s="104"/>
    </row>
    <row r="6" spans="1:6" ht="12.75">
      <c r="A6" s="30" t="s">
        <v>256</v>
      </c>
      <c r="B6" s="123"/>
      <c r="C6" s="123"/>
      <c r="D6" s="123"/>
      <c r="E6" s="145"/>
      <c r="F6" s="104"/>
    </row>
    <row r="7" spans="1:6" ht="12.75">
      <c r="A7" s="15" t="s">
        <v>32</v>
      </c>
      <c r="B7" s="293">
        <v>60000</v>
      </c>
      <c r="C7" s="293">
        <v>839367</v>
      </c>
      <c r="D7" s="293">
        <v>1824234.6</v>
      </c>
      <c r="E7" s="294">
        <v>1602023.91</v>
      </c>
      <c r="F7" s="293">
        <f>SUM(B7:E7)</f>
        <v>4325625.51</v>
      </c>
    </row>
    <row r="8" spans="1:6" ht="12.75">
      <c r="A8" s="15" t="s">
        <v>20</v>
      </c>
      <c r="B8" s="293"/>
      <c r="C8" s="293">
        <v>2155276</v>
      </c>
      <c r="D8" s="293">
        <v>1831041.4</v>
      </c>
      <c r="E8" s="323">
        <v>229017.48</v>
      </c>
      <c r="F8" s="310"/>
    </row>
    <row r="9" spans="1:6" ht="12.75">
      <c r="A9" s="15" t="s">
        <v>33</v>
      </c>
      <c r="B9" s="293">
        <f>SUM(B7:B8)</f>
        <v>60000</v>
      </c>
      <c r="C9" s="293">
        <f>SUM(C7:C8)</f>
        <v>2994643</v>
      </c>
      <c r="D9" s="293">
        <f>SUM(D7:D8)</f>
        <v>3655276</v>
      </c>
      <c r="E9" s="293">
        <f>SUM(E7:E8)</f>
        <v>1831041.39</v>
      </c>
      <c r="F9" s="310"/>
    </row>
    <row r="10" spans="1:6" ht="12.75">
      <c r="A10" s="21"/>
      <c r="B10" s="40"/>
      <c r="C10" s="40"/>
      <c r="D10" s="40"/>
      <c r="E10" s="40"/>
      <c r="F10" s="40"/>
    </row>
    <row r="11" spans="1:8" ht="12.75">
      <c r="A11" s="43" t="s">
        <v>5</v>
      </c>
      <c r="B11" s="63"/>
      <c r="C11" s="63"/>
      <c r="D11" s="63"/>
      <c r="E11" s="63"/>
      <c r="F11" s="63"/>
      <c r="G11" s="140"/>
      <c r="H11" s="140"/>
    </row>
    <row r="12" spans="1:8" ht="12.75">
      <c r="A12" s="15" t="s">
        <v>24</v>
      </c>
      <c r="B12" s="267">
        <v>0</v>
      </c>
      <c r="C12" s="267">
        <v>0</v>
      </c>
      <c r="D12" s="267">
        <v>1</v>
      </c>
      <c r="E12" s="267">
        <v>6</v>
      </c>
      <c r="F12" s="267">
        <f>SUM(B12:E12)</f>
        <v>7</v>
      </c>
      <c r="G12" s="132"/>
      <c r="H12" s="140"/>
    </row>
    <row r="13" spans="1:8" ht="12.75">
      <c r="A13" s="15" t="s">
        <v>23</v>
      </c>
      <c r="B13" s="267">
        <v>3</v>
      </c>
      <c r="C13" s="267">
        <v>6</v>
      </c>
      <c r="D13" s="267">
        <v>0</v>
      </c>
      <c r="E13" s="267">
        <v>2</v>
      </c>
      <c r="F13" s="267">
        <f>SUM(B13:E13)</f>
        <v>11</v>
      </c>
      <c r="G13" s="151"/>
      <c r="H13" s="140"/>
    </row>
    <row r="14" spans="1:8" ht="12.75">
      <c r="A14" s="15" t="s">
        <v>21</v>
      </c>
      <c r="B14" s="267">
        <f>SUM(B12:B13)</f>
        <v>3</v>
      </c>
      <c r="C14" s="267">
        <f>SUM(C12:C13)</f>
        <v>6</v>
      </c>
      <c r="D14" s="267">
        <f>SUM(D12:D13)</f>
        <v>1</v>
      </c>
      <c r="E14" s="267">
        <f>SUM(E12:E13)</f>
        <v>8</v>
      </c>
      <c r="F14" s="267">
        <f>SUM(B14:E14)</f>
        <v>18</v>
      </c>
      <c r="G14" s="140"/>
      <c r="H14" s="140"/>
    </row>
    <row r="15" spans="1:8" ht="12.75">
      <c r="A15" s="21"/>
      <c r="B15" s="58"/>
      <c r="C15" s="58"/>
      <c r="D15" s="58"/>
      <c r="E15" s="58"/>
      <c r="F15" s="58"/>
      <c r="G15" s="140"/>
      <c r="H15" s="140"/>
    </row>
    <row r="16" spans="1:8" ht="12.75">
      <c r="A16" s="2"/>
      <c r="B16" s="64"/>
      <c r="C16" s="64"/>
      <c r="D16" s="64"/>
      <c r="E16" s="64"/>
      <c r="F16" s="64"/>
      <c r="G16" s="140"/>
      <c r="H16" s="140"/>
    </row>
  </sheetData>
  <sheetProtection/>
  <mergeCells count="1"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43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11.7109375" style="0" customWidth="1"/>
    <col min="3" max="5" width="14.421875" style="0" bestFit="1" customWidth="1"/>
    <col min="6" max="6" width="13.421875" style="0" bestFit="1" customWidth="1"/>
    <col min="7" max="7" width="14.421875" style="0" bestFit="1" customWidth="1"/>
  </cols>
  <sheetData>
    <row r="1" spans="1:7" ht="15.75">
      <c r="A1" s="382" t="s">
        <v>369</v>
      </c>
      <c r="B1" s="382"/>
      <c r="C1" s="382"/>
      <c r="D1" s="383"/>
      <c r="E1" s="383"/>
      <c r="F1" s="383"/>
      <c r="G1" s="383"/>
    </row>
    <row r="2" spans="1:7" ht="15.75">
      <c r="A2" s="237"/>
      <c r="B2" s="237"/>
      <c r="C2" s="237"/>
      <c r="D2" s="238"/>
      <c r="E2" s="238"/>
      <c r="F2" s="238"/>
      <c r="G2" s="238"/>
    </row>
    <row r="3" spans="1:7" ht="15">
      <c r="A3" s="391" t="s">
        <v>234</v>
      </c>
      <c r="B3" s="391"/>
      <c r="C3" s="391"/>
      <c r="D3" s="391"/>
      <c r="E3" s="391"/>
      <c r="F3" s="391"/>
      <c r="G3" s="391"/>
    </row>
    <row r="4" spans="1:10" ht="25.5">
      <c r="A4" s="30" t="s">
        <v>255</v>
      </c>
      <c r="B4" s="107">
        <v>2008</v>
      </c>
      <c r="C4" s="107">
        <v>2009</v>
      </c>
      <c r="D4" s="107">
        <v>2010</v>
      </c>
      <c r="E4" s="107">
        <v>2011</v>
      </c>
      <c r="F4" s="227" t="s">
        <v>423</v>
      </c>
      <c r="G4" s="107" t="s">
        <v>1</v>
      </c>
      <c r="H4" s="151"/>
      <c r="I4" s="140"/>
      <c r="J4" s="140"/>
    </row>
    <row r="5" spans="1:10" ht="12.75">
      <c r="A5" s="18" t="s">
        <v>295</v>
      </c>
      <c r="B5" s="262">
        <v>3000</v>
      </c>
      <c r="C5" s="294">
        <v>24000000</v>
      </c>
      <c r="D5" s="294">
        <v>27731486.82</v>
      </c>
      <c r="E5" s="294">
        <v>35634153.38</v>
      </c>
      <c r="F5" s="294">
        <v>8364735.63</v>
      </c>
      <c r="G5" s="294">
        <f>SUM(B5:F5)</f>
        <v>95733375.83</v>
      </c>
      <c r="H5" s="140"/>
      <c r="I5" s="140"/>
      <c r="J5" s="140"/>
    </row>
    <row r="6" spans="1:10" ht="7.5" customHeight="1">
      <c r="A6" s="21"/>
      <c r="B6" s="162"/>
      <c r="C6" s="162"/>
      <c r="D6" s="163"/>
      <c r="E6" s="163"/>
      <c r="F6" s="163"/>
      <c r="G6" s="163"/>
      <c r="H6" s="140"/>
      <c r="I6" s="140"/>
      <c r="J6" s="140"/>
    </row>
    <row r="7" spans="1:10" ht="12.75">
      <c r="A7" s="30" t="s">
        <v>256</v>
      </c>
      <c r="B7" s="76"/>
      <c r="C7" s="76"/>
      <c r="D7" s="145"/>
      <c r="E7" s="145"/>
      <c r="F7" s="145"/>
      <c r="G7" s="163"/>
      <c r="H7" s="140"/>
      <c r="I7" s="140"/>
      <c r="J7" s="140"/>
    </row>
    <row r="8" spans="1:10" ht="12.75">
      <c r="A8" s="15" t="s">
        <v>32</v>
      </c>
      <c r="B8" s="262">
        <v>36</v>
      </c>
      <c r="C8" s="294">
        <v>2480000</v>
      </c>
      <c r="D8" s="294">
        <v>3211000</v>
      </c>
      <c r="E8" s="294">
        <v>5915017</v>
      </c>
      <c r="F8" s="294">
        <v>2396179.58</v>
      </c>
      <c r="G8" s="294">
        <f>SUM(B8:F8)</f>
        <v>14002232.58</v>
      </c>
      <c r="H8" s="140"/>
      <c r="I8" s="140"/>
      <c r="J8" s="140"/>
    </row>
    <row r="9" spans="1:10" ht="12.75">
      <c r="A9" s="15" t="s">
        <v>20</v>
      </c>
      <c r="B9" s="262"/>
      <c r="C9" s="294">
        <v>8582000</v>
      </c>
      <c r="D9" s="294">
        <v>5551000</v>
      </c>
      <c r="E9" s="294">
        <v>6475983</v>
      </c>
      <c r="F9" s="294">
        <v>2942529.32</v>
      </c>
      <c r="G9" s="324"/>
      <c r="H9" s="140"/>
      <c r="I9" s="140"/>
      <c r="J9" s="140"/>
    </row>
    <row r="10" spans="1:10" ht="12.75">
      <c r="A10" s="15" t="s">
        <v>33</v>
      </c>
      <c r="B10" s="262">
        <f>SUM(B8:B9)</f>
        <v>36</v>
      </c>
      <c r="C10" s="294">
        <f>SUM(C8:C9)</f>
        <v>11062000</v>
      </c>
      <c r="D10" s="294">
        <f>SUM(D8:D9)</f>
        <v>8762000</v>
      </c>
      <c r="E10" s="294">
        <f>SUM(E8:E9)</f>
        <v>12391000</v>
      </c>
      <c r="F10" s="294">
        <f>SUM(F8:F9)</f>
        <v>5338708.9</v>
      </c>
      <c r="G10" s="324"/>
      <c r="H10" s="140"/>
      <c r="I10" s="140"/>
      <c r="J10" s="140"/>
    </row>
    <row r="11" spans="1:10" ht="7.5" customHeight="1">
      <c r="A11" s="21"/>
      <c r="B11" s="162"/>
      <c r="C11" s="162"/>
      <c r="D11" s="63"/>
      <c r="E11" s="63"/>
      <c r="F11" s="63"/>
      <c r="G11" s="63"/>
      <c r="H11" s="140"/>
      <c r="I11" s="140"/>
      <c r="J11" s="140"/>
    </row>
    <row r="12" spans="1:10" ht="12.75">
      <c r="A12" s="43" t="s">
        <v>5</v>
      </c>
      <c r="B12" s="155"/>
      <c r="C12" s="155"/>
      <c r="D12" s="63"/>
      <c r="E12" s="63"/>
      <c r="F12" s="63"/>
      <c r="G12" s="63"/>
      <c r="H12" s="140"/>
      <c r="I12" s="140"/>
      <c r="J12" s="140"/>
    </row>
    <row r="13" spans="1:10" ht="12.75">
      <c r="A13" s="15" t="s">
        <v>24</v>
      </c>
      <c r="B13" s="267"/>
      <c r="C13" s="267">
        <v>0</v>
      </c>
      <c r="D13" s="267">
        <v>1</v>
      </c>
      <c r="E13" s="267">
        <v>3</v>
      </c>
      <c r="F13" s="267">
        <v>6</v>
      </c>
      <c r="G13" s="325">
        <f>SUM(B13:F13)</f>
        <v>10</v>
      </c>
      <c r="H13" s="132"/>
      <c r="I13" s="140"/>
      <c r="J13" s="140"/>
    </row>
    <row r="14" spans="1:10" ht="12.75">
      <c r="A14" s="15" t="s">
        <v>23</v>
      </c>
      <c r="B14" s="267"/>
      <c r="C14" s="267">
        <v>8</v>
      </c>
      <c r="D14" s="267">
        <v>0</v>
      </c>
      <c r="E14" s="267">
        <v>6</v>
      </c>
      <c r="F14" s="267">
        <v>3</v>
      </c>
      <c r="G14" s="326"/>
      <c r="H14" s="151"/>
      <c r="I14" s="140"/>
      <c r="J14" s="140"/>
    </row>
    <row r="15" spans="1:10" ht="12.75">
      <c r="A15" s="15" t="s">
        <v>21</v>
      </c>
      <c r="B15" s="267">
        <f>SUM(B13:B14)</f>
        <v>0</v>
      </c>
      <c r="C15" s="267">
        <f>SUM(C13:C14)</f>
        <v>8</v>
      </c>
      <c r="D15" s="267">
        <f>SUM(D13:D14)</f>
        <v>1</v>
      </c>
      <c r="E15" s="267">
        <f>SUM(E13:E14)</f>
        <v>9</v>
      </c>
      <c r="F15" s="267">
        <f>SUM(F13:F14)</f>
        <v>9</v>
      </c>
      <c r="G15" s="326"/>
      <c r="H15" s="151"/>
      <c r="I15" s="140"/>
      <c r="J15" s="140"/>
    </row>
    <row r="16" spans="1:7" ht="12.75">
      <c r="A16" s="21"/>
      <c r="B16" s="21"/>
      <c r="C16" s="21"/>
      <c r="D16" s="44"/>
      <c r="E16" s="44"/>
      <c r="F16" s="44"/>
      <c r="G16" s="44"/>
    </row>
    <row r="17" spans="1:7" ht="15">
      <c r="A17" s="391" t="s">
        <v>368</v>
      </c>
      <c r="B17" s="391"/>
      <c r="C17" s="391"/>
      <c r="D17" s="391"/>
      <c r="E17" s="391"/>
      <c r="F17" s="391"/>
      <c r="G17" s="391"/>
    </row>
    <row r="18" spans="1:7" ht="12.75">
      <c r="A18" s="30" t="s">
        <v>255</v>
      </c>
      <c r="B18" s="107">
        <v>2008</v>
      </c>
      <c r="C18" s="107">
        <v>2009</v>
      </c>
      <c r="D18" s="107">
        <v>2010</v>
      </c>
      <c r="E18" s="107">
        <v>2011</v>
      </c>
      <c r="F18" s="107">
        <v>2012</v>
      </c>
      <c r="G18" s="107" t="s">
        <v>1</v>
      </c>
    </row>
    <row r="19" spans="1:7" ht="12.75">
      <c r="A19" s="18" t="s">
        <v>366</v>
      </c>
      <c r="B19" s="262"/>
      <c r="C19" s="294"/>
      <c r="D19" s="294"/>
      <c r="E19" s="294">
        <v>4000000</v>
      </c>
      <c r="F19" s="294">
        <v>3440545.29</v>
      </c>
      <c r="G19" s="294">
        <f>SUM(B19:F19)</f>
        <v>7440545.29</v>
      </c>
    </row>
    <row r="20" spans="1:7" ht="7.5" customHeight="1">
      <c r="A20" s="21"/>
      <c r="B20" s="21"/>
      <c r="C20" s="21"/>
      <c r="D20" s="104"/>
      <c r="E20" s="104"/>
      <c r="F20" s="163"/>
      <c r="G20" s="104"/>
    </row>
    <row r="21" spans="1:7" ht="12.75">
      <c r="A21" s="30" t="s">
        <v>256</v>
      </c>
      <c r="B21" s="30"/>
      <c r="C21" s="30"/>
      <c r="D21" s="123"/>
      <c r="E21" s="123"/>
      <c r="F21" s="145"/>
      <c r="G21" s="104"/>
    </row>
    <row r="22" spans="1:7" ht="12.75">
      <c r="A22" s="15" t="s">
        <v>32</v>
      </c>
      <c r="B22" s="262"/>
      <c r="C22" s="294"/>
      <c r="D22" s="294"/>
      <c r="E22" s="294">
        <v>60000</v>
      </c>
      <c r="F22" s="294">
        <v>1944226</v>
      </c>
      <c r="G22" s="294">
        <f>SUM(B22:F22)</f>
        <v>2004226</v>
      </c>
    </row>
    <row r="23" spans="1:7" ht="12.75">
      <c r="A23" s="15" t="s">
        <v>20</v>
      </c>
      <c r="B23" s="262"/>
      <c r="C23" s="294"/>
      <c r="D23" s="294"/>
      <c r="E23" s="294">
        <v>0</v>
      </c>
      <c r="F23" s="294">
        <v>800000</v>
      </c>
      <c r="G23" s="324"/>
    </row>
    <row r="24" spans="1:7" ht="12.75">
      <c r="A24" s="15" t="s">
        <v>33</v>
      </c>
      <c r="B24" s="262"/>
      <c r="C24" s="294"/>
      <c r="D24" s="294"/>
      <c r="E24" s="294">
        <f>SUM(E22:E23)</f>
        <v>60000</v>
      </c>
      <c r="F24" s="294">
        <f>SUM(F22:F23)</f>
        <v>2744226</v>
      </c>
      <c r="G24" s="324"/>
    </row>
    <row r="25" spans="1:7" ht="7.5" customHeight="1">
      <c r="A25" s="21"/>
      <c r="B25" s="21"/>
      <c r="C25" s="21"/>
      <c r="D25" s="40"/>
      <c r="E25" s="40"/>
      <c r="F25" s="40"/>
      <c r="G25" s="40"/>
    </row>
    <row r="26" spans="1:7" ht="12.75">
      <c r="A26" s="43" t="s">
        <v>5</v>
      </c>
      <c r="B26" s="43"/>
      <c r="C26" s="43"/>
      <c r="D26" s="40"/>
      <c r="E26" s="40"/>
      <c r="F26" s="40"/>
      <c r="G26" s="40"/>
    </row>
    <row r="27" spans="1:7" ht="12.75">
      <c r="A27" s="15" t="s">
        <v>24</v>
      </c>
      <c r="B27" s="267"/>
      <c r="C27" s="267"/>
      <c r="D27" s="267"/>
      <c r="E27" s="267">
        <v>0</v>
      </c>
      <c r="F27" s="267">
        <v>0</v>
      </c>
      <c r="G27" s="325">
        <f>SUM(B27:F27)</f>
        <v>0</v>
      </c>
    </row>
    <row r="28" spans="1:7" ht="12.75">
      <c r="A28" s="15" t="s">
        <v>23</v>
      </c>
      <c r="B28" s="267"/>
      <c r="C28" s="267"/>
      <c r="D28" s="267"/>
      <c r="E28" s="267">
        <v>0</v>
      </c>
      <c r="F28" s="267">
        <v>3</v>
      </c>
      <c r="G28" s="326"/>
    </row>
    <row r="29" spans="1:7" ht="12.75">
      <c r="A29" s="15" t="s">
        <v>21</v>
      </c>
      <c r="B29" s="267"/>
      <c r="C29" s="267"/>
      <c r="D29" s="267"/>
      <c r="E29" s="267">
        <f>SUM(E27:E28)</f>
        <v>0</v>
      </c>
      <c r="F29" s="267">
        <f>SUM(F27:F28)</f>
        <v>3</v>
      </c>
      <c r="G29" s="326"/>
    </row>
    <row r="31" spans="1:7" ht="15">
      <c r="A31" s="392" t="s">
        <v>323</v>
      </c>
      <c r="B31" s="392"/>
      <c r="C31" s="392"/>
      <c r="D31" s="392"/>
      <c r="E31" s="392"/>
      <c r="F31" s="392"/>
      <c r="G31" s="392"/>
    </row>
    <row r="32" spans="1:7" ht="12.75">
      <c r="A32" s="30" t="s">
        <v>255</v>
      </c>
      <c r="B32" s="107">
        <v>2008</v>
      </c>
      <c r="C32" s="107">
        <v>2009</v>
      </c>
      <c r="D32" s="107">
        <v>2010</v>
      </c>
      <c r="E32" s="107">
        <v>2011</v>
      </c>
      <c r="F32" s="107">
        <v>2012</v>
      </c>
      <c r="G32" s="107" t="s">
        <v>1</v>
      </c>
    </row>
    <row r="33" spans="1:7" ht="12.75">
      <c r="A33" s="18" t="s">
        <v>367</v>
      </c>
      <c r="B33" s="262"/>
      <c r="C33" s="294"/>
      <c r="D33" s="294"/>
      <c r="E33" s="294">
        <v>18000000</v>
      </c>
      <c r="F33" s="294">
        <v>270000</v>
      </c>
      <c r="G33" s="294">
        <f>SUM(B33:F33)</f>
        <v>18270000</v>
      </c>
    </row>
    <row r="34" spans="1:7" ht="7.5" customHeight="1">
      <c r="A34" s="21"/>
      <c r="B34" s="21"/>
      <c r="C34" s="21"/>
      <c r="D34" s="104"/>
      <c r="E34" s="104"/>
      <c r="F34" s="163"/>
      <c r="G34" s="104"/>
    </row>
    <row r="35" spans="1:7" ht="12.75">
      <c r="A35" s="30" t="s">
        <v>256</v>
      </c>
      <c r="B35" s="30"/>
      <c r="C35" s="30"/>
      <c r="D35" s="123"/>
      <c r="E35" s="123"/>
      <c r="F35" s="145"/>
      <c r="G35" s="104"/>
    </row>
    <row r="36" spans="1:7" ht="12.75">
      <c r="A36" s="15" t="s">
        <v>32</v>
      </c>
      <c r="B36" s="262"/>
      <c r="C36" s="294"/>
      <c r="D36" s="294"/>
      <c r="E36" s="294">
        <v>360000</v>
      </c>
      <c r="F36" s="294">
        <v>270000</v>
      </c>
      <c r="G36" s="294">
        <f>SUM(B36:F36)</f>
        <v>630000</v>
      </c>
    </row>
    <row r="37" spans="1:7" ht="12.75">
      <c r="A37" s="15" t="s">
        <v>20</v>
      </c>
      <c r="B37" s="262"/>
      <c r="C37" s="294"/>
      <c r="D37" s="294"/>
      <c r="E37" s="294">
        <v>0</v>
      </c>
      <c r="F37" s="294">
        <v>0</v>
      </c>
      <c r="G37" s="324"/>
    </row>
    <row r="38" spans="1:7" ht="12.75">
      <c r="A38" s="15" t="s">
        <v>33</v>
      </c>
      <c r="B38" s="262"/>
      <c r="C38" s="294"/>
      <c r="D38" s="294"/>
      <c r="E38" s="294">
        <f>SUM(E36:E37)</f>
        <v>360000</v>
      </c>
      <c r="F38" s="294">
        <f>SUM(F36:F37)</f>
        <v>270000</v>
      </c>
      <c r="G38" s="324"/>
    </row>
    <row r="39" spans="1:7" ht="7.5" customHeight="1">
      <c r="A39" s="21"/>
      <c r="B39" s="21"/>
      <c r="C39" s="21"/>
      <c r="D39" s="40"/>
      <c r="E39" s="40"/>
      <c r="F39" s="40"/>
      <c r="G39" s="40"/>
    </row>
    <row r="40" spans="1:7" ht="12.75">
      <c r="A40" s="43" t="s">
        <v>5</v>
      </c>
      <c r="B40" s="43"/>
      <c r="C40" s="43"/>
      <c r="D40" s="40"/>
      <c r="E40" s="40"/>
      <c r="F40" s="40"/>
      <c r="G40" s="40"/>
    </row>
    <row r="41" spans="1:7" ht="12.75">
      <c r="A41" s="15" t="s">
        <v>24</v>
      </c>
      <c r="B41" s="267"/>
      <c r="C41" s="267"/>
      <c r="D41" s="267"/>
      <c r="E41" s="267">
        <v>0</v>
      </c>
      <c r="F41" s="267">
        <v>0</v>
      </c>
      <c r="G41" s="325">
        <f>SUM(B41:F41)</f>
        <v>0</v>
      </c>
    </row>
    <row r="42" spans="1:7" ht="12.75">
      <c r="A42" s="15" t="s">
        <v>23</v>
      </c>
      <c r="B42" s="267"/>
      <c r="C42" s="267"/>
      <c r="D42" s="267"/>
      <c r="E42" s="267">
        <v>0</v>
      </c>
      <c r="F42" s="267">
        <v>0</v>
      </c>
      <c r="G42" s="326"/>
    </row>
    <row r="43" spans="1:7" ht="12.75">
      <c r="A43" s="15" t="s">
        <v>21</v>
      </c>
      <c r="B43" s="267"/>
      <c r="C43" s="267"/>
      <c r="D43" s="267"/>
      <c r="E43" s="267">
        <f>SUM(E41:E42)</f>
        <v>0</v>
      </c>
      <c r="F43" s="267">
        <f>SUM(F41:F42)</f>
        <v>0</v>
      </c>
      <c r="G43" s="326"/>
    </row>
  </sheetData>
  <sheetProtection/>
  <mergeCells count="4">
    <mergeCell ref="A1:G1"/>
    <mergeCell ref="A17:G17"/>
    <mergeCell ref="A31:G31"/>
    <mergeCell ref="A3:G3"/>
  </mergeCells>
  <printOptions/>
  <pageMargins left="0.55" right="0.57" top="0.63" bottom="0.69" header="0.5" footer="0.38"/>
  <pageSetup fitToHeight="1" fitToWidth="1" horizontalDpi="600" verticalDpi="600" orientation="landscape" scale="9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R46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5" width="15.421875" style="6" customWidth="1"/>
    <col min="6" max="6" width="15.421875" style="6" bestFit="1" customWidth="1"/>
    <col min="7" max="16384" width="10.7109375" style="6" customWidth="1"/>
  </cols>
  <sheetData>
    <row r="1" spans="1:6" ht="15.75">
      <c r="A1" s="382" t="s">
        <v>304</v>
      </c>
      <c r="B1" s="383"/>
      <c r="C1" s="383"/>
      <c r="D1" s="383"/>
      <c r="E1" s="383"/>
      <c r="F1" s="383"/>
    </row>
    <row r="2" spans="1:9" ht="12.75">
      <c r="A2" s="21"/>
      <c r="G2" s="3"/>
      <c r="H2" s="3"/>
      <c r="I2" s="3"/>
    </row>
    <row r="3" spans="1:9" ht="25.5">
      <c r="A3" s="30" t="s">
        <v>255</v>
      </c>
      <c r="B3" s="28">
        <v>2009</v>
      </c>
      <c r="C3" s="28">
        <v>2010</v>
      </c>
      <c r="D3" s="28">
        <v>2011</v>
      </c>
      <c r="E3" s="207" t="s">
        <v>423</v>
      </c>
      <c r="F3" s="28" t="s">
        <v>1</v>
      </c>
      <c r="G3" s="3"/>
      <c r="H3" s="3"/>
      <c r="I3" s="3"/>
    </row>
    <row r="4" spans="1:9" ht="12.75">
      <c r="A4" s="18" t="s">
        <v>305</v>
      </c>
      <c r="B4" s="293">
        <v>10201605</v>
      </c>
      <c r="C4" s="293">
        <v>6201605</v>
      </c>
      <c r="D4" s="293">
        <v>11282831.73</v>
      </c>
      <c r="E4" s="294">
        <v>425386.4</v>
      </c>
      <c r="F4" s="293">
        <f>SUM(B4:E4)</f>
        <v>28111428.13</v>
      </c>
      <c r="G4" s="3"/>
      <c r="H4" s="3"/>
      <c r="I4" s="3"/>
    </row>
    <row r="5" spans="1:9" ht="12.75">
      <c r="A5" s="21"/>
      <c r="B5" s="122"/>
      <c r="C5" s="122"/>
      <c r="D5" s="122"/>
      <c r="E5" s="196"/>
      <c r="F5" s="122"/>
      <c r="G5" s="3"/>
      <c r="H5" s="3"/>
      <c r="I5" s="3"/>
    </row>
    <row r="6" spans="1:9" ht="12.75">
      <c r="A6" s="30" t="s">
        <v>256</v>
      </c>
      <c r="B6" s="122"/>
      <c r="C6" s="122"/>
      <c r="D6" s="122"/>
      <c r="E6" s="196"/>
      <c r="F6" s="122"/>
      <c r="G6" s="3"/>
      <c r="H6" s="3"/>
      <c r="I6" s="3"/>
    </row>
    <row r="7" spans="1:6" s="3" customFormat="1" ht="12.75">
      <c r="A7" s="15" t="s">
        <v>32</v>
      </c>
      <c r="B7" s="293">
        <v>0</v>
      </c>
      <c r="C7" s="293">
        <v>0</v>
      </c>
      <c r="D7" s="293">
        <v>0</v>
      </c>
      <c r="E7" s="294">
        <v>0</v>
      </c>
      <c r="F7" s="293">
        <f>SUM(B7:E7)</f>
        <v>0</v>
      </c>
    </row>
    <row r="8" spans="1:6" s="3" customFormat="1" ht="12.75">
      <c r="A8" s="15" t="s">
        <v>20</v>
      </c>
      <c r="B8" s="293">
        <v>0</v>
      </c>
      <c r="C8" s="293">
        <v>3856320</v>
      </c>
      <c r="D8" s="293">
        <v>3856320</v>
      </c>
      <c r="E8" s="294">
        <v>256320</v>
      </c>
      <c r="F8" s="310"/>
    </row>
    <row r="9" spans="1:6" s="3" customFormat="1" ht="12.75">
      <c r="A9" s="15" t="s">
        <v>33</v>
      </c>
      <c r="B9" s="293">
        <f>SUM(B7:B8)</f>
        <v>0</v>
      </c>
      <c r="C9" s="293">
        <f>SUM(C7:C8)</f>
        <v>3856320</v>
      </c>
      <c r="D9" s="293">
        <f>SUM(D7:D8)</f>
        <v>3856320</v>
      </c>
      <c r="E9" s="294">
        <f>SUM(E7:E8)</f>
        <v>256320</v>
      </c>
      <c r="F9" s="310"/>
    </row>
    <row r="10" spans="1:6" s="3" customFormat="1" ht="12.75">
      <c r="A10" s="21"/>
      <c r="B10" s="40"/>
      <c r="C10" s="40"/>
      <c r="D10" s="40"/>
      <c r="E10" s="40"/>
      <c r="F10" s="40"/>
    </row>
    <row r="11" spans="1:6" s="3" customFormat="1" ht="12.75">
      <c r="A11" s="43" t="s">
        <v>5</v>
      </c>
      <c r="B11" s="40"/>
      <c r="C11" s="40"/>
      <c r="D11" s="40"/>
      <c r="E11" s="40"/>
      <c r="F11" s="40"/>
    </row>
    <row r="12" spans="1:6" s="3" customFormat="1" ht="12.75">
      <c r="A12" s="15" t="s">
        <v>24</v>
      </c>
      <c r="B12" s="265">
        <v>0</v>
      </c>
      <c r="C12" s="265">
        <v>0</v>
      </c>
      <c r="D12" s="265">
        <v>0</v>
      </c>
      <c r="E12" s="265">
        <v>0</v>
      </c>
      <c r="F12" s="266">
        <f>SUM(B12:E12)</f>
        <v>0</v>
      </c>
    </row>
    <row r="13" spans="1:7" s="3" customFormat="1" ht="12.75">
      <c r="A13" s="15" t="s">
        <v>23</v>
      </c>
      <c r="B13" s="265">
        <v>0</v>
      </c>
      <c r="C13" s="267">
        <v>0</v>
      </c>
      <c r="D13" s="267">
        <v>0</v>
      </c>
      <c r="E13" s="267">
        <v>0</v>
      </c>
      <c r="F13" s="285"/>
      <c r="G13" s="132"/>
    </row>
    <row r="14" spans="1:6" s="3" customFormat="1" ht="12.75">
      <c r="A14" s="15" t="s">
        <v>21</v>
      </c>
      <c r="B14" s="265">
        <f>SUM(B12:B13)</f>
        <v>0</v>
      </c>
      <c r="C14" s="265">
        <f>SUM(C12:C13)</f>
        <v>0</v>
      </c>
      <c r="D14" s="265">
        <f>SUM(D12:D13)</f>
        <v>0</v>
      </c>
      <c r="E14" s="265">
        <f>SUM(E12:E13)</f>
        <v>0</v>
      </c>
      <c r="F14" s="285"/>
    </row>
    <row r="15" spans="1:6" s="3" customFormat="1" ht="12.75">
      <c r="A15" s="21"/>
      <c r="B15" s="44"/>
      <c r="C15" s="44"/>
      <c r="D15" s="44"/>
      <c r="E15" s="44"/>
      <c r="F15" s="44"/>
    </row>
    <row r="16" spans="1:6" s="3" customFormat="1" ht="12.75">
      <c r="A16" s="50" t="s">
        <v>302</v>
      </c>
      <c r="B16" s="40"/>
      <c r="C16" s="40"/>
      <c r="D16" s="40"/>
      <c r="E16" s="40"/>
      <c r="F16" s="40"/>
    </row>
    <row r="17" spans="1:6" s="3" customFormat="1" ht="12.75">
      <c r="A17" s="43" t="s">
        <v>72</v>
      </c>
      <c r="B17" s="45" t="s">
        <v>8</v>
      </c>
      <c r="C17" s="45" t="s">
        <v>8</v>
      </c>
      <c r="D17" s="45" t="s">
        <v>8</v>
      </c>
      <c r="E17" s="45" t="s">
        <v>8</v>
      </c>
      <c r="F17" s="40" t="s">
        <v>8</v>
      </c>
    </row>
    <row r="18" spans="1:6" ht="12.75">
      <c r="A18" s="15" t="s">
        <v>73</v>
      </c>
      <c r="B18" s="265">
        <v>0</v>
      </c>
      <c r="C18" s="265">
        <v>0</v>
      </c>
      <c r="D18" s="265">
        <v>0</v>
      </c>
      <c r="E18" s="265">
        <v>0</v>
      </c>
      <c r="F18" s="266">
        <f>SUM(B18:E18)</f>
        <v>0</v>
      </c>
    </row>
    <row r="19" spans="1:6" ht="12.75">
      <c r="A19" s="15" t="s">
        <v>74</v>
      </c>
      <c r="B19" s="265">
        <v>0</v>
      </c>
      <c r="C19" s="265">
        <v>0</v>
      </c>
      <c r="D19" s="265">
        <v>0</v>
      </c>
      <c r="E19" s="265">
        <v>0</v>
      </c>
      <c r="F19" s="266">
        <f>SUM(B19:E19)</f>
        <v>0</v>
      </c>
    </row>
    <row r="20" spans="1:6" ht="12.75">
      <c r="A20" s="21"/>
      <c r="B20" s="44"/>
      <c r="C20" s="44"/>
      <c r="D20" s="44"/>
      <c r="E20" s="44"/>
      <c r="F20" s="44"/>
    </row>
    <row r="21" spans="1:6" ht="12.75">
      <c r="A21" s="43" t="s">
        <v>133</v>
      </c>
      <c r="B21" s="86" t="s">
        <v>11</v>
      </c>
      <c r="C21" s="86" t="s">
        <v>11</v>
      </c>
      <c r="D21" s="44" t="s">
        <v>11</v>
      </c>
      <c r="E21" s="44" t="s">
        <v>11</v>
      </c>
      <c r="F21" s="44" t="s">
        <v>11</v>
      </c>
    </row>
    <row r="22" spans="1:6" ht="12.75">
      <c r="A22" s="15" t="s">
        <v>75</v>
      </c>
      <c r="B22" s="265">
        <v>0</v>
      </c>
      <c r="C22" s="265">
        <v>0</v>
      </c>
      <c r="D22" s="265">
        <v>0</v>
      </c>
      <c r="E22" s="265">
        <v>0</v>
      </c>
      <c r="F22" s="266">
        <f>SUM(B22:E22)</f>
        <v>0</v>
      </c>
    </row>
    <row r="23" spans="1:6" ht="12.75">
      <c r="A23" s="40"/>
      <c r="B23" s="44"/>
      <c r="C23" s="44"/>
      <c r="D23" s="44"/>
      <c r="E23" s="44"/>
      <c r="F23" s="44"/>
    </row>
    <row r="25" ht="12.75">
      <c r="A25" s="61" t="s">
        <v>303</v>
      </c>
    </row>
    <row r="26" spans="1:6" ht="12.75">
      <c r="A26" s="43" t="s">
        <v>72</v>
      </c>
      <c r="B26" s="45" t="s">
        <v>8</v>
      </c>
      <c r="C26" s="45" t="s">
        <v>8</v>
      </c>
      <c r="D26" s="45" t="s">
        <v>8</v>
      </c>
      <c r="E26" s="45" t="s">
        <v>8</v>
      </c>
      <c r="F26" s="40"/>
    </row>
    <row r="27" spans="1:12" ht="12.75">
      <c r="A27" s="15" t="s">
        <v>73</v>
      </c>
      <c r="B27" s="265">
        <v>0</v>
      </c>
      <c r="C27" s="265">
        <v>34156</v>
      </c>
      <c r="D27" s="265">
        <v>23926</v>
      </c>
      <c r="E27" s="267">
        <v>13924</v>
      </c>
      <c r="F27" s="86"/>
      <c r="G27" s="65"/>
      <c r="H27" s="65"/>
      <c r="I27" s="65"/>
      <c r="J27" s="65"/>
      <c r="K27" s="65"/>
      <c r="L27" s="65"/>
    </row>
    <row r="28" spans="1:12" ht="12.75">
      <c r="A28" s="15" t="s">
        <v>74</v>
      </c>
      <c r="B28" s="265">
        <v>0</v>
      </c>
      <c r="C28" s="265">
        <v>740720</v>
      </c>
      <c r="D28" s="265">
        <v>528530</v>
      </c>
      <c r="E28" s="267">
        <v>278480</v>
      </c>
      <c r="F28" s="86"/>
      <c r="G28" s="65"/>
      <c r="H28" s="65"/>
      <c r="I28" s="65"/>
      <c r="J28" s="65"/>
      <c r="K28" s="65"/>
      <c r="L28" s="65"/>
    </row>
    <row r="29" spans="1:12" ht="12.75">
      <c r="A29" s="21"/>
      <c r="B29" s="44"/>
      <c r="C29" s="44"/>
      <c r="D29" s="44"/>
      <c r="E29" s="58"/>
      <c r="F29" s="44"/>
      <c r="G29" s="164"/>
      <c r="H29" s="65"/>
      <c r="I29" s="65"/>
      <c r="J29" s="65"/>
      <c r="K29" s="65"/>
      <c r="L29" s="65"/>
    </row>
    <row r="30" spans="1:12" ht="12.75">
      <c r="A30" s="43" t="s">
        <v>133</v>
      </c>
      <c r="B30" s="86" t="s">
        <v>11</v>
      </c>
      <c r="C30" s="86" t="s">
        <v>11</v>
      </c>
      <c r="D30" s="44" t="s">
        <v>11</v>
      </c>
      <c r="E30" s="58" t="s">
        <v>11</v>
      </c>
      <c r="F30" s="44"/>
      <c r="G30" s="138"/>
      <c r="H30" s="65"/>
      <c r="I30" s="65"/>
      <c r="J30" s="65"/>
      <c r="K30" s="65"/>
      <c r="L30" s="65"/>
    </row>
    <row r="31" spans="1:18" ht="12.75">
      <c r="A31" s="15" t="s">
        <v>75</v>
      </c>
      <c r="B31" s="265">
        <v>0</v>
      </c>
      <c r="C31" s="265">
        <v>8000</v>
      </c>
      <c r="D31" s="265">
        <v>6500</v>
      </c>
      <c r="E31" s="267">
        <v>2000</v>
      </c>
      <c r="F31" s="86"/>
      <c r="G31" s="64"/>
      <c r="H31" s="64"/>
      <c r="I31" s="64"/>
      <c r="J31" s="64"/>
      <c r="K31" s="147"/>
      <c r="L31" s="147"/>
      <c r="M31" s="9"/>
      <c r="N31" s="9"/>
      <c r="O31" s="9"/>
      <c r="P31" s="9"/>
      <c r="Q31" s="9"/>
      <c r="R31" s="9"/>
    </row>
    <row r="32" spans="1:18" ht="12.75">
      <c r="A32" s="2"/>
      <c r="B32" s="10"/>
      <c r="D32" s="10"/>
      <c r="E32" s="10"/>
      <c r="F32" s="10"/>
      <c r="G32" s="10"/>
      <c r="H32" s="10"/>
      <c r="I32" s="10"/>
      <c r="J32" s="10"/>
      <c r="K32" s="9"/>
      <c r="L32" s="9"/>
      <c r="M32" s="9"/>
      <c r="N32" s="9"/>
      <c r="O32" s="9"/>
      <c r="P32" s="9"/>
      <c r="Q32" s="9"/>
      <c r="R32" s="9"/>
    </row>
    <row r="33" spans="1:18" ht="12.7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9"/>
      <c r="L33" s="9"/>
      <c r="M33" s="9"/>
      <c r="N33" s="9"/>
      <c r="O33" s="9"/>
      <c r="P33" s="9"/>
      <c r="Q33" s="9"/>
      <c r="R33" s="9"/>
    </row>
    <row r="34" spans="1:18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1:7" ht="12.75">
      <c r="A36" s="6"/>
      <c r="G36" s="8"/>
    </row>
    <row r="37" ht="12.75">
      <c r="A37" s="2"/>
    </row>
    <row r="38" spans="1:10" ht="12.75">
      <c r="A38" s="2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"/>
      <c r="B41" s="9"/>
      <c r="C41" s="9"/>
      <c r="D41" s="9"/>
      <c r="E41" s="9"/>
      <c r="F41" s="9"/>
      <c r="G41" s="9"/>
      <c r="H41" s="9"/>
      <c r="I41" s="9"/>
      <c r="J41" s="9"/>
    </row>
    <row r="42" ht="12.75">
      <c r="A42" s="2"/>
    </row>
    <row r="43" ht="12.75">
      <c r="A43" s="2"/>
    </row>
    <row r="44" spans="1:10" ht="12.75">
      <c r="A44" s="2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2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2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/>
  <mergeCells count="1"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15"/>
  <sheetViews>
    <sheetView showGridLines="0" zoomScalePageLayoutView="0" workbookViewId="0" topLeftCell="A1">
      <selection activeCell="A1" sqref="A1:J1"/>
    </sheetView>
  </sheetViews>
  <sheetFormatPr defaultColWidth="10.7109375" defaultRowHeight="12.75"/>
  <cols>
    <col min="1" max="1" width="38.00390625" style="3" bestFit="1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9" width="10.8515625" style="6" customWidth="1"/>
    <col min="10" max="10" width="11.57421875" style="6" bestFit="1" customWidth="1"/>
    <col min="11" max="16384" width="10.7109375" style="6" customWidth="1"/>
  </cols>
  <sheetData>
    <row r="1" spans="1:10" ht="15.75">
      <c r="A1" s="382" t="s">
        <v>406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3" ht="12.75">
      <c r="A2" s="21"/>
      <c r="K2" s="3"/>
      <c r="L2" s="3"/>
      <c r="M2" s="3"/>
    </row>
    <row r="3" spans="1:13" ht="25.5">
      <c r="A3" s="43"/>
      <c r="B3" s="28">
        <v>2005</v>
      </c>
      <c r="C3" s="28">
        <v>2006</v>
      </c>
      <c r="D3" s="28">
        <v>2007</v>
      </c>
      <c r="E3" s="28">
        <v>2008</v>
      </c>
      <c r="F3" s="28">
        <v>2009</v>
      </c>
      <c r="G3" s="28">
        <v>2010</v>
      </c>
      <c r="H3" s="28">
        <v>2011</v>
      </c>
      <c r="I3" s="207" t="s">
        <v>423</v>
      </c>
      <c r="J3" s="207" t="s">
        <v>432</v>
      </c>
      <c r="K3" s="3"/>
      <c r="L3" s="3"/>
      <c r="M3" s="3"/>
    </row>
    <row r="4" spans="1:13" ht="12.75">
      <c r="A4" s="16" t="s">
        <v>255</v>
      </c>
      <c r="B4" s="287">
        <v>3000000</v>
      </c>
      <c r="C4" s="287">
        <v>1933000</v>
      </c>
      <c r="D4" s="287">
        <v>935000</v>
      </c>
      <c r="E4" s="287">
        <v>982000</v>
      </c>
      <c r="F4" s="287">
        <v>629501</v>
      </c>
      <c r="G4" s="287">
        <v>123115.25</v>
      </c>
      <c r="H4" s="287">
        <v>68400</v>
      </c>
      <c r="I4" s="262">
        <v>32400</v>
      </c>
      <c r="J4" s="287">
        <f>SUM(B4:I4)</f>
        <v>7703416.25</v>
      </c>
      <c r="K4" s="3"/>
      <c r="L4" s="3"/>
      <c r="M4" s="3"/>
    </row>
    <row r="5" spans="2:13" ht="12.75">
      <c r="B5" s="123"/>
      <c r="C5" s="123"/>
      <c r="D5" s="123"/>
      <c r="E5" s="123"/>
      <c r="F5" s="123"/>
      <c r="G5" s="123"/>
      <c r="H5" s="123"/>
      <c r="I5" s="145"/>
      <c r="J5" s="104"/>
      <c r="K5" s="3"/>
      <c r="L5" s="3"/>
      <c r="M5" s="3"/>
    </row>
    <row r="6" spans="1:10" ht="12.75">
      <c r="A6" s="14" t="s">
        <v>311</v>
      </c>
      <c r="B6" s="287">
        <v>2729000</v>
      </c>
      <c r="C6" s="287">
        <v>1150000</v>
      </c>
      <c r="D6" s="287">
        <v>740000</v>
      </c>
      <c r="E6" s="287">
        <v>834000</v>
      </c>
      <c r="F6" s="287">
        <v>411884.32</v>
      </c>
      <c r="G6" s="287">
        <v>66748.64</v>
      </c>
      <c r="H6" s="287">
        <v>29209.4</v>
      </c>
      <c r="I6" s="262">
        <v>28529.94</v>
      </c>
      <c r="J6" s="287">
        <f>SUM(B6:I6)</f>
        <v>5989372.300000001</v>
      </c>
    </row>
    <row r="7" spans="1:14" ht="12.7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0" ht="12.75">
      <c r="A8" s="77" t="s">
        <v>5</v>
      </c>
      <c r="B8" s="267"/>
      <c r="C8" s="267">
        <v>8867</v>
      </c>
      <c r="D8" s="267">
        <v>13473</v>
      </c>
      <c r="E8" s="267">
        <v>14456</v>
      </c>
      <c r="F8" s="267">
        <v>14135</v>
      </c>
      <c r="G8" s="267">
        <v>8933</v>
      </c>
      <c r="H8" s="267">
        <v>10388</v>
      </c>
      <c r="I8" s="267">
        <f>9384+182</f>
        <v>9566</v>
      </c>
      <c r="J8" s="131"/>
    </row>
    <row r="9" spans="1:10" ht="12.75">
      <c r="A9" s="79"/>
      <c r="B9" s="58"/>
      <c r="C9" s="58"/>
      <c r="D9" s="58"/>
      <c r="E9" s="58"/>
      <c r="F9" s="58"/>
      <c r="G9" s="58"/>
      <c r="H9" s="58"/>
      <c r="I9" s="58"/>
      <c r="J9" s="44"/>
    </row>
    <row r="10" spans="1:14" ht="12.75">
      <c r="A10" s="6"/>
      <c r="B10" s="64" t="s">
        <v>8</v>
      </c>
      <c r="C10" s="64" t="s">
        <v>8</v>
      </c>
      <c r="D10" s="64" t="s">
        <v>8</v>
      </c>
      <c r="E10" s="93" t="s">
        <v>8</v>
      </c>
      <c r="F10" s="93" t="s">
        <v>8</v>
      </c>
      <c r="G10" s="93" t="s">
        <v>8</v>
      </c>
      <c r="H10" s="93" t="s">
        <v>8</v>
      </c>
      <c r="I10" s="93" t="s">
        <v>8</v>
      </c>
      <c r="J10" s="93" t="s">
        <v>8</v>
      </c>
      <c r="K10" s="10"/>
      <c r="L10" s="10"/>
      <c r="M10" s="10"/>
      <c r="N10" s="10"/>
    </row>
    <row r="11" spans="1:10" ht="12.75">
      <c r="A11" s="16" t="s">
        <v>117</v>
      </c>
      <c r="B11" s="267">
        <v>0</v>
      </c>
      <c r="C11" s="267">
        <v>22189</v>
      </c>
      <c r="D11" s="267">
        <v>74091</v>
      </c>
      <c r="E11" s="267">
        <v>89220.72</v>
      </c>
      <c r="F11" s="267">
        <v>101256</v>
      </c>
      <c r="G11" s="267">
        <v>74988</v>
      </c>
      <c r="H11" s="267"/>
      <c r="I11" s="271"/>
      <c r="J11" s="267">
        <f>SUM(B11:I11)</f>
        <v>361744.72</v>
      </c>
    </row>
    <row r="12" spans="1:10" ht="12.75">
      <c r="A12" s="43"/>
      <c r="B12" s="58"/>
      <c r="C12" s="58"/>
      <c r="D12" s="58"/>
      <c r="E12" s="58"/>
      <c r="F12" s="58"/>
      <c r="G12" s="58"/>
      <c r="H12" s="58"/>
      <c r="I12" s="58"/>
      <c r="J12" s="44"/>
    </row>
    <row r="15" spans="4:6" ht="12.75">
      <c r="D15" s="72"/>
      <c r="E15" s="72"/>
      <c r="F15" s="72"/>
    </row>
  </sheetData>
  <sheetProtection/>
  <mergeCells count="1">
    <mergeCell ref="A1:J1"/>
  </mergeCells>
  <printOptions/>
  <pageMargins left="0.55" right="0.57" top="1" bottom="1" header="0.5" footer="0.5"/>
  <pageSetup fitToHeight="1" fitToWidth="1" horizontalDpi="600" verticalDpi="600" orientation="landscape" scale="93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17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57421875" style="0" bestFit="1" customWidth="1"/>
    <col min="7" max="8" width="12.8515625" style="0" customWidth="1"/>
    <col min="9" max="9" width="14.00390625" style="0" bestFit="1" customWidth="1"/>
    <col min="10" max="10" width="13.8515625" style="0" bestFit="1" customWidth="1"/>
  </cols>
  <sheetData>
    <row r="1" spans="1:10" ht="15.75">
      <c r="A1" s="380" t="s">
        <v>121</v>
      </c>
      <c r="B1" s="380"/>
      <c r="C1" s="380"/>
      <c r="D1" s="380"/>
      <c r="E1" s="380"/>
      <c r="F1" s="380"/>
      <c r="G1" s="380"/>
      <c r="H1" s="380"/>
      <c r="I1" s="380"/>
      <c r="J1" s="380"/>
    </row>
    <row r="3" spans="1:10" ht="25.5">
      <c r="A3" s="1" t="s">
        <v>255</v>
      </c>
      <c r="B3" s="47">
        <v>2005</v>
      </c>
      <c r="C3" s="25">
        <v>2006</v>
      </c>
      <c r="D3" s="25">
        <v>2007</v>
      </c>
      <c r="E3" s="25">
        <v>2008</v>
      </c>
      <c r="F3" s="25">
        <v>2009</v>
      </c>
      <c r="G3" s="25">
        <v>2010</v>
      </c>
      <c r="H3" s="25">
        <v>2011</v>
      </c>
      <c r="I3" s="82" t="s">
        <v>423</v>
      </c>
      <c r="J3" s="25" t="s">
        <v>1</v>
      </c>
    </row>
    <row r="4" spans="1:11" ht="12.75">
      <c r="A4" s="85" t="s">
        <v>122</v>
      </c>
      <c r="B4" s="254">
        <v>2400</v>
      </c>
      <c r="C4" s="254">
        <v>2835</v>
      </c>
      <c r="D4" s="254">
        <v>5090</v>
      </c>
      <c r="E4" s="254">
        <v>4945</v>
      </c>
      <c r="F4" s="108">
        <v>5442254.75</v>
      </c>
      <c r="G4" s="108">
        <v>4406232.03</v>
      </c>
      <c r="H4" s="108">
        <f>3545482.04+158817</f>
        <v>3704299.04</v>
      </c>
      <c r="I4" s="108">
        <f>11541960.33+200000</f>
        <v>11741960.33</v>
      </c>
      <c r="J4" s="108"/>
      <c r="K4" s="88" t="s">
        <v>324</v>
      </c>
    </row>
    <row r="5" spans="1:10" ht="12.75">
      <c r="A5" s="85" t="s">
        <v>123</v>
      </c>
      <c r="B5" s="254">
        <v>2500</v>
      </c>
      <c r="C5" s="254">
        <v>1905</v>
      </c>
      <c r="D5" s="254">
        <v>2370</v>
      </c>
      <c r="E5" s="254">
        <v>2485</v>
      </c>
      <c r="F5" s="108">
        <v>3145566.5</v>
      </c>
      <c r="G5" s="108">
        <v>3253432.25</v>
      </c>
      <c r="H5" s="108">
        <v>3673979.46</v>
      </c>
      <c r="I5" s="108">
        <v>2201668.64</v>
      </c>
      <c r="J5" s="108"/>
    </row>
    <row r="6" spans="1:10" ht="12.75">
      <c r="A6" s="85" t="s">
        <v>124</v>
      </c>
      <c r="B6" s="254">
        <v>5275</v>
      </c>
      <c r="C6" s="254">
        <v>5167</v>
      </c>
      <c r="D6" s="254">
        <v>6895</v>
      </c>
      <c r="E6" s="254">
        <v>4370</v>
      </c>
      <c r="F6" s="108">
        <v>802960.57</v>
      </c>
      <c r="G6" s="108">
        <v>154185.47</v>
      </c>
      <c r="H6" s="108">
        <v>122772.31</v>
      </c>
      <c r="I6" s="108">
        <v>242772.31</v>
      </c>
      <c r="J6" s="108"/>
    </row>
    <row r="7" spans="1:10" ht="12.75">
      <c r="A7" s="74" t="s">
        <v>1</v>
      </c>
      <c r="B7" s="254">
        <f>SUM(B4:B6)</f>
        <v>10175</v>
      </c>
      <c r="C7" s="254">
        <f>SUM(C4:C6)</f>
        <v>9907</v>
      </c>
      <c r="D7" s="254">
        <f>SUM(D4:D6)</f>
        <v>14355</v>
      </c>
      <c r="E7" s="254">
        <f>SUM(E4:E6)</f>
        <v>11800</v>
      </c>
      <c r="F7" s="108"/>
      <c r="G7" s="108"/>
      <c r="H7" s="108"/>
      <c r="I7" s="108"/>
      <c r="J7" s="108"/>
    </row>
    <row r="8" spans="1:10" ht="12.75">
      <c r="A8" s="199" t="s">
        <v>254</v>
      </c>
      <c r="B8" s="264">
        <f>B7*1000</f>
        <v>10175000</v>
      </c>
      <c r="C8" s="264">
        <f>C7*1000</f>
        <v>9907000</v>
      </c>
      <c r="D8" s="264">
        <f>D7*1000</f>
        <v>14355000</v>
      </c>
      <c r="E8" s="264">
        <f>E7*1000</f>
        <v>11800000</v>
      </c>
      <c r="F8" s="249">
        <f>SUM(F4:F6)</f>
        <v>9390781.82</v>
      </c>
      <c r="G8" s="249">
        <f>SUM(G4:G6)</f>
        <v>7813849.75</v>
      </c>
      <c r="H8" s="249">
        <f>SUM(H4:H6)</f>
        <v>7501050.81</v>
      </c>
      <c r="I8" s="249">
        <f>SUM(I4:I6)</f>
        <v>14186401.280000001</v>
      </c>
      <c r="J8" s="249">
        <f>SUM(B8:I8)</f>
        <v>85129083.66</v>
      </c>
    </row>
    <row r="9" spans="1:10" ht="32.25" customHeight="1">
      <c r="A9" s="393" t="s">
        <v>343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12.75">
      <c r="A10" s="140"/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ht="25.5">
      <c r="A11" s="161" t="s">
        <v>256</v>
      </c>
      <c r="B11" s="200">
        <v>2005</v>
      </c>
      <c r="C11" s="152">
        <v>2006</v>
      </c>
      <c r="D11" s="152">
        <v>2007</v>
      </c>
      <c r="E11" s="152">
        <v>2008</v>
      </c>
      <c r="F11" s="152">
        <v>2009</v>
      </c>
      <c r="G11" s="152">
        <v>2010</v>
      </c>
      <c r="H11" s="152">
        <v>2011</v>
      </c>
      <c r="I11" s="221" t="str">
        <f>I3</f>
        <v>(18 month)
2012-2013</v>
      </c>
      <c r="J11" s="152" t="s">
        <v>1</v>
      </c>
    </row>
    <row r="12" spans="1:10" ht="12.75">
      <c r="A12" s="85" t="s">
        <v>122</v>
      </c>
      <c r="B12" s="254">
        <v>760</v>
      </c>
      <c r="C12" s="254">
        <v>1580</v>
      </c>
      <c r="D12" s="254">
        <v>2115</v>
      </c>
      <c r="E12" s="254">
        <v>3170</v>
      </c>
      <c r="F12" s="108">
        <v>3354896.89</v>
      </c>
      <c r="G12" s="108">
        <v>3226932.99</v>
      </c>
      <c r="H12" s="108">
        <f>3265285.8+131196</f>
        <v>3396481.8</v>
      </c>
      <c r="I12" s="108">
        <f>8294767.6+0</f>
        <v>8294767.6</v>
      </c>
      <c r="J12" s="108"/>
    </row>
    <row r="13" spans="1:10" ht="12.75">
      <c r="A13" s="85" t="s">
        <v>123</v>
      </c>
      <c r="B13" s="254">
        <v>866</v>
      </c>
      <c r="C13" s="254">
        <v>1292</v>
      </c>
      <c r="D13" s="254">
        <v>1035</v>
      </c>
      <c r="E13" s="254">
        <v>748</v>
      </c>
      <c r="F13" s="108">
        <v>872435.1</v>
      </c>
      <c r="G13" s="108">
        <v>259452.79</v>
      </c>
      <c r="H13" s="108">
        <v>935193.06</v>
      </c>
      <c r="I13" s="108">
        <v>753831.77</v>
      </c>
      <c r="J13" s="108"/>
    </row>
    <row r="14" spans="1:10" ht="12.75">
      <c r="A14" s="85" t="s">
        <v>124</v>
      </c>
      <c r="B14" s="254">
        <v>2028</v>
      </c>
      <c r="C14" s="254">
        <v>4404</v>
      </c>
      <c r="D14" s="254">
        <v>5373</v>
      </c>
      <c r="E14" s="254">
        <v>4250</v>
      </c>
      <c r="F14" s="108">
        <v>300705.3</v>
      </c>
      <c r="G14" s="108">
        <v>51413.16</v>
      </c>
      <c r="H14" s="108">
        <v>0</v>
      </c>
      <c r="I14" s="108">
        <v>60209.53</v>
      </c>
      <c r="J14" s="108"/>
    </row>
    <row r="15" spans="1:10" ht="12.75">
      <c r="A15" s="74" t="s">
        <v>1</v>
      </c>
      <c r="B15" s="254">
        <f>SUM(B12:B14)</f>
        <v>3654</v>
      </c>
      <c r="C15" s="254">
        <f>SUM(C12:C14)</f>
        <v>7276</v>
      </c>
      <c r="D15" s="254">
        <f>SUM(D12:D14)</f>
        <v>8523</v>
      </c>
      <c r="E15" s="254">
        <f>SUM(E12:E14)</f>
        <v>8168</v>
      </c>
      <c r="F15" s="108"/>
      <c r="G15" s="108"/>
      <c r="H15" s="108"/>
      <c r="I15" s="108"/>
      <c r="J15" s="108"/>
    </row>
    <row r="16" spans="1:10" ht="12.75">
      <c r="A16" s="16" t="s">
        <v>254</v>
      </c>
      <c r="B16" s="258">
        <f>B15*1000</f>
        <v>3654000</v>
      </c>
      <c r="C16" s="258">
        <f>C15*1000</f>
        <v>7276000</v>
      </c>
      <c r="D16" s="258">
        <f>D15*1000</f>
        <v>8523000</v>
      </c>
      <c r="E16" s="258">
        <f>E15*1000</f>
        <v>8168000</v>
      </c>
      <c r="F16" s="226">
        <f>SUM(F12:F14)</f>
        <v>4528037.29</v>
      </c>
      <c r="G16" s="226">
        <f>SUM(G12:G14)</f>
        <v>3537798.9400000004</v>
      </c>
      <c r="H16" s="226">
        <f>SUM(H12:H14)</f>
        <v>4331674.859999999</v>
      </c>
      <c r="I16" s="226">
        <f>SUM(I12:I14)</f>
        <v>9108808.899999999</v>
      </c>
      <c r="J16" s="226">
        <f>SUM(B16:I16)</f>
        <v>49127319.989999995</v>
      </c>
    </row>
    <row r="17" spans="6:9" ht="12.75">
      <c r="F17" s="105"/>
      <c r="G17" s="105"/>
      <c r="H17" s="105"/>
      <c r="I17" s="105"/>
    </row>
  </sheetData>
  <sheetProtection/>
  <mergeCells count="2">
    <mergeCell ref="A9:J9"/>
    <mergeCell ref="A1:J1"/>
  </mergeCells>
  <printOptions/>
  <pageMargins left="0.55" right="0.57" top="1" bottom="1" header="0.5" footer="0.5"/>
  <pageSetup fitToHeight="1" fitToWidth="1" horizontalDpi="600" verticalDpi="600" orientation="landscape" scale="89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B7:E7 B15:E15 F8:H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7109375" style="0" bestFit="1" customWidth="1"/>
    <col min="2" max="4" width="11.7109375" style="0" bestFit="1" customWidth="1"/>
    <col min="5" max="13" width="12.7109375" style="0" bestFit="1" customWidth="1"/>
  </cols>
  <sheetData>
    <row r="1" spans="2:13" ht="25.5">
      <c r="B1" s="28">
        <v>2001</v>
      </c>
      <c r="C1" s="28">
        <v>2002</v>
      </c>
      <c r="D1" s="28">
        <v>2003</v>
      </c>
      <c r="E1" s="28">
        <v>2004</v>
      </c>
      <c r="F1" s="28">
        <v>2005</v>
      </c>
      <c r="G1" s="28">
        <v>2006</v>
      </c>
      <c r="H1" s="28">
        <v>2007</v>
      </c>
      <c r="I1" s="107">
        <v>2008</v>
      </c>
      <c r="J1" s="107">
        <v>2009</v>
      </c>
      <c r="K1" s="28">
        <v>2010</v>
      </c>
      <c r="L1" s="28">
        <v>2011</v>
      </c>
      <c r="M1" s="207" t="s">
        <v>440</v>
      </c>
    </row>
    <row r="2" spans="1:8" ht="12.75">
      <c r="A2" s="1" t="s">
        <v>104</v>
      </c>
      <c r="B2" s="3"/>
      <c r="C2" s="3"/>
      <c r="D2" s="3"/>
      <c r="E2" s="3"/>
      <c r="F2" s="3"/>
      <c r="G2" s="3"/>
      <c r="H2" s="3"/>
    </row>
    <row r="3" spans="1:13" ht="12.75">
      <c r="A3" s="18" t="s">
        <v>8</v>
      </c>
      <c r="B3" s="261">
        <v>50672</v>
      </c>
      <c r="C3" s="261">
        <v>168796</v>
      </c>
      <c r="D3" s="261">
        <v>285577</v>
      </c>
      <c r="E3" s="261">
        <v>328513</v>
      </c>
      <c r="F3" s="261">
        <v>242659</v>
      </c>
      <c r="G3" s="261">
        <v>128252</v>
      </c>
      <c r="H3" s="261">
        <f>'Annual Savings'!I33</f>
        <v>228721</v>
      </c>
      <c r="I3" s="261">
        <f>'Annual Savings'!J33</f>
        <v>335001</v>
      </c>
      <c r="J3" s="261">
        <f>'2001-2013 Program Summary'!K41</f>
        <v>462162</v>
      </c>
      <c r="K3" s="261">
        <f>'2001-2013 Program Summary'!L41</f>
        <v>347906.80000000005</v>
      </c>
      <c r="L3" s="261">
        <f>'2001-2013 Program Summary'!M41</f>
        <v>453682.1</v>
      </c>
      <c r="M3" s="271">
        <f>'2001-2013 Program Summary'!N41</f>
        <v>638802</v>
      </c>
    </row>
    <row r="4" spans="1:13" ht="12.75">
      <c r="A4" s="18" t="s">
        <v>221</v>
      </c>
      <c r="B4" s="261">
        <v>243146</v>
      </c>
      <c r="C4" s="261">
        <v>339172</v>
      </c>
      <c r="D4" s="261">
        <v>410818</v>
      </c>
      <c r="E4" s="261">
        <v>432759</v>
      </c>
      <c r="F4" s="261">
        <v>617261</v>
      </c>
      <c r="G4" s="261">
        <v>640179</v>
      </c>
      <c r="H4" s="261">
        <f>'2001-2013 Program Summary'!I53</f>
        <v>979662</v>
      </c>
      <c r="I4" s="261">
        <f>'2001-2013 Program Summary'!J53</f>
        <v>489724</v>
      </c>
      <c r="J4" s="261">
        <f>'2001-2013 Program Summary'!K53</f>
        <v>636343</v>
      </c>
      <c r="K4" s="261">
        <f>'2001-2013 Program Summary'!L53</f>
        <v>934826</v>
      </c>
      <c r="L4" s="261">
        <f>'2001-2013 Program Summary'!M53</f>
        <v>782556.95</v>
      </c>
      <c r="M4" s="261">
        <f>'2001-2013 Program Summary'!N53</f>
        <v>1229205</v>
      </c>
    </row>
    <row r="5" spans="1:13" ht="12.75">
      <c r="A5" s="55" t="s">
        <v>297</v>
      </c>
      <c r="B5" s="252">
        <v>57555000</v>
      </c>
      <c r="C5" s="252">
        <v>99904000</v>
      </c>
      <c r="D5" s="252">
        <v>97786000</v>
      </c>
      <c r="E5" s="252">
        <v>107502000</v>
      </c>
      <c r="F5" s="252">
        <v>124592542</v>
      </c>
      <c r="G5" s="252">
        <v>171197000</v>
      </c>
      <c r="H5" s="252">
        <v>176811000</v>
      </c>
      <c r="I5" s="252">
        <v>147550000</v>
      </c>
      <c r="J5" s="252">
        <v>178164199.73</v>
      </c>
      <c r="K5" s="252">
        <v>219585204.35999998</v>
      </c>
      <c r="L5" s="252">
        <f>'2001-2013 Program Summary'!M25</f>
        <v>191875940.36</v>
      </c>
      <c r="M5" s="252">
        <f>'2001-2013 Program Summary'!N25</f>
        <v>277843944.14</v>
      </c>
    </row>
    <row r="6" spans="1:8" ht="12.75">
      <c r="A6" s="88"/>
      <c r="B6" s="23"/>
      <c r="C6" s="23"/>
      <c r="D6" s="23"/>
      <c r="E6" s="23"/>
      <c r="F6" s="23"/>
      <c r="G6" s="23"/>
      <c r="H6" s="23"/>
    </row>
    <row r="7" spans="1:8" ht="12.75">
      <c r="A7" s="76" t="s">
        <v>223</v>
      </c>
      <c r="B7" s="23"/>
      <c r="C7" s="23"/>
      <c r="D7" s="23"/>
      <c r="E7" s="23"/>
      <c r="F7" s="23"/>
      <c r="G7" s="23"/>
      <c r="H7" s="23"/>
    </row>
    <row r="8" spans="1:13" ht="12.75">
      <c r="A8" s="55" t="s">
        <v>222</v>
      </c>
      <c r="B8" s="261">
        <v>11</v>
      </c>
      <c r="C8" s="261">
        <v>2896</v>
      </c>
      <c r="D8" s="261">
        <v>7239</v>
      </c>
      <c r="E8" s="261">
        <v>6515</v>
      </c>
      <c r="F8" s="261">
        <v>29136</v>
      </c>
      <c r="G8" s="261">
        <v>68869</v>
      </c>
      <c r="H8" s="261">
        <v>200071</v>
      </c>
      <c r="I8" s="261">
        <f>'Annual Savings'!J111</f>
        <v>188968.72</v>
      </c>
      <c r="J8" s="261">
        <f>'2001-2013 Program Summary'!K42</f>
        <v>169101</v>
      </c>
      <c r="K8" s="261">
        <f>'2001-2013 Program Summary'!L42</f>
        <v>327579</v>
      </c>
      <c r="L8" s="261">
        <f>'2001-2013 Program Summary'!M42</f>
        <v>382066</v>
      </c>
      <c r="M8" s="261">
        <f>'2001-2013 Program Summary'!N42</f>
        <v>640636</v>
      </c>
    </row>
    <row r="9" spans="1:13" ht="12.75">
      <c r="A9" s="55" t="s">
        <v>205</v>
      </c>
      <c r="B9" s="261">
        <v>0</v>
      </c>
      <c r="C9" s="261">
        <v>0</v>
      </c>
      <c r="D9" s="261">
        <v>0</v>
      </c>
      <c r="E9" s="261">
        <v>0</v>
      </c>
      <c r="F9" s="261">
        <v>767</v>
      </c>
      <c r="G9" s="261">
        <v>12575</v>
      </c>
      <c r="H9" s="261">
        <v>102125</v>
      </c>
      <c r="I9" s="261">
        <f>'Annual Savings'!J38</f>
        <v>9114</v>
      </c>
      <c r="J9" s="261">
        <f>'2001-2013 Program Summary'!K43</f>
        <v>35317</v>
      </c>
      <c r="K9" s="261">
        <f>'2001-2013 Program Summary'!L43</f>
        <v>47743</v>
      </c>
      <c r="L9" s="261">
        <f>'2001-2013 Program Summary'!M43</f>
        <v>0</v>
      </c>
      <c r="M9" s="261">
        <f>'2001-2013 Program Summary'!N43</f>
        <v>17520</v>
      </c>
    </row>
    <row r="10" spans="1:13" ht="12.75">
      <c r="A10" s="55" t="s">
        <v>298</v>
      </c>
      <c r="B10" s="261">
        <f aca="true" t="shared" si="0" ref="B10:M10">B3+B8</f>
        <v>50683</v>
      </c>
      <c r="C10" s="261">
        <f t="shared" si="0"/>
        <v>171692</v>
      </c>
      <c r="D10" s="261">
        <f t="shared" si="0"/>
        <v>292816</v>
      </c>
      <c r="E10" s="261">
        <f t="shared" si="0"/>
        <v>335028</v>
      </c>
      <c r="F10" s="261">
        <f t="shared" si="0"/>
        <v>271795</v>
      </c>
      <c r="G10" s="261">
        <f t="shared" si="0"/>
        <v>197121</v>
      </c>
      <c r="H10" s="261">
        <f t="shared" si="0"/>
        <v>428792</v>
      </c>
      <c r="I10" s="261">
        <f t="shared" si="0"/>
        <v>523969.72</v>
      </c>
      <c r="J10" s="261">
        <f t="shared" si="0"/>
        <v>631263</v>
      </c>
      <c r="K10" s="261">
        <f t="shared" si="0"/>
        <v>675485.8</v>
      </c>
      <c r="L10" s="261">
        <f t="shared" si="0"/>
        <v>835748.1</v>
      </c>
      <c r="M10" s="261">
        <f t="shared" si="0"/>
        <v>1279438</v>
      </c>
    </row>
    <row r="11" spans="2:8" ht="12.75">
      <c r="B11" s="23"/>
      <c r="C11" s="84" t="s">
        <v>299</v>
      </c>
      <c r="D11" s="23"/>
      <c r="E11" s="23"/>
      <c r="F11" s="23"/>
      <c r="G11" s="23"/>
      <c r="H11" s="23"/>
    </row>
    <row r="12" spans="1:8" ht="12.75">
      <c r="A12" s="1" t="s">
        <v>224</v>
      </c>
      <c r="B12" s="23"/>
      <c r="C12" s="23"/>
      <c r="D12" s="23"/>
      <c r="E12" s="23"/>
      <c r="F12" s="23"/>
      <c r="G12" s="23"/>
      <c r="H12" s="23"/>
    </row>
    <row r="13" spans="1:13" ht="12.75">
      <c r="A13" s="18" t="s">
        <v>225</v>
      </c>
      <c r="B13" s="261">
        <v>27485</v>
      </c>
      <c r="C13" s="261">
        <v>150036</v>
      </c>
      <c r="D13" s="261">
        <v>224141</v>
      </c>
      <c r="E13" s="261">
        <v>231473</v>
      </c>
      <c r="F13" s="261">
        <v>220632</v>
      </c>
      <c r="G13" s="261">
        <v>153435</v>
      </c>
      <c r="H13" s="261">
        <v>464440</v>
      </c>
      <c r="I13" s="261">
        <v>418463</v>
      </c>
      <c r="J13" s="261">
        <f>'emmission reductions'!K7</f>
        <v>583468</v>
      </c>
      <c r="K13" s="261">
        <f>'emmission reductions'!L7</f>
        <v>464605</v>
      </c>
      <c r="L13" s="261">
        <f>'emmission reductions'!M7</f>
        <v>730728.7884216309</v>
      </c>
      <c r="M13" s="261">
        <f>'emmission reductions'!N7</f>
        <v>1115897</v>
      </c>
    </row>
    <row r="14" spans="2:8" ht="12.75">
      <c r="B14" s="23"/>
      <c r="C14" s="23"/>
      <c r="D14" s="23"/>
      <c r="E14" s="23"/>
      <c r="F14" s="23"/>
      <c r="G14" s="23"/>
      <c r="H14" s="23"/>
    </row>
    <row r="15" spans="2:8" ht="12.75">
      <c r="B15" s="23"/>
      <c r="C15" s="23"/>
      <c r="D15" s="23"/>
      <c r="E15" s="23"/>
      <c r="F15" s="23"/>
      <c r="G15" s="23"/>
      <c r="H15" s="23"/>
    </row>
    <row r="16" ht="12.75">
      <c r="A16" s="397" t="s">
        <v>445</v>
      </c>
    </row>
    <row r="23" ht="12.75">
      <c r="K23" t="s">
        <v>103</v>
      </c>
    </row>
    <row r="41" ht="12.75">
      <c r="I41" s="88" t="s">
        <v>299</v>
      </c>
    </row>
  </sheetData>
  <sheetProtection/>
  <printOptions horizontalCentered="1"/>
  <pageMargins left="0.27" right="0.2" top="0.57" bottom="0.57" header="0.5" footer="0.27"/>
  <pageSetup fitToHeight="10" horizontalDpi="600" verticalDpi="600" orientation="landscape" scale="77" r:id="rId2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50" max="255" man="1"/>
    <brk id="105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30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1.00390625" style="0" customWidth="1"/>
  </cols>
  <sheetData>
    <row r="1" spans="1:6" ht="15.75">
      <c r="A1" s="380" t="s">
        <v>433</v>
      </c>
      <c r="B1" s="380"/>
      <c r="C1" s="380"/>
      <c r="D1" s="380"/>
      <c r="E1" s="380"/>
      <c r="F1" s="380"/>
    </row>
    <row r="2" spans="2:6" ht="12.75">
      <c r="B2" s="3" t="s">
        <v>161</v>
      </c>
      <c r="C2" s="3" t="s">
        <v>162</v>
      </c>
      <c r="D2" s="3" t="s">
        <v>163</v>
      </c>
      <c r="E2" s="40" t="s">
        <v>164</v>
      </c>
      <c r="F2" s="102" t="s">
        <v>253</v>
      </c>
    </row>
    <row r="3" spans="1:12" ht="12.75">
      <c r="A3" s="1" t="s">
        <v>192</v>
      </c>
      <c r="B3" s="23"/>
      <c r="C3" s="23"/>
      <c r="D3" s="23"/>
      <c r="E3" s="23"/>
      <c r="F3" s="88" t="s">
        <v>225</v>
      </c>
      <c r="G3" s="151"/>
      <c r="H3" s="140"/>
      <c r="I3" s="140"/>
      <c r="J3" s="140"/>
      <c r="K3" s="140"/>
      <c r="L3" s="140"/>
    </row>
    <row r="4" spans="1:12" ht="12.75">
      <c r="A4" s="22" t="s">
        <v>236</v>
      </c>
      <c r="B4" s="271">
        <v>526721</v>
      </c>
      <c r="C4" s="271">
        <v>436</v>
      </c>
      <c r="D4" s="271">
        <v>1365</v>
      </c>
      <c r="E4" s="271">
        <f>F4*2200</f>
        <v>22.66</v>
      </c>
      <c r="F4" s="197">
        <v>0.0103</v>
      </c>
      <c r="G4" s="140"/>
      <c r="H4" s="140"/>
      <c r="I4" s="140"/>
      <c r="J4" s="140"/>
      <c r="K4" s="140"/>
      <c r="L4" s="140"/>
    </row>
    <row r="5" spans="1:6" ht="12.75">
      <c r="A5" s="22" t="s">
        <v>237</v>
      </c>
      <c r="B5" s="271">
        <v>60943</v>
      </c>
      <c r="C5" s="271">
        <v>48</v>
      </c>
      <c r="D5" s="271"/>
      <c r="E5" s="271">
        <f>F5*2200</f>
        <v>0</v>
      </c>
      <c r="F5" s="140"/>
    </row>
    <row r="6" spans="1:6" ht="12.75">
      <c r="A6" s="22" t="s">
        <v>180</v>
      </c>
      <c r="B6" s="271">
        <v>528233</v>
      </c>
      <c r="C6" s="271">
        <v>437</v>
      </c>
      <c r="D6" s="271">
        <v>1355</v>
      </c>
      <c r="E6" s="271">
        <f>F6*2200</f>
        <v>22.88</v>
      </c>
      <c r="F6" s="197">
        <v>0.0104</v>
      </c>
    </row>
    <row r="7" spans="1:7" ht="12.75">
      <c r="A7" s="22" t="s">
        <v>59</v>
      </c>
      <c r="B7" s="271">
        <v>6560</v>
      </c>
      <c r="C7" s="271">
        <v>11</v>
      </c>
      <c r="D7" s="271">
        <v>37</v>
      </c>
      <c r="E7" s="271">
        <f>F7*2200</f>
        <v>0</v>
      </c>
      <c r="F7" s="197"/>
      <c r="G7" s="88" t="s">
        <v>296</v>
      </c>
    </row>
    <row r="8" spans="1:6" ht="12.75">
      <c r="A8" s="14" t="s">
        <v>165</v>
      </c>
      <c r="B8" s="282">
        <f>SUM(B4:B7)</f>
        <v>1122457</v>
      </c>
      <c r="C8" s="282">
        <f>SUM(C4:C7)</f>
        <v>932</v>
      </c>
      <c r="D8" s="282">
        <f>SUM(D4:D7)</f>
        <v>2757</v>
      </c>
      <c r="E8" s="282">
        <f>SUM(E4:E7)</f>
        <v>45.54</v>
      </c>
      <c r="F8" s="197">
        <f>SUM(F4:F7)</f>
        <v>0.0207</v>
      </c>
    </row>
    <row r="9" spans="2:6" ht="12.75">
      <c r="B9" s="142"/>
      <c r="C9" s="142"/>
      <c r="D9" s="142"/>
      <c r="E9" s="142"/>
      <c r="F9" s="75"/>
    </row>
    <row r="10" spans="1:6" ht="12.75">
      <c r="A10" s="1" t="s">
        <v>193</v>
      </c>
      <c r="B10" s="142"/>
      <c r="C10" s="142"/>
      <c r="D10" s="142"/>
      <c r="E10" s="142"/>
      <c r="F10" s="75"/>
    </row>
    <row r="11" spans="1:6" ht="12.75">
      <c r="A11" s="22" t="s">
        <v>236</v>
      </c>
      <c r="B11" s="271">
        <v>5632033</v>
      </c>
      <c r="C11" s="271">
        <v>4657</v>
      </c>
      <c r="D11" s="271">
        <v>14592</v>
      </c>
      <c r="E11" s="271">
        <f>F11*2200</f>
        <v>243.1</v>
      </c>
      <c r="F11" s="197">
        <v>0.1105</v>
      </c>
    </row>
    <row r="12" spans="1:6" ht="12.75">
      <c r="A12" s="22" t="s">
        <v>237</v>
      </c>
      <c r="B12" s="271">
        <v>1140435</v>
      </c>
      <c r="C12" s="271">
        <v>362</v>
      </c>
      <c r="D12" s="271"/>
      <c r="E12" s="271">
        <f>F12*2200</f>
        <v>0</v>
      </c>
      <c r="F12" s="140"/>
    </row>
    <row r="13" spans="1:6" ht="12.75">
      <c r="A13" s="22" t="s">
        <v>180</v>
      </c>
      <c r="B13" s="271">
        <v>10564668</v>
      </c>
      <c r="C13" s="271">
        <v>8736</v>
      </c>
      <c r="D13" s="271">
        <v>27373</v>
      </c>
      <c r="E13" s="271">
        <f>F13*2200</f>
        <v>456.06</v>
      </c>
      <c r="F13" s="197">
        <v>0.2073</v>
      </c>
    </row>
    <row r="14" spans="1:7" ht="12.75">
      <c r="A14" s="22" t="s">
        <v>59</v>
      </c>
      <c r="B14" s="271">
        <v>78723</v>
      </c>
      <c r="C14" s="271">
        <v>136</v>
      </c>
      <c r="D14" s="271">
        <v>449</v>
      </c>
      <c r="E14" s="271">
        <f>F14*2200</f>
        <v>0</v>
      </c>
      <c r="F14" s="198"/>
      <c r="G14" s="88" t="s">
        <v>296</v>
      </c>
    </row>
    <row r="15" spans="1:6" ht="12.75">
      <c r="A15" s="14" t="s">
        <v>165</v>
      </c>
      <c r="B15" s="260">
        <f>SUM(B11:B14)</f>
        <v>17415859</v>
      </c>
      <c r="C15" s="260">
        <f>SUM(C11:C14)</f>
        <v>13891</v>
      </c>
      <c r="D15" s="260">
        <f>SUM(D11:D14)</f>
        <v>42414</v>
      </c>
      <c r="E15" s="260">
        <f>SUM(E11:E14)</f>
        <v>699.16</v>
      </c>
      <c r="F15" s="100">
        <f>SUM(F11:F14)</f>
        <v>0.3178</v>
      </c>
    </row>
    <row r="16" spans="2:5" ht="12.75">
      <c r="B16" s="23"/>
      <c r="C16" s="23"/>
      <c r="D16" s="23"/>
      <c r="E16" s="23"/>
    </row>
    <row r="17" ht="12.75">
      <c r="A17" s="1" t="s">
        <v>220</v>
      </c>
    </row>
    <row r="18" spans="1:5" ht="12.75">
      <c r="A18" s="22"/>
      <c r="B18" s="20" t="s">
        <v>161</v>
      </c>
      <c r="C18" s="20" t="s">
        <v>162</v>
      </c>
      <c r="D18" s="20" t="s">
        <v>163</v>
      </c>
      <c r="E18" s="20" t="s">
        <v>164</v>
      </c>
    </row>
    <row r="19" spans="1:5" ht="27.75" customHeight="1">
      <c r="A19" s="87" t="s">
        <v>345</v>
      </c>
      <c r="B19" s="327">
        <f>B8</f>
        <v>1122457</v>
      </c>
      <c r="C19" s="327">
        <f>C8</f>
        <v>932</v>
      </c>
      <c r="D19" s="327">
        <f>D8</f>
        <v>2757</v>
      </c>
      <c r="E19" s="327">
        <f>E8</f>
        <v>45.54</v>
      </c>
    </row>
    <row r="20" spans="1:5" ht="25.5">
      <c r="A20" s="87" t="s">
        <v>346</v>
      </c>
      <c r="B20" s="327">
        <f>B15</f>
        <v>17415859</v>
      </c>
      <c r="C20" s="327">
        <f>C15</f>
        <v>13891</v>
      </c>
      <c r="D20" s="327">
        <f>D15</f>
        <v>42414</v>
      </c>
      <c r="E20" s="327">
        <f>E15</f>
        <v>699.16</v>
      </c>
    </row>
    <row r="21" spans="1:5" ht="25.5">
      <c r="A21" s="87" t="s">
        <v>344</v>
      </c>
      <c r="B21" s="327">
        <f>'emmission reductions'!O32</f>
        <v>65803125.185626574</v>
      </c>
      <c r="C21" s="327">
        <f>'emmission reductions'!O38</f>
        <v>218642.1317570709</v>
      </c>
      <c r="D21" s="327">
        <f>'emmission reductions'!O44</f>
        <v>207857.9937</v>
      </c>
      <c r="E21" s="327">
        <f>'emmission reductions'!O50</f>
        <v>2717.6</v>
      </c>
    </row>
    <row r="23" ht="12.75">
      <c r="A23" s="76" t="s">
        <v>342</v>
      </c>
    </row>
    <row r="30" ht="12.75">
      <c r="A30" s="88"/>
    </row>
  </sheetData>
  <sheetProtection/>
  <mergeCells count="1">
    <mergeCell ref="A1:F1"/>
  </mergeCells>
  <printOptions/>
  <pageMargins left="0.55" right="0.57" top="1" bottom="1" header="0.5" footer="0.5"/>
  <pageSetup fitToHeight="1" fitToWidth="1"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846"/>
  <sheetViews>
    <sheetView showGridLines="0" workbookViewId="0" topLeftCell="A1">
      <pane ySplit="2" topLeftCell="A3" activePane="bottomLeft" state="frozen"/>
      <selection pane="topLeft" activeCell="A3" sqref="A3:K3"/>
      <selection pane="bottomLeft" activeCell="A1" sqref="A1:N1"/>
    </sheetView>
  </sheetViews>
  <sheetFormatPr defaultColWidth="9.140625" defaultRowHeight="12.75"/>
  <cols>
    <col min="1" max="1" width="24.00390625" style="0" customWidth="1"/>
    <col min="2" max="2" width="15.8515625" style="0" bestFit="1" customWidth="1"/>
    <col min="3" max="3" width="11.8515625" style="0" hidden="1" customWidth="1"/>
    <col min="4" max="4" width="13.00390625" style="0" hidden="1" customWidth="1"/>
    <col min="5" max="5" width="12.28125" style="0" hidden="1" customWidth="1"/>
    <col min="6" max="6" width="12.57421875" style="0" hidden="1" customWidth="1"/>
    <col min="7" max="7" width="12.140625" style="0" hidden="1" customWidth="1"/>
    <col min="8" max="8" width="12.57421875" style="0" customWidth="1"/>
    <col min="9" max="9" width="12.8515625" style="0" customWidth="1"/>
    <col min="10" max="10" width="12.140625" style="0" customWidth="1"/>
    <col min="11" max="14" width="11.57421875" style="0" customWidth="1"/>
    <col min="15" max="15" width="23.7109375" style="0" customWidth="1"/>
  </cols>
  <sheetData>
    <row r="1" spans="1:14" ht="15.75">
      <c r="A1" s="380" t="s">
        <v>407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6" ht="31.5">
      <c r="A2" s="111"/>
      <c r="B2" s="205" t="s">
        <v>354</v>
      </c>
      <c r="C2" s="127">
        <v>2001</v>
      </c>
      <c r="D2" s="127">
        <v>2002</v>
      </c>
      <c r="E2" s="127">
        <v>2003</v>
      </c>
      <c r="F2" s="127">
        <v>2004</v>
      </c>
      <c r="G2" s="127">
        <v>2005</v>
      </c>
      <c r="H2" s="127">
        <v>2006</v>
      </c>
      <c r="I2" s="127">
        <v>2007</v>
      </c>
      <c r="J2" s="127">
        <v>2008</v>
      </c>
      <c r="K2" s="127">
        <v>2009</v>
      </c>
      <c r="L2" s="127">
        <v>2010</v>
      </c>
      <c r="M2" s="112">
        <v>2011</v>
      </c>
      <c r="N2" s="128" t="s">
        <v>423</v>
      </c>
      <c r="P2" s="112"/>
    </row>
    <row r="3" spans="1:14" ht="18">
      <c r="A3" s="394" t="s">
        <v>267</v>
      </c>
      <c r="B3" s="394"/>
      <c r="C3" s="395"/>
      <c r="D3" s="395"/>
      <c r="E3" s="395"/>
      <c r="F3" s="395"/>
      <c r="G3" s="395"/>
      <c r="H3" s="395"/>
      <c r="I3" s="395"/>
      <c r="J3" s="395"/>
      <c r="K3" s="395"/>
      <c r="L3" s="116"/>
      <c r="M3" s="116"/>
      <c r="N3" s="116"/>
    </row>
    <row r="4" spans="1:15" ht="12.75">
      <c r="A4" s="18" t="s">
        <v>382</v>
      </c>
      <c r="B4" s="261">
        <f>SUM(C4:G4)</f>
        <v>832420.7908999999</v>
      </c>
      <c r="C4" s="261">
        <v>27478.8487</v>
      </c>
      <c r="D4" s="261">
        <v>116152.0073</v>
      </c>
      <c r="E4" s="261">
        <v>197306.8784</v>
      </c>
      <c r="F4" s="261">
        <v>226972.2163</v>
      </c>
      <c r="G4" s="261">
        <v>264510.8402</v>
      </c>
      <c r="H4" s="261">
        <v>87137</v>
      </c>
      <c r="I4" s="261">
        <v>233311</v>
      </c>
      <c r="J4" s="261">
        <v>231454</v>
      </c>
      <c r="K4" s="261">
        <v>319312</v>
      </c>
      <c r="L4" s="261">
        <v>240372</v>
      </c>
      <c r="M4" s="261">
        <v>374080</v>
      </c>
      <c r="N4" s="261">
        <f>'emision reductions 2012-13'!B4</f>
        <v>526721</v>
      </c>
      <c r="O4" s="130"/>
    </row>
    <row r="5" spans="1:15" ht="12.75">
      <c r="A5" s="18" t="s">
        <v>383</v>
      </c>
      <c r="B5" s="261">
        <f>SUM(C5:G5)</f>
        <v>110511.53966000001</v>
      </c>
      <c r="C5" s="261">
        <v>0</v>
      </c>
      <c r="D5" s="261">
        <v>32926.03936</v>
      </c>
      <c r="E5" s="261">
        <v>21743.5701</v>
      </c>
      <c r="F5" s="261">
        <v>23014.8734</v>
      </c>
      <c r="G5" s="261">
        <v>32827.0568</v>
      </c>
      <c r="H5" s="261">
        <v>34046</v>
      </c>
      <c r="I5" s="261">
        <v>25008</v>
      </c>
      <c r="J5" s="261">
        <v>26044</v>
      </c>
      <c r="K5" s="261">
        <v>33842</v>
      </c>
      <c r="L5" s="261">
        <v>49716</v>
      </c>
      <c r="M5" s="261">
        <v>41617.78842163091</v>
      </c>
      <c r="N5" s="261">
        <f>'emision reductions 2012-13'!B5</f>
        <v>60943</v>
      </c>
      <c r="O5" s="100"/>
    </row>
    <row r="6" spans="1:15" ht="12.75">
      <c r="A6" s="22" t="s">
        <v>268</v>
      </c>
      <c r="B6" s="261">
        <f>SUM(C6:G6)</f>
        <v>30686.2691</v>
      </c>
      <c r="C6" s="261">
        <v>5.7035</v>
      </c>
      <c r="D6" s="261">
        <v>958.6693</v>
      </c>
      <c r="E6" s="261">
        <v>5090.2963</v>
      </c>
      <c r="F6" s="261">
        <v>4501.2727</v>
      </c>
      <c r="G6" s="261">
        <v>20130.3273</v>
      </c>
      <c r="H6" s="261">
        <v>32252</v>
      </c>
      <c r="I6" s="261">
        <v>138231</v>
      </c>
      <c r="J6" s="261">
        <v>160965</v>
      </c>
      <c r="K6" s="261">
        <v>230314</v>
      </c>
      <c r="L6" s="261">
        <v>174517</v>
      </c>
      <c r="M6" s="261">
        <v>315031</v>
      </c>
      <c r="N6" s="261">
        <f>'emision reductions 2012-13'!B6</f>
        <v>528233</v>
      </c>
      <c r="O6" s="100"/>
    </row>
    <row r="7" spans="1:15" ht="12.75">
      <c r="A7" s="14" t="s">
        <v>217</v>
      </c>
      <c r="B7" s="260">
        <f>SUM(B4:B6)</f>
        <v>973618.59966</v>
      </c>
      <c r="C7" s="260">
        <f>SUM(C4:C6)</f>
        <v>27484.5522</v>
      </c>
      <c r="D7" s="260">
        <f>SUM(D4:D6)</f>
        <v>150036.71596</v>
      </c>
      <c r="E7" s="260">
        <f aca="true" t="shared" si="0" ref="E7:N7">SUM(E4:E6)</f>
        <v>224140.7448</v>
      </c>
      <c r="F7" s="260">
        <f t="shared" si="0"/>
        <v>254488.3624</v>
      </c>
      <c r="G7" s="260">
        <f t="shared" si="0"/>
        <v>317468.2243</v>
      </c>
      <c r="H7" s="260">
        <f t="shared" si="0"/>
        <v>153435</v>
      </c>
      <c r="I7" s="260">
        <f t="shared" si="0"/>
        <v>396550</v>
      </c>
      <c r="J7" s="260">
        <f t="shared" si="0"/>
        <v>418463</v>
      </c>
      <c r="K7" s="260">
        <f t="shared" si="0"/>
        <v>583468</v>
      </c>
      <c r="L7" s="260">
        <f t="shared" si="0"/>
        <v>464605</v>
      </c>
      <c r="M7" s="260">
        <f t="shared" si="0"/>
        <v>730728.7884216309</v>
      </c>
      <c r="N7" s="260">
        <f t="shared" si="0"/>
        <v>1115897</v>
      </c>
      <c r="O7" s="100"/>
    </row>
    <row r="8" spans="1:15" ht="12.75">
      <c r="A8" s="113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00"/>
    </row>
    <row r="9" spans="1:15" ht="18">
      <c r="A9" s="394" t="s">
        <v>269</v>
      </c>
      <c r="B9" s="394"/>
      <c r="C9" s="395"/>
      <c r="D9" s="395"/>
      <c r="E9" s="395"/>
      <c r="F9" s="395"/>
      <c r="G9" s="395"/>
      <c r="H9" s="395"/>
      <c r="I9" s="395"/>
      <c r="J9" s="395"/>
      <c r="K9" s="395"/>
      <c r="L9" s="116"/>
      <c r="M9" s="116"/>
      <c r="N9" s="116"/>
      <c r="O9" s="100"/>
    </row>
    <row r="10" spans="1:15" ht="12.75">
      <c r="A10" s="18" t="s">
        <v>382</v>
      </c>
      <c r="B10" s="261">
        <f>SUM(C10:G10)</f>
        <v>1562.976</v>
      </c>
      <c r="C10" s="261">
        <v>80.1883</v>
      </c>
      <c r="D10" s="261">
        <v>213.9642</v>
      </c>
      <c r="E10" s="261">
        <v>363.46</v>
      </c>
      <c r="F10" s="261">
        <v>418.1067</v>
      </c>
      <c r="G10" s="261">
        <v>487.2568</v>
      </c>
      <c r="H10" s="261">
        <v>161</v>
      </c>
      <c r="I10" s="261">
        <v>430</v>
      </c>
      <c r="J10" s="261">
        <v>426</v>
      </c>
      <c r="K10" s="261">
        <v>9523</v>
      </c>
      <c r="L10" s="261">
        <v>443</v>
      </c>
      <c r="M10" s="261">
        <v>309</v>
      </c>
      <c r="N10" s="261">
        <f>'emision reductions 2012-13'!C4</f>
        <v>436</v>
      </c>
      <c r="O10" s="100"/>
    </row>
    <row r="11" spans="1:15" ht="12.75">
      <c r="A11" s="18" t="s">
        <v>383</v>
      </c>
      <c r="B11" s="261">
        <f>SUM(C11:G11)</f>
        <v>86.89796086000001</v>
      </c>
      <c r="C11" s="261">
        <v>0</v>
      </c>
      <c r="D11" s="261">
        <v>25.89056086</v>
      </c>
      <c r="E11" s="261">
        <v>17.0975</v>
      </c>
      <c r="F11" s="261">
        <v>18.0972</v>
      </c>
      <c r="G11" s="261">
        <v>25.8127</v>
      </c>
      <c r="H11" s="261">
        <v>27</v>
      </c>
      <c r="I11" s="261">
        <v>20</v>
      </c>
      <c r="J11" s="261">
        <v>20</v>
      </c>
      <c r="K11" s="261">
        <v>27</v>
      </c>
      <c r="L11" s="261">
        <v>39</v>
      </c>
      <c r="M11" s="261">
        <v>32.72509858794909</v>
      </c>
      <c r="N11" s="261">
        <f>'emision reductions 2012-13'!C5</f>
        <v>48</v>
      </c>
      <c r="O11" s="100"/>
    </row>
    <row r="12" spans="1:15" ht="12.75">
      <c r="A12" s="22" t="s">
        <v>268</v>
      </c>
      <c r="B12" s="261">
        <f>SUM(C12:G12)</f>
        <v>56.2063</v>
      </c>
      <c r="C12" s="261">
        <v>0.0166</v>
      </c>
      <c r="D12" s="261">
        <v>1.5323</v>
      </c>
      <c r="E12" s="261">
        <v>9.2834</v>
      </c>
      <c r="F12" s="261">
        <v>8.2918</v>
      </c>
      <c r="G12" s="261">
        <v>37.0822</v>
      </c>
      <c r="H12" s="261">
        <v>59</v>
      </c>
      <c r="I12" s="261">
        <v>255</v>
      </c>
      <c r="J12" s="261">
        <v>297</v>
      </c>
      <c r="K12" s="261">
        <v>424</v>
      </c>
      <c r="L12" s="261">
        <v>321</v>
      </c>
      <c r="M12" s="261">
        <v>260</v>
      </c>
      <c r="N12" s="261">
        <f>'emision reductions 2012-13'!C6</f>
        <v>437</v>
      </c>
      <c r="O12" s="100"/>
    </row>
    <row r="13" spans="1:15" ht="12.75">
      <c r="A13" s="14" t="s">
        <v>217</v>
      </c>
      <c r="B13" s="260">
        <f aca="true" t="shared" si="1" ref="B13:N13">SUM(B10:B12)</f>
        <v>1706.0802608600002</v>
      </c>
      <c r="C13" s="260">
        <f t="shared" si="1"/>
        <v>80.2049</v>
      </c>
      <c r="D13" s="260">
        <f t="shared" si="1"/>
        <v>241.38706086</v>
      </c>
      <c r="E13" s="260">
        <f t="shared" si="1"/>
        <v>389.84090000000003</v>
      </c>
      <c r="F13" s="260">
        <f t="shared" si="1"/>
        <v>444.4957</v>
      </c>
      <c r="G13" s="260">
        <f t="shared" si="1"/>
        <v>550.1516999999999</v>
      </c>
      <c r="H13" s="260">
        <f t="shared" si="1"/>
        <v>247</v>
      </c>
      <c r="I13" s="260">
        <f t="shared" si="1"/>
        <v>705</v>
      </c>
      <c r="J13" s="260">
        <f t="shared" si="1"/>
        <v>743</v>
      </c>
      <c r="K13" s="260">
        <f t="shared" si="1"/>
        <v>9974</v>
      </c>
      <c r="L13" s="260">
        <f t="shared" si="1"/>
        <v>803</v>
      </c>
      <c r="M13" s="260">
        <f t="shared" si="1"/>
        <v>601.7250985879491</v>
      </c>
      <c r="N13" s="260">
        <f t="shared" si="1"/>
        <v>921</v>
      </c>
      <c r="O13" s="100"/>
    </row>
    <row r="14" spans="1:15" ht="12.75">
      <c r="A14" s="113"/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00"/>
    </row>
    <row r="15" spans="1:15" ht="18">
      <c r="A15" s="394" t="s">
        <v>270</v>
      </c>
      <c r="B15" s="394"/>
      <c r="C15" s="395"/>
      <c r="D15" s="395"/>
      <c r="E15" s="395"/>
      <c r="F15" s="395"/>
      <c r="G15" s="395"/>
      <c r="H15" s="395"/>
      <c r="I15" s="395"/>
      <c r="J15" s="395"/>
      <c r="K15" s="395"/>
      <c r="L15" s="116"/>
      <c r="M15" s="116"/>
      <c r="N15" s="116"/>
      <c r="O15" s="100"/>
    </row>
    <row r="16" spans="1:15" ht="12.75">
      <c r="A16" s="18" t="s">
        <v>382</v>
      </c>
      <c r="B16" s="261">
        <f>SUM(C16:G16)</f>
        <v>3570.3392000000003</v>
      </c>
      <c r="C16" s="261">
        <v>128.1514</v>
      </c>
      <c r="D16" s="261">
        <v>496.7027</v>
      </c>
      <c r="E16" s="261">
        <v>843.7465</v>
      </c>
      <c r="F16" s="261">
        <v>970.6067</v>
      </c>
      <c r="G16" s="261">
        <v>1131.1319</v>
      </c>
      <c r="H16" s="261">
        <v>373</v>
      </c>
      <c r="I16" s="261">
        <v>998</v>
      </c>
      <c r="J16" s="261">
        <v>990</v>
      </c>
      <c r="K16" s="261">
        <v>1365</v>
      </c>
      <c r="L16" s="261">
        <v>1028</v>
      </c>
      <c r="M16" s="261">
        <v>969</v>
      </c>
      <c r="N16" s="261">
        <f>'emision reductions 2012-13'!D4</f>
        <v>1365</v>
      </c>
      <c r="O16" s="100"/>
    </row>
    <row r="17" spans="1:15" ht="12.75">
      <c r="A17" s="18" t="s">
        <v>383</v>
      </c>
      <c r="B17" s="261">
        <f>SUM(C17:G17)</f>
        <v>0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f>'emision reductions 2012-13'!D5</f>
        <v>0</v>
      </c>
      <c r="O17" s="100"/>
    </row>
    <row r="18" spans="1:15" ht="12.75">
      <c r="A18" s="22" t="s">
        <v>268</v>
      </c>
      <c r="B18" s="261">
        <f>SUM(C18:G18)</f>
        <v>129.9017</v>
      </c>
      <c r="C18" s="261">
        <v>0.0266</v>
      </c>
      <c r="D18" s="261">
        <v>3.1533</v>
      </c>
      <c r="E18" s="261">
        <v>21.3893</v>
      </c>
      <c r="F18" s="261">
        <v>19.2489</v>
      </c>
      <c r="G18" s="261">
        <v>86.0836</v>
      </c>
      <c r="H18" s="261">
        <v>138</v>
      </c>
      <c r="I18" s="261">
        <v>591</v>
      </c>
      <c r="J18" s="261">
        <v>688</v>
      </c>
      <c r="K18" s="261">
        <v>985</v>
      </c>
      <c r="L18" s="261">
        <v>746</v>
      </c>
      <c r="M18" s="261">
        <v>816</v>
      </c>
      <c r="N18" s="261">
        <f>'emision reductions 2012-13'!D6</f>
        <v>1355</v>
      </c>
      <c r="O18" s="100"/>
    </row>
    <row r="19" spans="1:15" ht="12.75">
      <c r="A19" s="14" t="s">
        <v>217</v>
      </c>
      <c r="B19" s="260">
        <f aca="true" t="shared" si="2" ref="B19:N19">SUM(B16:B18)</f>
        <v>3700.2409000000002</v>
      </c>
      <c r="C19" s="260">
        <f t="shared" si="2"/>
        <v>128.178</v>
      </c>
      <c r="D19" s="260">
        <f t="shared" si="2"/>
        <v>499.856</v>
      </c>
      <c r="E19" s="260">
        <f t="shared" si="2"/>
        <v>865.1358</v>
      </c>
      <c r="F19" s="260">
        <f t="shared" si="2"/>
        <v>989.8556000000001</v>
      </c>
      <c r="G19" s="260">
        <f t="shared" si="2"/>
        <v>1217.2155</v>
      </c>
      <c r="H19" s="260">
        <f t="shared" si="2"/>
        <v>511</v>
      </c>
      <c r="I19" s="260">
        <f t="shared" si="2"/>
        <v>1589</v>
      </c>
      <c r="J19" s="260">
        <f t="shared" si="2"/>
        <v>1678</v>
      </c>
      <c r="K19" s="260">
        <f t="shared" si="2"/>
        <v>2350</v>
      </c>
      <c r="L19" s="260">
        <f t="shared" si="2"/>
        <v>1774</v>
      </c>
      <c r="M19" s="260">
        <f t="shared" si="2"/>
        <v>1785</v>
      </c>
      <c r="N19" s="260">
        <f t="shared" si="2"/>
        <v>2720</v>
      </c>
      <c r="O19" s="100"/>
    </row>
    <row r="20" spans="1:15" ht="12.75">
      <c r="A20" s="115"/>
      <c r="B20" s="11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8">
      <c r="A21" s="394" t="s">
        <v>271</v>
      </c>
      <c r="B21" s="394"/>
      <c r="C21" s="395"/>
      <c r="D21" s="395"/>
      <c r="E21" s="395"/>
      <c r="F21" s="395"/>
      <c r="G21" s="395"/>
      <c r="H21" s="395"/>
      <c r="I21" s="395"/>
      <c r="J21" s="395"/>
      <c r="K21" s="395"/>
      <c r="L21" s="116"/>
      <c r="M21" s="116"/>
      <c r="N21" s="116"/>
      <c r="O21" s="100"/>
    </row>
    <row r="22" spans="1:15" ht="12.75">
      <c r="A22" s="18" t="s">
        <v>382</v>
      </c>
      <c r="B22" s="261">
        <f>SUM(C22:G22)</f>
        <v>42.68</v>
      </c>
      <c r="C22" s="261">
        <v>1.32</v>
      </c>
      <c r="D22" s="261">
        <v>5.94</v>
      </c>
      <c r="E22" s="261">
        <v>10.12</v>
      </c>
      <c r="F22" s="261">
        <v>11.66</v>
      </c>
      <c r="G22" s="261">
        <v>13.64</v>
      </c>
      <c r="H22" s="261">
        <v>4.4</v>
      </c>
      <c r="I22" s="261">
        <v>12.1</v>
      </c>
      <c r="J22" s="261">
        <v>11.88</v>
      </c>
      <c r="K22" s="261">
        <v>16.5</v>
      </c>
      <c r="L22" s="261">
        <v>12.32</v>
      </c>
      <c r="M22" s="261">
        <v>16.06</v>
      </c>
      <c r="N22" s="261">
        <f>'emision reductions 2012-13'!E4</f>
        <v>22.66</v>
      </c>
      <c r="O22" s="100"/>
    </row>
    <row r="23" spans="1:15" ht="12.75">
      <c r="A23" s="18" t="s">
        <v>383</v>
      </c>
      <c r="B23" s="261">
        <f>SUM(C23:G23)</f>
        <v>0</v>
      </c>
      <c r="C23" s="261">
        <v>0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f>'emision reductions 2012-13'!E5</f>
        <v>0</v>
      </c>
      <c r="O23" s="100"/>
    </row>
    <row r="24" spans="1:15" ht="12.75">
      <c r="A24" s="22" t="s">
        <v>268</v>
      </c>
      <c r="B24" s="261">
        <f>SUM(C24:G24)</f>
        <v>1.54</v>
      </c>
      <c r="C24" s="261">
        <v>0</v>
      </c>
      <c r="D24" s="261">
        <v>0</v>
      </c>
      <c r="E24" s="261">
        <v>0.22</v>
      </c>
      <c r="F24" s="261">
        <v>0.22</v>
      </c>
      <c r="G24" s="261">
        <v>1.1</v>
      </c>
      <c r="H24" s="261">
        <v>1.76</v>
      </c>
      <c r="I24" s="261">
        <v>7.04</v>
      </c>
      <c r="J24" s="261">
        <v>8.36</v>
      </c>
      <c r="K24" s="261">
        <v>11.88</v>
      </c>
      <c r="L24" s="261">
        <v>9.020000000000001</v>
      </c>
      <c r="M24" s="261">
        <v>13.639999999999999</v>
      </c>
      <c r="N24" s="261">
        <f>'emision reductions 2012-13'!E6</f>
        <v>22.88</v>
      </c>
      <c r="O24" s="100"/>
    </row>
    <row r="25" spans="1:15" ht="12.75">
      <c r="A25" s="14" t="s">
        <v>217</v>
      </c>
      <c r="B25" s="260">
        <f>SUM(B22:B24)</f>
        <v>44.22</v>
      </c>
      <c r="C25" s="260">
        <f aca="true" t="shared" si="3" ref="C25:N25">SUM(C22:C24)</f>
        <v>1.32</v>
      </c>
      <c r="D25" s="260">
        <f t="shared" si="3"/>
        <v>5.94</v>
      </c>
      <c r="E25" s="260">
        <f t="shared" si="3"/>
        <v>10.34</v>
      </c>
      <c r="F25" s="260">
        <f t="shared" si="3"/>
        <v>11.88</v>
      </c>
      <c r="G25" s="260">
        <f t="shared" si="3"/>
        <v>14.74</v>
      </c>
      <c r="H25" s="260">
        <f t="shared" si="3"/>
        <v>6.16</v>
      </c>
      <c r="I25" s="260">
        <f t="shared" si="3"/>
        <v>19.14</v>
      </c>
      <c r="J25" s="260">
        <f t="shared" si="3"/>
        <v>20.240000000000002</v>
      </c>
      <c r="K25" s="260">
        <f t="shared" si="3"/>
        <v>28.380000000000003</v>
      </c>
      <c r="L25" s="260">
        <f t="shared" si="3"/>
        <v>21.340000000000003</v>
      </c>
      <c r="M25" s="260">
        <f t="shared" si="3"/>
        <v>29.699999999999996</v>
      </c>
      <c r="N25" s="260">
        <f t="shared" si="3"/>
        <v>45.54</v>
      </c>
      <c r="O25" s="100"/>
    </row>
    <row r="26" spans="1:15" ht="12.75">
      <c r="A26" s="206" t="s">
        <v>356</v>
      </c>
      <c r="B26" s="24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00"/>
    </row>
    <row r="27" spans="2:15" ht="31.5">
      <c r="B27" s="205" t="str">
        <f>B2</f>
        <v>Summary 
2001 to 2005*</v>
      </c>
      <c r="C27" s="127">
        <f aca="true" t="shared" si="4" ref="C27:N27">C2</f>
        <v>2001</v>
      </c>
      <c r="D27" s="127">
        <f t="shared" si="4"/>
        <v>2002</v>
      </c>
      <c r="E27" s="127">
        <f t="shared" si="4"/>
        <v>2003</v>
      </c>
      <c r="F27" s="127">
        <f t="shared" si="4"/>
        <v>2004</v>
      </c>
      <c r="G27" s="127">
        <f t="shared" si="4"/>
        <v>2005</v>
      </c>
      <c r="H27" s="127">
        <f t="shared" si="4"/>
        <v>2006</v>
      </c>
      <c r="I27" s="127">
        <f t="shared" si="4"/>
        <v>2007</v>
      </c>
      <c r="J27" s="127">
        <f t="shared" si="4"/>
        <v>2008</v>
      </c>
      <c r="K27" s="127">
        <f t="shared" si="4"/>
        <v>2009</v>
      </c>
      <c r="L27" s="127">
        <f t="shared" si="4"/>
        <v>2010</v>
      </c>
      <c r="M27" s="112">
        <f t="shared" si="4"/>
        <v>2011</v>
      </c>
      <c r="N27" s="128" t="str">
        <f t="shared" si="4"/>
        <v>(18 month)
2012-2013</v>
      </c>
      <c r="O27" s="100"/>
    </row>
    <row r="28" spans="1:15" ht="24.75">
      <c r="A28" s="394" t="s">
        <v>272</v>
      </c>
      <c r="B28" s="394"/>
      <c r="C28" s="395"/>
      <c r="D28" s="395"/>
      <c r="E28" s="395"/>
      <c r="F28" s="395"/>
      <c r="G28" s="395"/>
      <c r="H28" s="395"/>
      <c r="I28" s="395"/>
      <c r="J28" s="395"/>
      <c r="K28" s="395"/>
      <c r="L28" s="116"/>
      <c r="M28" s="116"/>
      <c r="N28" s="116"/>
      <c r="O28" s="128" t="s">
        <v>277</v>
      </c>
    </row>
    <row r="29" spans="1:15" ht="12.75">
      <c r="A29" s="18" t="s">
        <v>382</v>
      </c>
      <c r="B29" s="261">
        <f>SUM(C29:G29)</f>
        <v>10163119.8469</v>
      </c>
      <c r="C29" s="261">
        <v>431476.4815</v>
      </c>
      <c r="D29" s="261">
        <v>1757180.6351</v>
      </c>
      <c r="E29" s="261">
        <v>2583422.3795</v>
      </c>
      <c r="F29" s="261">
        <v>2976969.0283</v>
      </c>
      <c r="G29" s="261">
        <v>2414071.3225</v>
      </c>
      <c r="H29" s="261">
        <v>1331361</v>
      </c>
      <c r="I29" s="261">
        <v>2251871</v>
      </c>
      <c r="J29" s="261">
        <v>2180995</v>
      </c>
      <c r="K29" s="328">
        <v>2754296</v>
      </c>
      <c r="L29" s="328">
        <v>2359006</v>
      </c>
      <c r="M29" s="328">
        <v>4024594</v>
      </c>
      <c r="N29" s="328">
        <f>'emision reductions 2012-13'!B11</f>
        <v>5632033</v>
      </c>
      <c r="O29" s="261">
        <f>SUM(C29:N29)</f>
        <v>30697275.8469</v>
      </c>
    </row>
    <row r="30" spans="1:15" ht="12.75">
      <c r="A30" s="18" t="s">
        <v>383</v>
      </c>
      <c r="B30" s="261">
        <f>SUM(C30:G30)</f>
        <v>2111666.5382</v>
      </c>
      <c r="C30" s="261">
        <v>0</v>
      </c>
      <c r="D30" s="261">
        <v>649611.7158</v>
      </c>
      <c r="E30" s="261">
        <v>409841.9099</v>
      </c>
      <c r="F30" s="261">
        <v>431187.5292</v>
      </c>
      <c r="G30" s="261">
        <v>621025.3833</v>
      </c>
      <c r="H30" s="261">
        <v>485934</v>
      </c>
      <c r="I30" s="261">
        <v>409698</v>
      </c>
      <c r="J30" s="261">
        <v>422582</v>
      </c>
      <c r="K30" s="328">
        <v>559689</v>
      </c>
      <c r="L30" s="328">
        <v>876209</v>
      </c>
      <c r="M30" s="328">
        <v>770773.3050265772</v>
      </c>
      <c r="N30" s="328">
        <f>'emision reductions 2012-13'!B12</f>
        <v>1140435</v>
      </c>
      <c r="O30" s="261">
        <f>SUM(C30:N30)</f>
        <v>6776986.843226577</v>
      </c>
    </row>
    <row r="31" spans="1:15" ht="12.75">
      <c r="A31" s="22" t="s">
        <v>268</v>
      </c>
      <c r="B31" s="261">
        <f>SUM(C31:G31)</f>
        <v>525598.4955</v>
      </c>
      <c r="C31" s="261">
        <v>86.5</v>
      </c>
      <c r="D31" s="261">
        <v>18068.5046</v>
      </c>
      <c r="E31" s="261">
        <v>77756.7636</v>
      </c>
      <c r="F31" s="261">
        <v>57342.6909</v>
      </c>
      <c r="G31" s="261">
        <v>372344.0364</v>
      </c>
      <c r="H31" s="261">
        <v>561398</v>
      </c>
      <c r="I31" s="261">
        <v>1602106</v>
      </c>
      <c r="J31" s="261">
        <v>2439211</v>
      </c>
      <c r="K31" s="328">
        <v>2983580</v>
      </c>
      <c r="L31" s="328">
        <v>3351692</v>
      </c>
      <c r="M31" s="328">
        <v>6300609</v>
      </c>
      <c r="N31" s="328">
        <f>'emision reductions 2012-13'!B13</f>
        <v>10564668</v>
      </c>
      <c r="O31" s="261">
        <f>SUM(C31:N31)</f>
        <v>28328862.4955</v>
      </c>
    </row>
    <row r="32" spans="1:15" ht="12.75">
      <c r="A32" s="14" t="s">
        <v>217</v>
      </c>
      <c r="B32" s="260">
        <f>SUM(B29:B31)</f>
        <v>12800384.8806</v>
      </c>
      <c r="C32" s="260">
        <f aca="true" t="shared" si="5" ref="C32:N32">SUM(C29:C31)</f>
        <v>431562.9815</v>
      </c>
      <c r="D32" s="260">
        <f t="shared" si="5"/>
        <v>2424860.8555</v>
      </c>
      <c r="E32" s="260">
        <f t="shared" si="5"/>
        <v>3071021.053</v>
      </c>
      <c r="F32" s="260">
        <f t="shared" si="5"/>
        <v>3465499.2484</v>
      </c>
      <c r="G32" s="260">
        <f t="shared" si="5"/>
        <v>3407440.7421999997</v>
      </c>
      <c r="H32" s="260">
        <f t="shared" si="5"/>
        <v>2378693</v>
      </c>
      <c r="I32" s="260">
        <f t="shared" si="5"/>
        <v>4263675</v>
      </c>
      <c r="J32" s="260">
        <f t="shared" si="5"/>
        <v>5042788</v>
      </c>
      <c r="K32" s="329">
        <f t="shared" si="5"/>
        <v>6297565</v>
      </c>
      <c r="L32" s="329">
        <f t="shared" si="5"/>
        <v>6586907</v>
      </c>
      <c r="M32" s="329">
        <f t="shared" si="5"/>
        <v>11095976.305026576</v>
      </c>
      <c r="N32" s="329">
        <f t="shared" si="5"/>
        <v>17337136</v>
      </c>
      <c r="O32" s="260">
        <f>SUM(O29:O31)</f>
        <v>65803125.185626574</v>
      </c>
    </row>
    <row r="33" spans="1:15" ht="12.75">
      <c r="A33" s="115"/>
      <c r="B33" s="115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62"/>
    </row>
    <row r="34" spans="1:15" ht="18">
      <c r="A34" s="394" t="s">
        <v>273</v>
      </c>
      <c r="B34" s="394"/>
      <c r="C34" s="395"/>
      <c r="D34" s="395"/>
      <c r="E34" s="395"/>
      <c r="F34" s="395"/>
      <c r="G34" s="395"/>
      <c r="H34" s="395"/>
      <c r="I34" s="395"/>
      <c r="J34" s="395"/>
      <c r="K34" s="395"/>
      <c r="L34" s="116"/>
      <c r="M34" s="116"/>
      <c r="N34" s="116"/>
      <c r="O34" s="62"/>
    </row>
    <row r="35" spans="1:15" ht="12.75">
      <c r="A35" s="18" t="s">
        <v>382</v>
      </c>
      <c r="B35" s="261">
        <f>SUM(C35:G35)</f>
        <v>19185.8383</v>
      </c>
      <c r="C35" s="261">
        <v>1259.1268</v>
      </c>
      <c r="D35" s="261">
        <v>3236.9117</v>
      </c>
      <c r="E35" s="261">
        <v>4758.936</v>
      </c>
      <c r="F35" s="261">
        <v>5483.8903</v>
      </c>
      <c r="G35" s="261">
        <v>4446.9735</v>
      </c>
      <c r="H35" s="261">
        <v>2453</v>
      </c>
      <c r="I35" s="261">
        <v>4148</v>
      </c>
      <c r="J35" s="261">
        <v>4018</v>
      </c>
      <c r="K35" s="328">
        <v>136657</v>
      </c>
      <c r="L35" s="328">
        <v>4346</v>
      </c>
      <c r="M35" s="328">
        <v>3328</v>
      </c>
      <c r="N35" s="328">
        <f>'emision reductions 2012-13'!C11</f>
        <v>4657</v>
      </c>
      <c r="O35" s="261">
        <f>SUM(C35:N35)</f>
        <v>178792.8383</v>
      </c>
    </row>
    <row r="36" spans="1:15" ht="12.75">
      <c r="A36" s="18" t="s">
        <v>383</v>
      </c>
      <c r="B36" s="261">
        <f>SUM(C36:G36)</f>
        <v>1660.4557936</v>
      </c>
      <c r="C36" s="261">
        <v>0</v>
      </c>
      <c r="D36" s="261">
        <v>510.8057936</v>
      </c>
      <c r="E36" s="261">
        <v>322.2689</v>
      </c>
      <c r="F36" s="261">
        <v>339.0534</v>
      </c>
      <c r="G36" s="261">
        <v>488.3277</v>
      </c>
      <c r="H36" s="261">
        <v>382</v>
      </c>
      <c r="I36" s="261">
        <v>322</v>
      </c>
      <c r="J36" s="261">
        <v>332</v>
      </c>
      <c r="K36" s="328">
        <v>440</v>
      </c>
      <c r="L36" s="328">
        <v>689</v>
      </c>
      <c r="M36" s="328">
        <v>606.0781543798727</v>
      </c>
      <c r="N36" s="328">
        <f>'emision reductions 2012-13'!C12</f>
        <v>362</v>
      </c>
      <c r="O36" s="261">
        <f>SUM(C36:N36)</f>
        <v>4793.533947979873</v>
      </c>
    </row>
    <row r="37" spans="1:15" ht="12.75">
      <c r="A37" s="22" t="s">
        <v>268</v>
      </c>
      <c r="B37" s="261">
        <f>SUM(C37:G37)</f>
        <v>961.7595090909999</v>
      </c>
      <c r="C37" s="261">
        <v>0.2524</v>
      </c>
      <c r="D37" s="261">
        <v>28.611409091</v>
      </c>
      <c r="E37" s="261">
        <v>141.3675</v>
      </c>
      <c r="F37" s="261">
        <v>105.6313</v>
      </c>
      <c r="G37" s="261">
        <v>685.8969</v>
      </c>
      <c r="H37" s="261">
        <v>1034</v>
      </c>
      <c r="I37" s="261">
        <v>2951</v>
      </c>
      <c r="J37" s="261">
        <v>4493</v>
      </c>
      <c r="K37" s="328">
        <v>5496</v>
      </c>
      <c r="L37" s="328">
        <v>6174</v>
      </c>
      <c r="M37" s="328">
        <v>5210</v>
      </c>
      <c r="N37" s="328">
        <f>'emision reductions 2012-13'!C13</f>
        <v>8736</v>
      </c>
      <c r="O37" s="261">
        <f>SUM(C37:N37)</f>
        <v>35055.759509091</v>
      </c>
    </row>
    <row r="38" spans="1:15" ht="12.75">
      <c r="A38" s="14" t="s">
        <v>217</v>
      </c>
      <c r="B38" s="260">
        <f>SUM(B35:B37)</f>
        <v>21808.053602691</v>
      </c>
      <c r="C38" s="260">
        <f aca="true" t="shared" si="6" ref="C38:N38">SUM(C35:C37)</f>
        <v>1259.3792</v>
      </c>
      <c r="D38" s="260">
        <f t="shared" si="6"/>
        <v>3776.328902691</v>
      </c>
      <c r="E38" s="260">
        <f t="shared" si="6"/>
        <v>5222.5724</v>
      </c>
      <c r="F38" s="260">
        <f t="shared" si="6"/>
        <v>5928.575</v>
      </c>
      <c r="G38" s="260">
        <f t="shared" si="6"/>
        <v>5621.1981</v>
      </c>
      <c r="H38" s="260">
        <f t="shared" si="6"/>
        <v>3869</v>
      </c>
      <c r="I38" s="260">
        <f t="shared" si="6"/>
        <v>7421</v>
      </c>
      <c r="J38" s="260">
        <f t="shared" si="6"/>
        <v>8843</v>
      </c>
      <c r="K38" s="329">
        <f t="shared" si="6"/>
        <v>142593</v>
      </c>
      <c r="L38" s="329">
        <f t="shared" si="6"/>
        <v>11209</v>
      </c>
      <c r="M38" s="329">
        <f t="shared" si="6"/>
        <v>9144.078154379873</v>
      </c>
      <c r="N38" s="329">
        <f t="shared" si="6"/>
        <v>13755</v>
      </c>
      <c r="O38" s="260">
        <f>SUM(O35:O37)</f>
        <v>218642.1317570709</v>
      </c>
    </row>
    <row r="39" spans="1:15" ht="12.75">
      <c r="A39" s="115"/>
      <c r="B39" s="11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62"/>
    </row>
    <row r="40" spans="1:15" ht="18">
      <c r="A40" s="394" t="s">
        <v>274</v>
      </c>
      <c r="B40" s="394"/>
      <c r="C40" s="395"/>
      <c r="D40" s="395"/>
      <c r="E40" s="395"/>
      <c r="F40" s="395"/>
      <c r="G40" s="395"/>
      <c r="H40" s="395"/>
      <c r="I40" s="395"/>
      <c r="J40" s="395"/>
      <c r="K40" s="395"/>
      <c r="L40" s="116"/>
      <c r="M40" s="116"/>
      <c r="N40" s="116"/>
      <c r="O40" s="62"/>
    </row>
    <row r="41" spans="1:15" ht="12.75">
      <c r="A41" s="18" t="s">
        <v>382</v>
      </c>
      <c r="B41" s="261">
        <f>SUM(C41:G41)</f>
        <v>43627.8296</v>
      </c>
      <c r="C41" s="261">
        <v>2012.2494</v>
      </c>
      <c r="D41" s="261">
        <v>7514.2593</v>
      </c>
      <c r="E41" s="261">
        <v>11047.5299</v>
      </c>
      <c r="F41" s="261">
        <v>12730.4597</v>
      </c>
      <c r="G41" s="261">
        <v>10323.3313</v>
      </c>
      <c r="H41" s="261">
        <v>5693</v>
      </c>
      <c r="I41" s="261">
        <v>9630</v>
      </c>
      <c r="J41" s="271">
        <v>9327</v>
      </c>
      <c r="K41" s="328">
        <v>11778</v>
      </c>
      <c r="L41" s="328">
        <v>10088</v>
      </c>
      <c r="M41" s="328">
        <v>10428</v>
      </c>
      <c r="N41" s="328">
        <f>'emision reductions 2012-13'!D11</f>
        <v>14592</v>
      </c>
      <c r="O41" s="261">
        <f>SUM(C41:N41)</f>
        <v>115163.8296</v>
      </c>
    </row>
    <row r="42" spans="1:15" ht="12.75">
      <c r="A42" s="18" t="s">
        <v>383</v>
      </c>
      <c r="B42" s="261">
        <f>SUM(C42:G42)</f>
        <v>0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71">
        <v>0</v>
      </c>
      <c r="K42" s="328">
        <v>0</v>
      </c>
      <c r="L42" s="328">
        <v>0</v>
      </c>
      <c r="M42" s="328">
        <v>0</v>
      </c>
      <c r="N42" s="328">
        <f>'emision reductions 2012-13'!D12</f>
        <v>0</v>
      </c>
      <c r="O42" s="261">
        <f>SUM(C42:N42)</f>
        <v>0</v>
      </c>
    </row>
    <row r="43" spans="1:15" ht="12.75">
      <c r="A43" s="22" t="s">
        <v>268</v>
      </c>
      <c r="B43" s="261">
        <f>SUM(C43:G43)</f>
        <v>2221.1641</v>
      </c>
      <c r="C43" s="261">
        <v>0.4034</v>
      </c>
      <c r="D43" s="261">
        <v>58.3406</v>
      </c>
      <c r="E43" s="261">
        <v>324.9439</v>
      </c>
      <c r="F43" s="261">
        <v>245.2155</v>
      </c>
      <c r="G43" s="261">
        <v>1592.2607</v>
      </c>
      <c r="H43" s="261">
        <v>2401</v>
      </c>
      <c r="I43" s="261">
        <v>6851</v>
      </c>
      <c r="J43" s="271">
        <v>10431</v>
      </c>
      <c r="K43" s="328">
        <v>12759</v>
      </c>
      <c r="L43" s="328">
        <v>14333</v>
      </c>
      <c r="M43" s="328">
        <v>16325</v>
      </c>
      <c r="N43" s="328">
        <f>'emision reductions 2012-13'!D13</f>
        <v>27373</v>
      </c>
      <c r="O43" s="261">
        <f>SUM(C43:N43)</f>
        <v>92694.1641</v>
      </c>
    </row>
    <row r="44" spans="1:19" ht="12.75">
      <c r="A44" s="14" t="s">
        <v>217</v>
      </c>
      <c r="B44" s="260">
        <f>SUM(B41:B43)</f>
        <v>45848.9937</v>
      </c>
      <c r="C44" s="260">
        <f aca="true" t="shared" si="7" ref="C44:N44">SUM(C41:C43)</f>
        <v>2012.6527999999998</v>
      </c>
      <c r="D44" s="260">
        <f t="shared" si="7"/>
        <v>7572.5999</v>
      </c>
      <c r="E44" s="260">
        <f t="shared" si="7"/>
        <v>11372.4738</v>
      </c>
      <c r="F44" s="260">
        <f t="shared" si="7"/>
        <v>12975.6752</v>
      </c>
      <c r="G44" s="260">
        <f t="shared" si="7"/>
        <v>11915.592</v>
      </c>
      <c r="H44" s="260">
        <f t="shared" si="7"/>
        <v>8094</v>
      </c>
      <c r="I44" s="260">
        <f t="shared" si="7"/>
        <v>16481</v>
      </c>
      <c r="J44" s="260">
        <f t="shared" si="7"/>
        <v>19758</v>
      </c>
      <c r="K44" s="329">
        <f t="shared" si="7"/>
        <v>24537</v>
      </c>
      <c r="L44" s="329">
        <f t="shared" si="7"/>
        <v>24421</v>
      </c>
      <c r="M44" s="329">
        <f t="shared" si="7"/>
        <v>26753</v>
      </c>
      <c r="N44" s="329">
        <f t="shared" si="7"/>
        <v>41965</v>
      </c>
      <c r="O44" s="260">
        <f>SUM(O41:O43)</f>
        <v>207857.9937</v>
      </c>
      <c r="P44" s="100"/>
      <c r="Q44" s="100"/>
      <c r="R44" s="100"/>
      <c r="S44" s="100"/>
    </row>
    <row r="45" spans="1:19" ht="12.75">
      <c r="A45" s="115"/>
      <c r="B45" s="115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62"/>
      <c r="P45" s="100"/>
      <c r="Q45" s="100"/>
      <c r="R45" s="100"/>
      <c r="S45" s="100"/>
    </row>
    <row r="46" spans="1:19" ht="18">
      <c r="A46" s="394" t="s">
        <v>275</v>
      </c>
      <c r="B46" s="394"/>
      <c r="C46" s="395"/>
      <c r="D46" s="395"/>
      <c r="E46" s="395"/>
      <c r="F46" s="395"/>
      <c r="G46" s="395"/>
      <c r="H46" s="395"/>
      <c r="I46" s="395"/>
      <c r="J46" s="395"/>
      <c r="K46" s="395"/>
      <c r="L46" s="116"/>
      <c r="M46" s="116"/>
      <c r="N46" s="116"/>
      <c r="O46" s="62"/>
      <c r="P46" s="100"/>
      <c r="Q46" s="100"/>
      <c r="R46" s="100"/>
      <c r="S46" s="100"/>
    </row>
    <row r="47" spans="1:19" ht="12.75">
      <c r="A47" s="18" t="s">
        <v>382</v>
      </c>
      <c r="B47" s="261">
        <f>SUM(C47:G47)</f>
        <v>522.9399999999999</v>
      </c>
      <c r="C47" s="261">
        <v>21.56</v>
      </c>
      <c r="D47" s="261">
        <v>90.64</v>
      </c>
      <c r="E47" s="261">
        <v>133.1</v>
      </c>
      <c r="F47" s="261">
        <v>153.34</v>
      </c>
      <c r="G47" s="261">
        <v>124.3</v>
      </c>
      <c r="H47" s="261">
        <v>68.64</v>
      </c>
      <c r="I47" s="261">
        <v>115.94</v>
      </c>
      <c r="J47" s="261">
        <v>11</v>
      </c>
      <c r="K47" s="328">
        <v>141.9</v>
      </c>
      <c r="L47" s="328">
        <v>121.66000000000001</v>
      </c>
      <c r="M47" s="328">
        <v>173.8</v>
      </c>
      <c r="N47" s="328">
        <f>'emision reductions 2012-13'!E11</f>
        <v>243.1</v>
      </c>
      <c r="O47" s="261">
        <f>SUM(C47:N47)</f>
        <v>1398.9799999999998</v>
      </c>
      <c r="P47" s="100"/>
      <c r="Q47" s="100"/>
      <c r="R47" s="100"/>
      <c r="S47" s="100"/>
    </row>
    <row r="48" spans="1:19" ht="12.75">
      <c r="A48" s="18" t="s">
        <v>383</v>
      </c>
      <c r="B48" s="261">
        <f>SUM(C48:G48)</f>
        <v>0</v>
      </c>
      <c r="C48" s="261">
        <v>0</v>
      </c>
      <c r="D48" s="261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328">
        <v>0</v>
      </c>
      <c r="L48" s="328">
        <v>0</v>
      </c>
      <c r="M48" s="328">
        <v>0</v>
      </c>
      <c r="N48" s="328">
        <f>'emision reductions 2012-13'!E12</f>
        <v>0</v>
      </c>
      <c r="O48" s="261">
        <f>SUM(C48:N48)</f>
        <v>0</v>
      </c>
      <c r="P48" s="100"/>
      <c r="Q48" s="100"/>
      <c r="R48" s="100"/>
      <c r="S48" s="100"/>
    </row>
    <row r="49" spans="1:19" ht="12.75">
      <c r="A49" s="22" t="s">
        <v>268</v>
      </c>
      <c r="B49" s="261">
        <f>SUM(C49:G49)</f>
        <v>26.62</v>
      </c>
      <c r="C49" s="261">
        <v>0</v>
      </c>
      <c r="D49" s="261">
        <v>0.66</v>
      </c>
      <c r="E49" s="261">
        <v>3.96</v>
      </c>
      <c r="F49" s="261">
        <v>2.86</v>
      </c>
      <c r="G49" s="261">
        <v>19.14</v>
      </c>
      <c r="H49" s="261">
        <v>28.82</v>
      </c>
      <c r="I49" s="261">
        <v>82.5</v>
      </c>
      <c r="J49" s="261">
        <v>126</v>
      </c>
      <c r="K49" s="328">
        <v>153.78</v>
      </c>
      <c r="L49" s="328">
        <v>172.7</v>
      </c>
      <c r="M49" s="328">
        <v>272.14</v>
      </c>
      <c r="N49" s="328">
        <f>'emision reductions 2012-13'!E13</f>
        <v>456.06</v>
      </c>
      <c r="O49" s="261">
        <f>SUM(C49:N49)</f>
        <v>1318.6200000000001</v>
      </c>
      <c r="P49" s="100"/>
      <c r="Q49" s="100"/>
      <c r="R49" s="100"/>
      <c r="S49" s="100"/>
    </row>
    <row r="50" spans="1:19" ht="12.75">
      <c r="A50" s="14" t="s">
        <v>217</v>
      </c>
      <c r="B50" s="260">
        <f>SUM(B47:B49)</f>
        <v>549.56</v>
      </c>
      <c r="C50" s="260">
        <f aca="true" t="shared" si="8" ref="C50:N50">SUM(C47:C49)</f>
        <v>21.56</v>
      </c>
      <c r="D50" s="260">
        <f t="shared" si="8"/>
        <v>91.3</v>
      </c>
      <c r="E50" s="260">
        <f t="shared" si="8"/>
        <v>137.06</v>
      </c>
      <c r="F50" s="260">
        <f t="shared" si="8"/>
        <v>156.20000000000002</v>
      </c>
      <c r="G50" s="260">
        <f t="shared" si="8"/>
        <v>143.44</v>
      </c>
      <c r="H50" s="260">
        <f t="shared" si="8"/>
        <v>97.46000000000001</v>
      </c>
      <c r="I50" s="260">
        <f t="shared" si="8"/>
        <v>198.44</v>
      </c>
      <c r="J50" s="260">
        <f t="shared" si="8"/>
        <v>137</v>
      </c>
      <c r="K50" s="329">
        <f t="shared" si="8"/>
        <v>295.68</v>
      </c>
      <c r="L50" s="329">
        <f t="shared" si="8"/>
        <v>294.36</v>
      </c>
      <c r="M50" s="329">
        <f t="shared" si="8"/>
        <v>445.94</v>
      </c>
      <c r="N50" s="329">
        <f t="shared" si="8"/>
        <v>699.16</v>
      </c>
      <c r="O50" s="260">
        <f>SUM(O47:O49)</f>
        <v>2717.6</v>
      </c>
      <c r="P50" s="100"/>
      <c r="Q50" s="100"/>
      <c r="R50" s="100"/>
      <c r="S50" s="100"/>
    </row>
    <row r="51" spans="1:19" ht="12.75">
      <c r="A51" s="206" t="str">
        <f>A26</f>
        <v>* These columns/years have been hidden in this worksheet for viewing &amp; printing purposes</v>
      </c>
      <c r="B51" s="115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23"/>
      <c r="P51" s="100"/>
      <c r="Q51" s="100"/>
      <c r="R51" s="100"/>
      <c r="S51" s="100"/>
    </row>
    <row r="52" spans="3:19" ht="12.75"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3:19" ht="12.75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3:19" ht="12.75"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3:19" ht="12.75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3:19" ht="12.75"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3:19" ht="12.75"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3:19" ht="12.75"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3:19" ht="12.75"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3:19" ht="12.75"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3:19" ht="12.75"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3:19" ht="12.75"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3:19" ht="12.75"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3:19" ht="12.75"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3:19" ht="12.75"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3:19" ht="12.75"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3:19" ht="12.75"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3:19" ht="12.75"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3:19" ht="12.75"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3:19" ht="12.75"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3:19" ht="12.75"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3:19" ht="12.75"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3:19" ht="12.75"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3:19" ht="12.75"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3:19" ht="12.75"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3:19" ht="12.75"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3:19" ht="12.75"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3:19" ht="12.75"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3:19" ht="12.75"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3:19" ht="12.75"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3:19" ht="12.75"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3:19" ht="12.75"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3:19" ht="12.75"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3:19" ht="12.75"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3:19" ht="12.75"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3:19" ht="12.75"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3:19" ht="12.75"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3:19" ht="12.75"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3:19" ht="12.75"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3:19" ht="12.75"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3:19" ht="12.75"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3:19" ht="12.75"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3:19" ht="12.75"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3:19" ht="12.75"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3:19" ht="12.75"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3:19" ht="12.75"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3:19" ht="12.75"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3:19" ht="12.75"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3:19" ht="12.75"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3:19" ht="12.75"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3:19" ht="12.75"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3:19" ht="12.75"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3:19" ht="12.75"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3:19" ht="12.75"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3:19" ht="12.75"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3:19" ht="12.75"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3:19" ht="12.75"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3:19" ht="12.75"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3:19" ht="12.75"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3:19" ht="12.75"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3:19" ht="12.75"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3:19" ht="12.75"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3:19" ht="12.75"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3:19" ht="12.75"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3:19" ht="12.75"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3:19" ht="12.7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3:19" ht="12.7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3:19" ht="12.7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3:19" ht="12.75"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3:19" ht="12.75"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3:19" ht="12.75"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3:19" ht="12.75"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3:19" ht="12.75"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3:19" ht="12.75"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3:19" ht="12.75"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3:19" ht="12.75"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3:19" ht="12.75"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3:19" ht="12.75"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3:19" ht="12.75"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3:19" ht="12.75"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3:19" ht="12.75"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3:19" ht="12.75"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</row>
    <row r="133" spans="3:19" ht="12.75"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</row>
    <row r="134" spans="3:19" ht="12.75"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</row>
    <row r="135" spans="3:19" ht="12.75"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</row>
    <row r="136" spans="3:19" ht="12.75"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</row>
    <row r="137" spans="3:19" ht="12.75"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</row>
    <row r="138" spans="3:19" ht="12.75"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</row>
    <row r="139" spans="3:19" ht="12.75"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</row>
    <row r="140" spans="3:19" ht="12.75"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</row>
    <row r="141" spans="3:19" ht="12.75"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</row>
    <row r="142" spans="3:19" ht="12.75"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</row>
    <row r="143" spans="3:19" ht="12.75"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</row>
    <row r="144" spans="3:19" ht="12.75"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</row>
    <row r="145" spans="3:19" ht="12.75"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</row>
    <row r="146" spans="3:19" ht="12.75"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</row>
    <row r="147" spans="3:19" ht="12.75"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</row>
    <row r="148" spans="3:19" ht="12.75"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</row>
    <row r="149" spans="3:19" ht="12.75"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</row>
    <row r="150" spans="3:19" ht="12.75"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</row>
    <row r="151" spans="3:19" ht="12.75"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</row>
    <row r="152" spans="3:19" ht="12.75"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</row>
    <row r="153" spans="3:19" ht="12.75"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</row>
    <row r="154" spans="3:19" ht="12.75"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</row>
    <row r="155" spans="3:19" ht="12.75"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</row>
    <row r="156" spans="3:19" ht="12.75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</row>
    <row r="157" spans="3:19" ht="12.75"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</row>
    <row r="158" spans="3:19" ht="12.75"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</row>
    <row r="159" spans="3:19" ht="12.75"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</row>
    <row r="160" spans="3:19" ht="12.75"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</row>
    <row r="161" spans="3:19" ht="12.75"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</row>
    <row r="162" spans="3:19" ht="12.75"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</row>
    <row r="163" spans="3:19" ht="12.75"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</row>
    <row r="164" spans="3:19" ht="12.7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</row>
    <row r="165" spans="3:19" ht="12.75"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</row>
    <row r="166" spans="3:19" ht="12.75"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</row>
    <row r="167" spans="3:19" ht="12.75"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</row>
    <row r="168" spans="3:19" ht="12.75"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</row>
    <row r="169" spans="3:19" ht="12.75"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</row>
    <row r="170" spans="3:19" ht="12.75"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</row>
    <row r="171" spans="3:19" ht="12.75"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</row>
    <row r="172" spans="3:19" ht="12.75"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</row>
    <row r="173" spans="3:19" ht="12.75"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</row>
    <row r="174" spans="3:19" ht="12.75"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</row>
    <row r="175" spans="3:19" ht="12.75"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</row>
    <row r="176" spans="3:19" ht="12.75"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</row>
    <row r="177" spans="3:19" ht="12.75"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</row>
    <row r="178" spans="3:19" ht="12.75"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</row>
    <row r="179" spans="3:19" ht="12.75"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</row>
    <row r="180" spans="3:19" ht="12.75"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</row>
    <row r="181" spans="3:19" ht="12.75"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</row>
    <row r="182" spans="3:19" ht="12.75"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</row>
    <row r="183" spans="3:19" ht="12.75"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</row>
    <row r="184" spans="3:19" ht="12.75"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</row>
    <row r="185" spans="3:19" ht="12.75"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</row>
    <row r="186" spans="3:19" ht="12.75"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</row>
    <row r="187" spans="3:19" ht="12.75"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</row>
    <row r="188" spans="3:19" ht="12.75"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</row>
    <row r="189" spans="3:19" ht="12.75"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</row>
    <row r="190" spans="3:19" ht="12.75"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</row>
    <row r="191" spans="3:19" ht="12.75"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</row>
    <row r="192" spans="3:19" ht="12.75"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</row>
    <row r="193" spans="3:19" ht="12.75"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</row>
    <row r="194" spans="3:19" ht="12.75"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</row>
    <row r="195" spans="3:19" ht="12.75"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</row>
    <row r="196" spans="3:19" ht="12.75"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</row>
    <row r="197" spans="3:19" ht="12.75"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</row>
    <row r="198" spans="3:19" ht="12.75"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</row>
    <row r="199" spans="3:19" ht="12.75"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</row>
    <row r="200" spans="3:19" ht="12.75"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</row>
    <row r="201" spans="3:19" ht="12.75"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</row>
    <row r="202" spans="3:19" ht="12.75"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</row>
    <row r="203" spans="3:19" ht="12.75"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</row>
    <row r="204" spans="3:19" ht="12.75"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</row>
    <row r="205" spans="3:19" ht="12.75"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</row>
    <row r="206" spans="3:19" ht="12.75"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</row>
    <row r="207" spans="3:19" ht="12.75"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</row>
    <row r="208" spans="3:19" ht="12.75"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</row>
    <row r="209" spans="3:19" ht="12.75"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</row>
    <row r="210" spans="3:19" ht="12.75"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</row>
    <row r="211" spans="3:19" ht="12.75"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</row>
    <row r="212" spans="3:19" ht="12.75"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</row>
    <row r="213" spans="3:19" ht="12.75"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</row>
    <row r="214" spans="3:19" ht="12.75"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</row>
    <row r="215" spans="3:19" ht="12.75"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</row>
    <row r="216" spans="3:19" ht="12.75"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</row>
    <row r="217" spans="3:19" ht="12.75"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</row>
    <row r="218" spans="3:19" ht="12.75"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</row>
    <row r="219" spans="3:19" ht="12.75"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</row>
    <row r="220" spans="3:19" ht="12.75"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</row>
    <row r="221" spans="3:19" ht="12.75"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</row>
    <row r="222" spans="3:19" ht="12.75"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</row>
    <row r="223" spans="3:19" ht="12.75"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</row>
    <row r="224" spans="3:19" ht="12.75"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</row>
    <row r="225" spans="3:19" ht="12.75"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</row>
    <row r="226" spans="3:19" ht="12.75"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</row>
    <row r="227" spans="3:19" ht="12.75"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</row>
    <row r="228" spans="3:19" ht="12.75"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</row>
    <row r="229" spans="3:19" ht="12.75"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</row>
    <row r="230" spans="3:19" ht="12.75"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</row>
    <row r="231" spans="3:19" ht="12.75"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</row>
    <row r="232" spans="3:19" ht="12.75"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</row>
    <row r="233" spans="3:19" ht="12.75"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</row>
    <row r="234" spans="3:19" ht="12.75"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</row>
    <row r="235" spans="3:19" ht="12.75"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</row>
    <row r="236" spans="3:19" ht="12.75"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</row>
    <row r="237" spans="3:19" ht="12.75"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</row>
    <row r="238" spans="3:19" ht="12.75"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</row>
    <row r="239" spans="3:19" ht="12.75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</row>
    <row r="240" spans="3:19" ht="12.75"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</row>
    <row r="241" spans="3:19" ht="12.75"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</row>
    <row r="242" spans="3:19" ht="12.75"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</row>
    <row r="243" spans="3:19" ht="12.75"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</row>
    <row r="244" spans="3:19" ht="12.75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</row>
    <row r="245" spans="3:19" ht="12.75"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</row>
    <row r="246" spans="3:19" ht="12.75"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</row>
    <row r="247" spans="3:19" ht="12.75"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</row>
    <row r="248" spans="3:19" ht="12.75"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</row>
    <row r="249" spans="3:19" ht="12.75"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</row>
    <row r="250" spans="3:19" ht="12.75"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</row>
    <row r="251" spans="3:19" ht="12.75"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</row>
    <row r="252" spans="3:19" ht="12.75"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</row>
    <row r="253" spans="3:19" ht="12.75"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</row>
    <row r="254" spans="3:19" ht="12.75"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</row>
    <row r="255" spans="3:19" ht="12.75"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</row>
    <row r="256" spans="3:19" ht="12.75"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</row>
    <row r="257" spans="3:19" ht="12.75"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</row>
    <row r="258" spans="3:19" ht="12.75"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</row>
    <row r="259" spans="3:19" ht="12.75"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</row>
    <row r="260" spans="3:19" ht="12.75"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</row>
    <row r="261" spans="3:19" ht="12.75"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</row>
    <row r="262" spans="3:19" ht="12.75"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</row>
    <row r="263" spans="3:19" ht="12.75"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</row>
    <row r="264" spans="3:19" ht="12.75"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</row>
    <row r="265" spans="3:19" ht="12.75"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</row>
    <row r="266" spans="3:19" ht="12.75"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</row>
    <row r="267" spans="3:19" ht="12.75"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</row>
    <row r="268" spans="3:19" ht="12.75"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</row>
    <row r="269" spans="3:19" ht="12.75"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</row>
    <row r="270" spans="3:19" ht="12.75"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</row>
    <row r="271" spans="3:19" ht="12.75"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</row>
    <row r="272" spans="3:19" ht="12.75"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</row>
    <row r="273" spans="3:19" ht="12.75"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</row>
    <row r="274" spans="3:19" ht="12.75"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</row>
    <row r="275" spans="3:19" ht="12.75"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</row>
    <row r="276" spans="3:19" ht="12.75"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</row>
    <row r="277" spans="3:19" ht="12.75"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</row>
    <row r="278" spans="3:19" ht="12.75"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</row>
    <row r="279" spans="3:19" ht="12.75"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</row>
    <row r="280" spans="3:19" ht="12.75"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</row>
    <row r="281" spans="3:19" ht="12.75"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</row>
    <row r="282" spans="3:19" ht="12.75"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</row>
    <row r="283" spans="3:19" ht="12.75"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</row>
    <row r="284" spans="3:19" ht="12.75"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</row>
    <row r="285" spans="3:19" ht="12.75"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</row>
    <row r="286" spans="3:19" ht="12.75"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</row>
    <row r="287" spans="3:19" ht="12.75"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</row>
    <row r="288" spans="3:19" ht="12.75"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</row>
    <row r="289" spans="3:19" ht="12.75"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</row>
    <row r="290" spans="3:19" ht="12.75"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</row>
    <row r="291" spans="3:19" ht="12.75"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</row>
    <row r="292" spans="3:19" ht="12.75"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</row>
    <row r="293" spans="3:19" ht="12.75"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</row>
    <row r="294" spans="3:19" ht="12.75"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</row>
    <row r="295" spans="3:19" ht="12.75"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</row>
    <row r="296" spans="3:19" ht="12.75"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</row>
    <row r="297" spans="3:19" ht="12.75"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</row>
    <row r="298" spans="3:19" ht="12.75"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</row>
    <row r="299" spans="3:19" ht="12.75"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</row>
    <row r="300" spans="3:19" ht="12.75"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</row>
    <row r="301" spans="3:19" ht="12.75"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</row>
    <row r="302" spans="3:19" ht="12.75"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</row>
    <row r="303" spans="3:19" ht="12.75"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</row>
    <row r="304" spans="3:19" ht="12.75"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</row>
    <row r="305" spans="3:19" ht="12.75"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</row>
    <row r="306" spans="3:19" ht="12.75"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</row>
    <row r="307" spans="3:19" ht="12.75"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</row>
    <row r="308" spans="3:19" ht="12.75"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</row>
    <row r="309" spans="3:19" ht="12.75"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</row>
    <row r="310" spans="3:19" ht="12.75"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</row>
    <row r="311" spans="3:19" ht="12.75"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</row>
    <row r="312" spans="3:19" ht="12.75"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</row>
    <row r="313" spans="3:19" ht="12.75"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</row>
    <row r="314" spans="3:19" ht="12.75"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</row>
    <row r="315" spans="3:19" ht="12.75"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</row>
    <row r="316" spans="3:19" ht="12.75"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</row>
    <row r="317" spans="3:19" ht="12.75"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</row>
    <row r="318" spans="3:19" ht="12.75"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</row>
    <row r="319" spans="3:19" ht="12.75"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</row>
    <row r="320" spans="3:19" ht="12.75"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</row>
    <row r="321" spans="3:19" ht="12.75"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</row>
    <row r="322" spans="3:19" ht="12.75"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</row>
    <row r="323" spans="3:19" ht="12.75"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</row>
    <row r="324" spans="3:19" ht="12.75"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</row>
    <row r="325" spans="3:19" ht="12.75"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</row>
    <row r="326" spans="3:19" ht="12.75"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</row>
    <row r="327" spans="3:19" ht="12.75"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</row>
    <row r="328" spans="3:19" ht="12.75"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</row>
    <row r="329" spans="3:19" ht="12.75"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</row>
    <row r="330" spans="3:19" ht="12.75"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</row>
    <row r="331" spans="3:19" ht="12.75"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</row>
    <row r="332" spans="3:19" ht="12.75"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</row>
    <row r="333" spans="3:19" ht="12.75"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</row>
    <row r="334" spans="3:19" ht="12.75"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</row>
    <row r="335" spans="3:19" ht="12.75"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</row>
    <row r="336" spans="3:19" ht="12.75"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</row>
    <row r="337" spans="3:19" ht="12.75"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</row>
    <row r="338" spans="3:19" ht="12.75"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  <row r="365" spans="3:19" ht="12.75"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</row>
    <row r="366" spans="3:19" ht="12.75"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</row>
    <row r="367" spans="3:19" ht="12.75"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</row>
    <row r="368" spans="3:19" ht="12.75"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</row>
    <row r="369" spans="3:19" ht="12.75"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</row>
    <row r="370" spans="3:19" ht="12.75"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</row>
    <row r="371" spans="3:19" ht="12.75"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</row>
    <row r="372" spans="3:19" ht="12.75"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</row>
    <row r="373" spans="3:19" ht="12.75"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</row>
    <row r="374" spans="3:19" ht="12.75"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</row>
    <row r="375" spans="3:19" ht="12.75"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</row>
    <row r="376" spans="3:19" ht="12.75"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</row>
    <row r="377" spans="3:19" ht="12.75"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</row>
    <row r="378" spans="3:19" ht="12.75"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</row>
    <row r="379" spans="3:19" ht="12.75"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</row>
    <row r="380" spans="3:19" ht="12.75"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</row>
    <row r="381" spans="3:19" ht="12.75"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</row>
    <row r="382" spans="3:19" ht="12.75"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</row>
    <row r="383" spans="3:19" ht="12.75"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</row>
    <row r="384" spans="3:19" ht="12.75"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</row>
    <row r="385" spans="3:19" ht="12.75"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</row>
    <row r="386" spans="3:19" ht="12.75"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</row>
    <row r="387" spans="3:19" ht="12.75"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</row>
    <row r="388" spans="3:19" ht="12.75"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</row>
    <row r="389" spans="3:19" ht="12.75"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</row>
    <row r="390" spans="3:19" ht="12.75"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</row>
    <row r="391" spans="3:19" ht="12.75"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</row>
    <row r="392" spans="3:19" ht="12.75"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</row>
    <row r="393" spans="3:19" ht="12.75"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</row>
    <row r="394" spans="3:19" ht="12.75"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</row>
    <row r="395" spans="3:19" ht="12.75"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</row>
    <row r="396" spans="3:19" ht="12.75"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</row>
    <row r="397" spans="3:19" ht="12.7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</row>
    <row r="398" spans="3:19" ht="12.7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</row>
    <row r="399" spans="3:19" ht="12.7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</row>
    <row r="400" spans="3:19" ht="12.7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</row>
    <row r="401" spans="3:19" ht="12.7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</row>
    <row r="402" spans="3:19" ht="12.7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</row>
    <row r="403" spans="3:19" ht="12.7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</row>
    <row r="404" spans="3:19" ht="12.7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</row>
    <row r="405" spans="3:19" ht="12.7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</row>
    <row r="406" spans="3:19" ht="12.7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</row>
    <row r="407" spans="3:19" ht="12.7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</row>
    <row r="408" spans="3:19" ht="12.7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</row>
    <row r="409" spans="3:19" ht="12.7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</row>
    <row r="410" spans="3:19" ht="12.7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</row>
    <row r="411" spans="3:19" ht="12.7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</row>
    <row r="412" spans="3:19" ht="12.7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</row>
    <row r="413" spans="3:19" ht="12.7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</row>
    <row r="414" spans="3:19" ht="12.7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</row>
    <row r="415" spans="3:19" ht="12.7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</row>
    <row r="416" spans="3:19" ht="12.7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</row>
    <row r="417" spans="3:19" ht="12.7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</row>
    <row r="418" spans="3:19" ht="12.7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</row>
    <row r="419" spans="3:19" ht="12.7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</row>
    <row r="420" spans="3:19" ht="12.7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</row>
    <row r="421" spans="3:19" ht="12.7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</row>
    <row r="422" spans="3:19" ht="12.7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</row>
    <row r="423" spans="3:19" ht="12.7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</row>
    <row r="424" spans="3:19" ht="12.7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</row>
    <row r="425" spans="3:19" ht="12.7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</row>
    <row r="426" spans="3:19" ht="12.7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</row>
    <row r="427" spans="3:19" ht="12.7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</row>
    <row r="428" spans="3:19" ht="12.7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</row>
    <row r="429" spans="3:19" ht="12.7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</row>
    <row r="430" spans="3:19" ht="12.7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</row>
    <row r="431" spans="3:19" ht="12.7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</row>
    <row r="432" spans="3:19" ht="12.7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</row>
    <row r="433" spans="3:19" ht="12.7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</row>
    <row r="434" spans="3:19" ht="12.7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</row>
    <row r="435" spans="3:19" ht="12.7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</row>
    <row r="436" spans="3:19" ht="12.7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</row>
    <row r="437" spans="3:19" ht="12.7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</row>
    <row r="438" spans="3:19" ht="12.7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</row>
    <row r="439" spans="3:19" ht="12.7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</row>
    <row r="440" spans="3:19" ht="12.7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</row>
    <row r="441" spans="3:19" ht="12.7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</row>
    <row r="442" spans="3:19" ht="12.7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</row>
    <row r="443" spans="3:19" ht="12.75"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</row>
    <row r="444" spans="3:19" ht="12.75"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</row>
    <row r="445" spans="3:19" ht="12.75"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</row>
    <row r="446" spans="3:19" ht="12.75"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</row>
    <row r="447" spans="3:19" ht="12.75"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</row>
    <row r="448" spans="3:19" ht="12.75"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</row>
    <row r="449" spans="3:19" ht="12.75"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</row>
    <row r="450" spans="3:19" ht="12.75"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</row>
    <row r="451" spans="3:19" ht="12.75"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</row>
    <row r="452" spans="3:19" ht="12.75"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</row>
    <row r="453" spans="3:19" ht="12.75"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</row>
    <row r="454" spans="3:19" ht="12.75"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</row>
    <row r="455" spans="3:19" ht="12.75"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</row>
    <row r="456" spans="3:19" ht="12.75"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</row>
    <row r="457" spans="3:19" ht="12.75"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</row>
    <row r="458" spans="3:19" ht="12.75"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</row>
    <row r="459" spans="3:19" ht="12.75"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</row>
    <row r="460" spans="3:19" ht="12.75"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</row>
    <row r="461" spans="3:19" ht="12.75"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</row>
    <row r="462" spans="3:19" ht="12.75"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</row>
    <row r="463" spans="3:19" ht="12.75"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</row>
    <row r="464" spans="3:19" ht="12.75"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</row>
    <row r="465" spans="3:19" ht="12.75"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</row>
    <row r="466" spans="3:19" ht="12.75"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</row>
    <row r="467" spans="3:19" ht="12.75"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</row>
    <row r="468" spans="3:19" ht="12.75"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</row>
    <row r="469" spans="3:19" ht="12.75"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</row>
    <row r="470" spans="3:19" ht="12.75"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</row>
    <row r="471" spans="3:19" ht="12.75"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</row>
    <row r="472" spans="3:19" ht="12.75"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</row>
    <row r="473" spans="3:19" ht="12.75"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</row>
    <row r="474" spans="3:19" ht="12.75"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</row>
    <row r="475" spans="3:19" ht="12.75"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</row>
    <row r="476" spans="3:19" ht="12.75"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</row>
    <row r="477" spans="3:19" ht="12.75"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</row>
    <row r="478" spans="3:19" ht="12.75"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</row>
    <row r="479" spans="3:19" ht="12.75"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</row>
    <row r="480" spans="3:19" ht="12.75"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</row>
    <row r="481" spans="3:19" ht="12.75"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</row>
    <row r="482" spans="3:19" ht="12.75"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</row>
    <row r="483" spans="3:19" ht="12.75"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</row>
    <row r="484" spans="3:19" ht="12.75"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</row>
    <row r="485" spans="3:19" ht="12.75"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</row>
    <row r="486" spans="3:19" ht="12.75"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</row>
    <row r="487" spans="3:19" ht="12.75"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</row>
    <row r="488" spans="3:19" ht="12.75"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</row>
    <row r="489" spans="3:19" ht="12.75"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</row>
    <row r="490" spans="3:19" ht="12.75"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</row>
    <row r="491" spans="3:19" ht="12.75"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</row>
    <row r="492" spans="3:19" ht="12.75"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</row>
    <row r="493" spans="3:19" ht="12.75"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</row>
    <row r="494" spans="3:19" ht="12.75"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</row>
    <row r="495" spans="3:19" ht="12.75"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</row>
    <row r="496" spans="3:19" ht="12.75"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</row>
    <row r="497" spans="3:19" ht="12.75"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</row>
    <row r="498" spans="3:19" ht="12.75"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</row>
    <row r="499" spans="3:19" ht="12.75"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</row>
    <row r="500" spans="3:19" ht="12.75"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</row>
    <row r="501" spans="3:19" ht="12.75"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</row>
    <row r="502" spans="3:19" ht="12.75"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</row>
    <row r="503" spans="3:19" ht="12.75"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</row>
    <row r="504" spans="3:19" ht="12.75"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</row>
    <row r="505" spans="3:19" ht="12.75"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</row>
    <row r="506" spans="3:19" ht="12.75"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</row>
    <row r="507" spans="3:19" ht="12.75"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</row>
    <row r="508" spans="3:19" ht="12.75"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</row>
    <row r="509" spans="3:19" ht="12.75"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</row>
    <row r="510" spans="3:19" ht="12.75"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</row>
    <row r="511" spans="3:19" ht="12.75"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</row>
    <row r="512" spans="3:19" ht="12.75"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</row>
    <row r="513" spans="3:19" ht="12.75"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</row>
    <row r="514" spans="3:19" ht="12.75"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</row>
    <row r="515" spans="3:19" ht="12.75"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</row>
    <row r="516" spans="3:19" ht="12.75"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</row>
    <row r="517" spans="3:19" ht="12.75"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</row>
    <row r="518" spans="3:19" ht="12.75"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</row>
    <row r="519" spans="3:19" ht="12.75"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</row>
    <row r="520" spans="3:19" ht="12.75"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</row>
    <row r="521" spans="3:19" ht="12.75"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</row>
    <row r="522" spans="3:19" ht="12.75"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</row>
    <row r="523" spans="3:19" ht="12.75"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</row>
    <row r="524" spans="3:19" ht="12.75"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</row>
    <row r="525" spans="3:19" ht="12.75"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</row>
    <row r="526" spans="3:19" ht="12.75"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</row>
    <row r="527" spans="3:19" ht="12.75"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</row>
    <row r="528" spans="3:19" ht="12.75"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</row>
    <row r="529" spans="3:19" ht="12.75"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</row>
    <row r="530" spans="3:19" ht="12.75"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</row>
    <row r="531" spans="3:19" ht="12.75"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</row>
    <row r="532" spans="3:19" ht="12.75"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</row>
    <row r="533" spans="3:19" ht="12.75"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</row>
    <row r="534" spans="3:19" ht="12.75"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</row>
    <row r="535" spans="3:19" ht="12.75"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</row>
    <row r="536" spans="3:19" ht="12.75"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</row>
    <row r="537" spans="3:19" ht="12.75"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</row>
    <row r="538" spans="3:19" ht="12.75"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</row>
    <row r="539" spans="3:19" ht="12.75"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</row>
    <row r="540" spans="3:19" ht="12.75"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</row>
    <row r="541" spans="3:19" ht="12.75"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</row>
    <row r="542" spans="3:19" ht="12.75"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</row>
    <row r="543" spans="3:19" ht="12.75"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</row>
    <row r="544" spans="3:19" ht="12.75"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</row>
    <row r="545" spans="3:19" ht="12.75"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</row>
    <row r="546" spans="3:19" ht="12.75"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</row>
    <row r="547" spans="3:19" ht="12.75"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</row>
    <row r="548" spans="3:19" ht="12.75"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</row>
    <row r="549" spans="3:19" ht="12.75"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</row>
    <row r="550" spans="3:19" ht="12.75"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</row>
    <row r="551" spans="3:19" ht="12.75"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</row>
    <row r="552" spans="3:19" ht="12.75"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</row>
    <row r="553" spans="3:19" ht="12.75"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</row>
    <row r="554" spans="3:19" ht="12.75"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</row>
    <row r="555" spans="3:19" ht="12.75"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</row>
    <row r="556" spans="3:19" ht="12.75"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</row>
    <row r="557" spans="3:19" ht="12.75"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</row>
    <row r="558" spans="3:19" ht="12.75"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</row>
    <row r="559" spans="3:19" ht="12.75"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</row>
    <row r="560" spans="3:19" ht="12.75"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</row>
    <row r="561" spans="3:19" ht="12.75"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</row>
    <row r="562" spans="3:19" ht="12.75"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</row>
    <row r="563" spans="3:19" ht="12.75"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</row>
    <row r="564" spans="3:19" ht="12.75"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</row>
    <row r="565" spans="3:19" ht="12.75"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</row>
    <row r="566" spans="3:19" ht="12.75"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</row>
    <row r="567" spans="3:19" ht="12.75"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</row>
    <row r="568" spans="3:19" ht="12.75"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</row>
    <row r="569" spans="3:19" ht="12.75"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</row>
    <row r="570" spans="3:19" ht="12.75"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</row>
    <row r="571" spans="3:19" ht="12.75"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</row>
    <row r="572" spans="3:19" ht="12.75"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</row>
    <row r="573" spans="3:19" ht="12.75"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</row>
    <row r="574" spans="3:19" ht="12.75"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</row>
    <row r="575" spans="3:19" ht="12.75"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</row>
    <row r="576" spans="3:19" ht="12.75"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</row>
    <row r="577" spans="3:19" ht="12.75"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</row>
    <row r="578" spans="3:19" ht="12.75"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</row>
    <row r="579" spans="3:19" ht="12.75"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</row>
    <row r="580" spans="3:19" ht="12.75"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</row>
    <row r="581" spans="3:19" ht="12.75"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</row>
    <row r="582" spans="3:19" ht="12.75"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</row>
    <row r="583" spans="3:19" ht="12.75"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</row>
    <row r="584" spans="3:19" ht="12.75"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</row>
    <row r="585" spans="3:19" ht="12.75"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</row>
    <row r="586" spans="3:19" ht="12.75"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</row>
    <row r="587" spans="3:19" ht="12.75"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</row>
    <row r="588" spans="3:19" ht="12.75"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</row>
    <row r="589" spans="3:19" ht="12.75"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</row>
    <row r="590" spans="3:19" ht="12.75"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</row>
    <row r="591" spans="3:19" ht="12.75"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</row>
    <row r="592" spans="3:19" ht="12.75"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</row>
    <row r="593" spans="3:19" ht="12.75"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</row>
    <row r="594" spans="3:19" ht="12.75"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</row>
    <row r="595" spans="3:19" ht="12.75"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</row>
    <row r="596" spans="3:19" ht="12.75"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</row>
    <row r="597" spans="3:19" ht="12.75"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</row>
    <row r="598" spans="3:19" ht="12.75"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</row>
    <row r="599" spans="3:19" ht="12.75"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</row>
    <row r="600" spans="3:19" ht="12.75"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</row>
    <row r="601" spans="3:19" ht="12.75"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</row>
    <row r="602" spans="3:19" ht="12.75"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</row>
    <row r="603" spans="3:19" ht="12.75"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</row>
    <row r="604" spans="3:19" ht="12.75"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</row>
    <row r="605" spans="3:19" ht="12.75"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</row>
    <row r="606" spans="3:19" ht="12.75"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</row>
    <row r="607" spans="3:19" ht="12.75"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</row>
    <row r="608" spans="3:19" ht="12.75"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</row>
    <row r="609" spans="3:19" ht="12.75"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</row>
    <row r="610" spans="3:19" ht="12.75"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</row>
    <row r="611" spans="3:19" ht="12.75"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</row>
    <row r="612" spans="3:19" ht="12.75"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</row>
    <row r="613" spans="3:19" ht="12.75"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</row>
    <row r="614" spans="3:19" ht="12.75"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</row>
    <row r="615" spans="3:19" ht="12.75"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</row>
    <row r="616" spans="3:19" ht="12.75"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</row>
    <row r="617" spans="3:19" ht="12.75"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</row>
    <row r="618" spans="3:19" ht="12.75"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</row>
    <row r="619" spans="3:19" ht="12.75"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</row>
    <row r="620" spans="3:19" ht="12.75"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</row>
    <row r="621" spans="3:19" ht="12.75"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</row>
    <row r="622" spans="3:19" ht="12.75"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</row>
    <row r="623" spans="3:19" ht="12.75"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</row>
    <row r="624" spans="3:19" ht="12.75"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</row>
    <row r="625" spans="3:19" ht="12.75"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</row>
    <row r="626" spans="3:19" ht="12.75"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</row>
    <row r="627" spans="3:19" ht="12.75"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</row>
    <row r="628" spans="3:19" ht="12.75"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</row>
    <row r="629" spans="3:19" ht="12.75"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</row>
    <row r="630" spans="3:19" ht="12.75"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</row>
    <row r="631" spans="3:19" ht="12.75"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</row>
    <row r="632" spans="3:19" ht="12.75"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</row>
    <row r="633" spans="3:19" ht="12.75"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</row>
    <row r="634" spans="3:19" ht="12.75"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</row>
    <row r="635" spans="3:19" ht="12.75"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</row>
    <row r="636" spans="3:19" ht="12.75"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</row>
    <row r="637" spans="3:19" ht="12.75"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</row>
    <row r="638" spans="3:19" ht="12.75"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</row>
    <row r="639" spans="3:19" ht="12.75"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</row>
    <row r="640" spans="3:19" ht="12.75"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</row>
    <row r="641" spans="3:19" ht="12.75"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</row>
    <row r="642" spans="3:19" ht="12.75"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</row>
    <row r="643" spans="3:19" ht="12.75"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</row>
    <row r="644" spans="3:19" ht="12.75"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</row>
    <row r="645" spans="3:19" ht="12.75"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</row>
    <row r="646" spans="3:19" ht="12.75"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</row>
    <row r="647" spans="3:19" ht="12.75"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</row>
    <row r="648" spans="3:19" ht="12.75"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</row>
    <row r="649" spans="3:19" ht="12.75"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</row>
    <row r="650" spans="3:19" ht="12.75"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</row>
    <row r="651" spans="3:19" ht="12.75"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</row>
    <row r="652" spans="3:19" ht="12.75"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</row>
    <row r="653" spans="3:19" ht="12.75"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</row>
    <row r="654" spans="3:19" ht="12.75"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</row>
    <row r="655" spans="3:19" ht="12.75"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</row>
    <row r="656" spans="3:19" ht="12.75"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</row>
    <row r="657" spans="3:19" ht="12.75"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</row>
    <row r="658" spans="3:19" ht="12.75"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</row>
    <row r="659" spans="3:19" ht="12.75"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</row>
    <row r="660" spans="3:19" ht="12.75"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</row>
    <row r="661" spans="3:19" ht="12.75"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</row>
    <row r="662" spans="3:19" ht="12.75"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</row>
    <row r="663" spans="3:19" ht="12.75"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</row>
    <row r="664" spans="3:19" ht="12.75"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</row>
    <row r="665" spans="3:19" ht="12.75"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</row>
    <row r="666" spans="3:19" ht="12.75"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</row>
    <row r="667" spans="3:19" ht="12.75"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</row>
    <row r="668" spans="3:19" ht="12.75"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</row>
    <row r="669" spans="3:19" ht="12.75"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</row>
    <row r="670" spans="3:19" ht="12.75"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</row>
    <row r="671" spans="3:19" ht="12.75"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</row>
    <row r="672" spans="3:19" ht="12.75"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</row>
    <row r="673" spans="3:19" ht="12.75"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</row>
    <row r="674" spans="3:19" ht="12.75"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</row>
    <row r="675" spans="3:19" ht="12.75"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</row>
    <row r="676" spans="3:19" ht="12.75"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</row>
    <row r="677" spans="3:19" ht="12.75"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</row>
    <row r="678" spans="3:19" ht="12.75"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</row>
    <row r="679" spans="3:19" ht="12.75"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</row>
    <row r="680" spans="3:19" ht="12.75"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</row>
    <row r="681" spans="3:19" ht="12.75"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</row>
    <row r="682" spans="3:19" ht="12.75"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</row>
    <row r="683" spans="3:19" ht="12.75"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</row>
    <row r="684" spans="3:19" ht="12.75"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</row>
    <row r="685" spans="3:19" ht="12.75"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</row>
    <row r="686" spans="3:19" ht="12.75"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</row>
    <row r="687" spans="3:19" ht="12.75"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</row>
    <row r="688" spans="3:19" ht="12.75"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</row>
    <row r="689" spans="3:19" ht="12.75"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</row>
    <row r="690" spans="3:19" ht="12.75"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</row>
    <row r="691" spans="3:19" ht="12.75"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</row>
    <row r="692" spans="3:19" ht="12.75"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</row>
    <row r="693" spans="3:19" ht="12.75"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</row>
    <row r="694" spans="3:19" ht="12.75"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</row>
    <row r="695" spans="3:19" ht="12.75"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</row>
    <row r="696" spans="3:19" ht="12.75"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</row>
    <row r="697" spans="3:19" ht="12.75"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</row>
    <row r="698" spans="3:19" ht="12.75"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</row>
    <row r="699" spans="3:19" ht="12.75"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</row>
    <row r="700" spans="3:19" ht="12.75"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</row>
    <row r="701" spans="3:19" ht="12.75"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</row>
    <row r="702" spans="3:19" ht="12.75"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</row>
    <row r="703" spans="3:19" ht="12.75"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</row>
    <row r="704" spans="3:19" ht="12.75"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</row>
    <row r="705" spans="3:19" ht="12.75"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</row>
    <row r="706" spans="3:19" ht="12.75"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</row>
    <row r="707" spans="3:19" ht="12.75"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</row>
    <row r="708" spans="3:19" ht="12.75"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</row>
    <row r="709" spans="3:19" ht="12.75"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</row>
    <row r="710" spans="3:19" ht="12.75"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</row>
    <row r="711" spans="3:19" ht="12.75"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</row>
    <row r="712" spans="3:19" ht="12.75"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</row>
    <row r="713" spans="3:19" ht="12.75"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</row>
    <row r="714" spans="3:19" ht="12.75"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</row>
    <row r="715" spans="3:19" ht="12.75"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</row>
    <row r="716" spans="3:19" ht="12.75"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</row>
    <row r="717" spans="3:19" ht="12.75"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</row>
    <row r="718" spans="3:19" ht="12.75"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</row>
    <row r="719" spans="3:19" ht="12.75"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</row>
    <row r="720" spans="3:19" ht="12.75"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</row>
    <row r="721" spans="3:19" ht="12.75"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</row>
    <row r="722" spans="3:19" ht="12.75"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</row>
    <row r="723" spans="3:19" ht="12.75"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</row>
    <row r="724" spans="3:19" ht="12.75"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</row>
    <row r="725" spans="3:19" ht="12.75"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</row>
    <row r="726" spans="3:19" ht="12.75"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</row>
    <row r="727" spans="3:19" ht="12.75"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</row>
    <row r="728" spans="3:19" ht="12.75"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</row>
    <row r="729" spans="3:19" ht="12.75"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</row>
    <row r="730" spans="3:19" ht="12.75"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</row>
    <row r="731" spans="3:19" ht="12.75"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</row>
    <row r="732" spans="3:19" ht="12.75"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</row>
    <row r="733" spans="3:19" ht="12.75"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</row>
    <row r="734" spans="3:19" ht="12.75"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</row>
    <row r="735" spans="3:19" ht="12.75"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</row>
    <row r="736" spans="3:19" ht="12.75"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</row>
    <row r="737" spans="3:19" ht="12.75"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</row>
    <row r="738" spans="3:19" ht="12.75"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</row>
    <row r="739" spans="3:19" ht="12.75"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</row>
    <row r="740" spans="3:19" ht="12.75"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</row>
    <row r="741" spans="3:19" ht="12.75"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</row>
    <row r="742" spans="3:19" ht="12.75"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</row>
    <row r="743" spans="3:19" ht="12.75"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</row>
    <row r="744" spans="3:19" ht="12.75"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</row>
    <row r="745" spans="3:19" ht="12.75"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</row>
    <row r="746" spans="3:19" ht="12.75"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</row>
    <row r="747" spans="3:19" ht="12.75"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</row>
    <row r="748" spans="3:19" ht="12.75"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</row>
    <row r="749" spans="3:19" ht="12.75"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</row>
    <row r="750" spans="3:19" ht="12.75"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</row>
    <row r="751" spans="3:19" ht="12.75"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</row>
    <row r="752" spans="3:19" ht="12.75"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</row>
    <row r="753" spans="3:19" ht="12.75"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</row>
    <row r="754" spans="3:19" ht="12.75"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</row>
    <row r="755" spans="3:19" ht="12.75"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</row>
    <row r="756" spans="3:19" ht="12.75"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</row>
    <row r="757" spans="3:19" ht="12.75"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</row>
    <row r="758" spans="3:19" ht="12.75"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</row>
    <row r="759" spans="3:19" ht="12.75"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</row>
    <row r="760" spans="3:19" ht="12.75"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</row>
    <row r="761" spans="3:19" ht="12.75"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</row>
    <row r="762" spans="3:19" ht="12.75"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</row>
    <row r="763" spans="3:19" ht="12.75"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</row>
    <row r="764" spans="3:19" ht="12.75"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</row>
    <row r="765" spans="3:19" ht="12.75"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</row>
    <row r="766" spans="3:19" ht="12.75"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</row>
    <row r="767" spans="3:19" ht="12.75"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</row>
    <row r="768" spans="3:19" ht="12.75"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</row>
    <row r="769" spans="3:19" ht="12.75"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</row>
    <row r="770" spans="3:19" ht="12.75"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</row>
    <row r="771" spans="3:19" ht="12.75"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</row>
    <row r="772" spans="3:19" ht="12.75"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</row>
    <row r="773" spans="3:19" ht="12.75"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</row>
    <row r="774" spans="3:19" ht="12.75"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</row>
    <row r="775" spans="3:19" ht="12.75"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</row>
    <row r="776" spans="3:19" ht="12.75"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</row>
    <row r="777" spans="3:19" ht="12.75"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</row>
    <row r="778" spans="3:19" ht="12.75"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</row>
    <row r="779" spans="3:19" ht="12.75"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</row>
    <row r="780" spans="3:19" ht="12.75"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</row>
    <row r="781" spans="3:19" ht="12.75"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</row>
    <row r="782" spans="3:19" ht="12.75"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</row>
    <row r="783" spans="3:19" ht="12.75"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</row>
    <row r="784" spans="3:19" ht="12.75"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</row>
    <row r="785" spans="3:19" ht="12.75"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</row>
    <row r="786" spans="3:19" ht="12.75"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</row>
    <row r="787" spans="3:19" ht="12.75"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</row>
    <row r="788" spans="3:19" ht="12.75"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</row>
    <row r="789" spans="3:19" ht="12.75"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</row>
    <row r="790" spans="3:19" ht="12.75"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</row>
    <row r="791" spans="3:19" ht="12.75"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</row>
    <row r="792" spans="3:19" ht="12.75"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</row>
    <row r="793" spans="3:19" ht="12.75"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</row>
    <row r="794" spans="3:19" ht="12.75"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</row>
    <row r="795" spans="3:19" ht="12.75"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</row>
    <row r="796" spans="3:19" ht="12.75"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</row>
    <row r="797" spans="3:19" ht="12.75"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</row>
    <row r="798" spans="3:19" ht="12.75"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</row>
    <row r="799" spans="3:19" ht="12.75"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</row>
    <row r="800" spans="3:19" ht="12.75"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</row>
    <row r="801" spans="3:19" ht="12.75"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</row>
    <row r="802" spans="3:19" ht="12.75"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</row>
    <row r="803" spans="3:19" ht="12.75"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</row>
    <row r="804" spans="3:19" ht="12.75"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</row>
    <row r="805" spans="3:19" ht="12.75"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</row>
    <row r="806" spans="3:19" ht="12.75"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</row>
    <row r="807" spans="3:19" ht="12.75"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</row>
    <row r="808" spans="3:19" ht="12.75"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</row>
    <row r="809" spans="3:19" ht="12.75"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</row>
    <row r="810" spans="3:19" ht="12.75"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</row>
    <row r="811" spans="3:19" ht="12.75"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</row>
    <row r="812" spans="3:19" ht="12.75"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</row>
    <row r="813" spans="3:19" ht="12.75"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</row>
    <row r="814" spans="3:19" ht="12.75"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</row>
    <row r="815" spans="3:19" ht="12.75"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</row>
    <row r="816" spans="3:19" ht="12.75"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</row>
    <row r="817" spans="3:19" ht="12.75"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</row>
    <row r="818" spans="3:19" ht="12.75"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</row>
    <row r="819" spans="3:19" ht="12.75"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</row>
    <row r="820" spans="3:19" ht="12.75"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</row>
    <row r="821" spans="3:19" ht="12.75"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</row>
    <row r="822" spans="3:19" ht="12.75"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</row>
    <row r="823" spans="3:19" ht="12.75"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</row>
    <row r="824" spans="3:19" ht="12.75"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</row>
    <row r="825" spans="3:19" ht="12.75"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</row>
    <row r="826" spans="3:19" ht="12.75"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</row>
    <row r="827" spans="3:19" ht="12.75"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</row>
    <row r="828" spans="3:19" ht="12.75"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</row>
    <row r="829" spans="3:19" ht="12.75"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</row>
    <row r="830" spans="3:19" ht="12.75"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</row>
    <row r="831" spans="3:19" ht="12.75"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</row>
    <row r="832" spans="3:19" ht="12.75"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</row>
    <row r="833" spans="3:19" ht="12.75"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</row>
    <row r="834" spans="3:19" ht="12.75"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</row>
    <row r="835" spans="3:19" ht="12.75"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</row>
    <row r="836" spans="3:19" ht="12.75"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</row>
    <row r="837" spans="3:19" ht="12.75"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</row>
    <row r="838" spans="3:19" ht="12.75"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</row>
    <row r="839" spans="3:19" ht="12.75"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</row>
    <row r="840" spans="3:19" ht="12.75"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</row>
    <row r="841" spans="3:19" ht="12.75"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</row>
    <row r="842" spans="3:19" ht="12.75"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</row>
    <row r="843" spans="3:19" ht="12.75"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</row>
    <row r="844" spans="3:19" ht="12.75"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</row>
    <row r="845" spans="3:19" ht="12.75"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</row>
    <row r="846" spans="3:19" ht="12.75"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</row>
  </sheetData>
  <sheetProtection/>
  <mergeCells count="9">
    <mergeCell ref="A1:N1"/>
    <mergeCell ref="A40:K40"/>
    <mergeCell ref="A46:K46"/>
    <mergeCell ref="A3:K3"/>
    <mergeCell ref="A9:K9"/>
    <mergeCell ref="A15:K15"/>
    <mergeCell ref="A21:K21"/>
    <mergeCell ref="A28:K28"/>
    <mergeCell ref="A34:K34"/>
  </mergeCells>
  <printOptions/>
  <pageMargins left="0.55" right="0.57" top="0.57" bottom="0.62" header="0.5" footer="0.33"/>
  <pageSetup fitToHeight="1" fitToWidth="1" horizontalDpi="600" verticalDpi="600" orientation="landscape" scale="73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1"/>
  <sheetViews>
    <sheetView showGridLines="0" zoomScalePageLayoutView="0" workbookViewId="0" topLeftCell="A1">
      <selection activeCell="A1" sqref="A1:F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6" ht="15.75">
      <c r="A1" s="382" t="s">
        <v>30</v>
      </c>
      <c r="B1" s="382"/>
      <c r="C1" s="382"/>
      <c r="D1" s="382"/>
      <c r="E1" s="382"/>
      <c r="F1" s="382"/>
    </row>
    <row r="2" spans="1:9" ht="12.75">
      <c r="A2" s="21"/>
      <c r="B2" s="28">
        <v>2001</v>
      </c>
      <c r="C2" s="28">
        <v>2002</v>
      </c>
      <c r="D2" s="28">
        <v>2003</v>
      </c>
      <c r="E2" s="28">
        <v>2004</v>
      </c>
      <c r="F2" s="28" t="s">
        <v>1</v>
      </c>
      <c r="G2" s="3"/>
      <c r="H2" s="3"/>
      <c r="I2" s="3"/>
    </row>
    <row r="3" spans="1:9" ht="12.75">
      <c r="A3" s="43" t="s">
        <v>65</v>
      </c>
      <c r="B3" s="40"/>
      <c r="C3" s="40"/>
      <c r="D3" s="40"/>
      <c r="E3" s="40"/>
      <c r="F3" s="40"/>
      <c r="G3" s="3"/>
      <c r="H3" s="3"/>
      <c r="I3" s="3"/>
    </row>
    <row r="4" spans="1:9" ht="12.75">
      <c r="A4" s="15" t="s">
        <v>131</v>
      </c>
      <c r="B4" s="287">
        <v>6740</v>
      </c>
      <c r="C4" s="287">
        <v>7246</v>
      </c>
      <c r="D4" s="287">
        <v>7906</v>
      </c>
      <c r="E4" s="287">
        <v>935</v>
      </c>
      <c r="F4" s="287">
        <f>SUM(B4:E4)</f>
        <v>22827</v>
      </c>
      <c r="G4" s="3"/>
      <c r="H4" s="3"/>
      <c r="I4" s="3"/>
    </row>
    <row r="5" spans="1:6" ht="42" customHeight="1">
      <c r="A5" s="384" t="s">
        <v>343</v>
      </c>
      <c r="B5" s="384"/>
      <c r="C5" s="384"/>
      <c r="D5" s="384"/>
      <c r="E5" s="384"/>
      <c r="F5" s="384"/>
    </row>
    <row r="6" ht="12.75" customHeight="1"/>
    <row r="7" spans="1:9" ht="12.75">
      <c r="A7" s="30" t="s">
        <v>42</v>
      </c>
      <c r="B7" s="41"/>
      <c r="C7" s="41"/>
      <c r="D7" s="41"/>
      <c r="E7" s="41"/>
      <c r="F7" s="40"/>
      <c r="G7" s="3"/>
      <c r="H7" s="3"/>
      <c r="I7" s="3"/>
    </row>
    <row r="8" spans="1:6" s="3" customFormat="1" ht="12.75">
      <c r="A8" s="15" t="s">
        <v>69</v>
      </c>
      <c r="B8" s="287">
        <v>7825</v>
      </c>
      <c r="C8" s="287">
        <v>7516</v>
      </c>
      <c r="D8" s="287">
        <v>5916</v>
      </c>
      <c r="E8" s="287">
        <v>496</v>
      </c>
      <c r="F8" s="287">
        <f>SUM(B8:E8)</f>
        <v>21753</v>
      </c>
    </row>
    <row r="9" spans="1:6" s="3" customFormat="1" ht="12.75">
      <c r="A9" s="21"/>
      <c r="B9" s="42"/>
      <c r="C9" s="42"/>
      <c r="D9" s="42"/>
      <c r="E9" s="42"/>
      <c r="F9" s="42"/>
    </row>
    <row r="10" spans="1:6" s="3" customFormat="1" ht="12.75">
      <c r="A10" s="43" t="s">
        <v>43</v>
      </c>
      <c r="F10" s="44"/>
    </row>
    <row r="11" spans="1:6" s="3" customFormat="1" ht="12.75">
      <c r="A11" s="16" t="s">
        <v>136</v>
      </c>
      <c r="B11" s="265">
        <v>239060</v>
      </c>
      <c r="C11" s="265">
        <v>226830</v>
      </c>
      <c r="D11" s="265">
        <v>218392</v>
      </c>
      <c r="E11" s="265">
        <v>228655</v>
      </c>
      <c r="F11" s="265"/>
    </row>
    <row r="12" spans="1:6" s="3" customFormat="1" ht="12.75">
      <c r="A12" s="21"/>
      <c r="B12" s="44"/>
      <c r="C12" s="44"/>
      <c r="D12" s="44"/>
      <c r="E12" s="44"/>
      <c r="F12" s="44"/>
    </row>
    <row r="13" spans="1:6" s="3" customFormat="1" ht="12.75">
      <c r="A13" s="43" t="s">
        <v>70</v>
      </c>
      <c r="B13" s="40" t="s">
        <v>11</v>
      </c>
      <c r="C13" s="40" t="s">
        <v>11</v>
      </c>
      <c r="D13" s="40" t="s">
        <v>11</v>
      </c>
      <c r="E13" s="40" t="s">
        <v>11</v>
      </c>
      <c r="F13" s="40"/>
    </row>
    <row r="14" spans="1:6" ht="12.75">
      <c r="A14" s="15" t="s">
        <v>36</v>
      </c>
      <c r="B14" s="265">
        <v>204971</v>
      </c>
      <c r="C14" s="265">
        <v>196222</v>
      </c>
      <c r="D14" s="265">
        <v>194531</v>
      </c>
      <c r="E14" s="265">
        <v>173164</v>
      </c>
      <c r="F14" s="265"/>
    </row>
    <row r="16" spans="1:2" ht="12.75">
      <c r="A16" s="21" t="s">
        <v>71</v>
      </c>
      <c r="B16" s="7"/>
    </row>
    <row r="17" ht="12.75">
      <c r="A17" s="7" t="s">
        <v>92</v>
      </c>
    </row>
    <row r="18" spans="2:7" ht="12.75">
      <c r="B18" s="8"/>
      <c r="G18" s="8"/>
    </row>
    <row r="19" spans="2:10" ht="12.75">
      <c r="B19" s="9"/>
      <c r="C19" s="9"/>
      <c r="D19" s="9"/>
      <c r="E19" s="9"/>
      <c r="F19" s="9"/>
      <c r="G19" s="9"/>
      <c r="H19" s="9"/>
      <c r="I19" s="9"/>
      <c r="J19" s="9"/>
    </row>
    <row r="20" ht="12.75">
      <c r="B20" s="3"/>
    </row>
    <row r="21" ht="12.75">
      <c r="A21" s="2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"/>
      <c r="B23" s="10"/>
      <c r="C23" s="10"/>
      <c r="D23" s="10"/>
      <c r="E23" s="10"/>
      <c r="F23" s="10"/>
      <c r="G23" s="10"/>
      <c r="H23" s="10"/>
      <c r="I23" s="10"/>
      <c r="J23" s="10"/>
    </row>
    <row r="24" spans="2:7" ht="12.75">
      <c r="B24" s="8"/>
      <c r="G24" s="8"/>
    </row>
    <row r="25" ht="12.75">
      <c r="A25" s="2"/>
    </row>
    <row r="26" spans="1:10" ht="12.75">
      <c r="A26" s="2"/>
      <c r="B26" s="9"/>
      <c r="C26" s="9"/>
      <c r="D26" s="9"/>
      <c r="E26" s="9"/>
      <c r="F26" s="9"/>
      <c r="G26" s="9"/>
      <c r="H26" s="9"/>
      <c r="I26" s="9"/>
      <c r="J26" s="9"/>
    </row>
    <row r="27" spans="2:10" ht="12.75">
      <c r="B27" s="9"/>
      <c r="C27" s="9"/>
      <c r="D27" s="9"/>
      <c r="E27" s="9"/>
      <c r="F27" s="9"/>
      <c r="G27" s="9"/>
      <c r="H27" s="9"/>
      <c r="I27" s="9"/>
      <c r="J27" s="9"/>
    </row>
    <row r="28" ht="12.75">
      <c r="B28" s="3"/>
    </row>
    <row r="29" ht="12.75">
      <c r="A29" s="2"/>
    </row>
    <row r="30" spans="1:10" ht="12.75">
      <c r="A30" s="2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2">
    <mergeCell ref="A5:F5"/>
    <mergeCell ref="A1:F1"/>
  </mergeCells>
  <printOptions/>
  <pageMargins left="0.55" right="0.57" top="1" bottom="1" header="0.5" footer="0.5"/>
  <pageSetup horizontalDpi="600" verticalDpi="600" orientation="landscape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5.75">
      <c r="A1" s="382" t="s">
        <v>66</v>
      </c>
      <c r="B1" s="383"/>
      <c r="C1" s="383"/>
      <c r="D1" s="383"/>
      <c r="E1" s="383"/>
      <c r="F1" s="383"/>
      <c r="G1" s="383"/>
      <c r="H1" s="383"/>
      <c r="I1" s="383"/>
    </row>
    <row r="2" ht="12.75">
      <c r="A2" s="24"/>
    </row>
    <row r="3" spans="1:9" ht="12.75">
      <c r="A3" s="30" t="s">
        <v>255</v>
      </c>
      <c r="B3" s="28">
        <v>2003</v>
      </c>
      <c r="C3" s="28">
        <v>2004</v>
      </c>
      <c r="D3" s="28">
        <v>2005</v>
      </c>
      <c r="E3" s="28">
        <v>2006</v>
      </c>
      <c r="F3" s="28">
        <v>2007</v>
      </c>
      <c r="G3" s="28">
        <v>2008</v>
      </c>
      <c r="H3" s="28">
        <v>2009</v>
      </c>
      <c r="I3" s="28" t="s">
        <v>1</v>
      </c>
    </row>
    <row r="4" spans="1:9" ht="12.75">
      <c r="A4" s="18" t="s">
        <v>119</v>
      </c>
      <c r="B4" s="255">
        <v>2000</v>
      </c>
      <c r="C4" s="255">
        <v>3000</v>
      </c>
      <c r="D4" s="255">
        <v>4000</v>
      </c>
      <c r="E4" s="255">
        <v>4000</v>
      </c>
      <c r="F4" s="255">
        <v>6736</v>
      </c>
      <c r="G4" s="255">
        <v>7950</v>
      </c>
      <c r="H4" s="255"/>
      <c r="I4" s="255"/>
    </row>
    <row r="5" spans="1:9" ht="12.75">
      <c r="A5" s="16" t="s">
        <v>254</v>
      </c>
      <c r="B5" s="257">
        <f aca="true" t="shared" si="0" ref="B5:G5">B4*1000</f>
        <v>2000000</v>
      </c>
      <c r="C5" s="257">
        <f t="shared" si="0"/>
        <v>3000000</v>
      </c>
      <c r="D5" s="257">
        <f t="shared" si="0"/>
        <v>4000000</v>
      </c>
      <c r="E5" s="257">
        <f t="shared" si="0"/>
        <v>4000000</v>
      </c>
      <c r="F5" s="257">
        <f t="shared" si="0"/>
        <v>6736000</v>
      </c>
      <c r="G5" s="257">
        <f t="shared" si="0"/>
        <v>7950000</v>
      </c>
      <c r="H5" s="257">
        <v>4956762</v>
      </c>
      <c r="I5" s="257">
        <f>SUM(B5:H5)</f>
        <v>32642762</v>
      </c>
    </row>
    <row r="6" spans="1:9" ht="29.25" customHeight="1">
      <c r="A6" s="396" t="s">
        <v>343</v>
      </c>
      <c r="B6" s="396"/>
      <c r="C6" s="396"/>
      <c r="D6" s="396"/>
      <c r="E6" s="396"/>
      <c r="F6" s="396"/>
      <c r="G6" s="396"/>
      <c r="H6" s="396"/>
      <c r="I6" s="396"/>
    </row>
    <row r="7" spans="1:9" ht="13.5" customHeight="1">
      <c r="A7" s="135"/>
      <c r="B7" s="135"/>
      <c r="C7" s="135"/>
      <c r="D7" s="135"/>
      <c r="E7" s="135"/>
      <c r="F7" s="135"/>
      <c r="G7" s="135"/>
      <c r="H7" s="135"/>
      <c r="I7" s="135"/>
    </row>
    <row r="8" spans="1:9" ht="12.75">
      <c r="A8" s="30" t="s">
        <v>310</v>
      </c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5" t="s">
        <v>32</v>
      </c>
      <c r="B9" s="255">
        <v>39</v>
      </c>
      <c r="C9" s="255">
        <v>2429</v>
      </c>
      <c r="D9" s="255">
        <v>2572</v>
      </c>
      <c r="E9" s="255">
        <v>1123</v>
      </c>
      <c r="F9" s="255">
        <v>2786</v>
      </c>
      <c r="G9" s="255">
        <v>3043</v>
      </c>
      <c r="H9" s="255">
        <v>3709765</v>
      </c>
      <c r="I9" s="255"/>
    </row>
    <row r="10" spans="1:9" ht="12.75">
      <c r="A10" s="15" t="s">
        <v>20</v>
      </c>
      <c r="B10" s="255">
        <v>1052</v>
      </c>
      <c r="C10" s="255">
        <v>382</v>
      </c>
      <c r="D10" s="255">
        <v>1067</v>
      </c>
      <c r="E10" s="255">
        <v>2118</v>
      </c>
      <c r="F10" s="255">
        <v>1175</v>
      </c>
      <c r="G10" s="255">
        <v>1667</v>
      </c>
      <c r="H10" s="255"/>
      <c r="I10" s="255"/>
    </row>
    <row r="11" spans="1:9" ht="12.75">
      <c r="A11" s="15" t="s">
        <v>33</v>
      </c>
      <c r="B11" s="255">
        <f aca="true" t="shared" si="1" ref="B11:G11">SUM(B9:B10)</f>
        <v>1091</v>
      </c>
      <c r="C11" s="255">
        <f t="shared" si="1"/>
        <v>2811</v>
      </c>
      <c r="D11" s="255">
        <f t="shared" si="1"/>
        <v>3639</v>
      </c>
      <c r="E11" s="255">
        <f t="shared" si="1"/>
        <v>3241</v>
      </c>
      <c r="F11" s="255">
        <f t="shared" si="1"/>
        <v>3961</v>
      </c>
      <c r="G11" s="255">
        <f t="shared" si="1"/>
        <v>4710</v>
      </c>
      <c r="H11" s="255"/>
      <c r="I11" s="255"/>
    </row>
    <row r="12" spans="1:9" ht="12.75">
      <c r="A12" s="16" t="s">
        <v>254</v>
      </c>
      <c r="B12" s="257">
        <f aca="true" t="shared" si="2" ref="B12:G12">B11*1000</f>
        <v>1091000</v>
      </c>
      <c r="C12" s="257">
        <f t="shared" si="2"/>
        <v>2811000</v>
      </c>
      <c r="D12" s="257">
        <f t="shared" si="2"/>
        <v>3639000</v>
      </c>
      <c r="E12" s="257">
        <f t="shared" si="2"/>
        <v>3241000</v>
      </c>
      <c r="F12" s="257">
        <f t="shared" si="2"/>
        <v>3961000</v>
      </c>
      <c r="G12" s="257">
        <f t="shared" si="2"/>
        <v>4710000</v>
      </c>
      <c r="H12" s="257">
        <f>SUM(H9:H11)</f>
        <v>3709765</v>
      </c>
      <c r="I12" s="257">
        <f>SUM(B12:H12)</f>
        <v>23162765</v>
      </c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ht="12.75">
      <c r="A14" s="30" t="s">
        <v>67</v>
      </c>
    </row>
    <row r="15" spans="1:9" ht="12.75">
      <c r="A15" s="14"/>
      <c r="B15" s="261">
        <v>2216</v>
      </c>
      <c r="C15" s="261">
        <f>560+927</f>
        <v>1487</v>
      </c>
      <c r="D15" s="261">
        <v>4850</v>
      </c>
      <c r="E15" s="261">
        <v>2004</v>
      </c>
      <c r="F15" s="261">
        <v>1978</v>
      </c>
      <c r="G15" s="261">
        <v>8982</v>
      </c>
      <c r="H15" s="261">
        <v>11256</v>
      </c>
      <c r="I15" s="261">
        <f>SUM(B15:H15)</f>
        <v>32773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2.75">
      <c r="A17" s="30" t="s">
        <v>173</v>
      </c>
      <c r="D17" s="3" t="s">
        <v>8</v>
      </c>
      <c r="E17" s="3" t="s">
        <v>194</v>
      </c>
      <c r="F17" s="3" t="s">
        <v>8</v>
      </c>
      <c r="G17" s="26" t="s">
        <v>8</v>
      </c>
      <c r="H17" s="26" t="s">
        <v>8</v>
      </c>
      <c r="I17" s="3" t="s">
        <v>8</v>
      </c>
    </row>
    <row r="18" spans="1:9" ht="12.75">
      <c r="A18" s="22"/>
      <c r="B18" s="292" t="s">
        <v>68</v>
      </c>
      <c r="C18" s="292" t="s">
        <v>68</v>
      </c>
      <c r="D18" s="261">
        <v>4118</v>
      </c>
      <c r="E18" s="261">
        <v>1897</v>
      </c>
      <c r="F18" s="261">
        <v>1127</v>
      </c>
      <c r="G18" s="261">
        <v>373</v>
      </c>
      <c r="H18" s="261">
        <v>455</v>
      </c>
      <c r="I18" s="261">
        <f>SUM(B18:H18)</f>
        <v>7970</v>
      </c>
    </row>
    <row r="20" spans="1:9" ht="12.75">
      <c r="A20" s="1" t="s">
        <v>174</v>
      </c>
      <c r="D20" s="3" t="s">
        <v>8</v>
      </c>
      <c r="E20" s="3" t="s">
        <v>8</v>
      </c>
      <c r="F20" s="3" t="s">
        <v>8</v>
      </c>
      <c r="G20" s="26" t="s">
        <v>8</v>
      </c>
      <c r="H20" s="26" t="s">
        <v>8</v>
      </c>
      <c r="I20" s="3" t="s">
        <v>8</v>
      </c>
    </row>
    <row r="21" spans="1:9" ht="12.75">
      <c r="A21" s="22"/>
      <c r="B21" s="261"/>
      <c r="C21" s="261"/>
      <c r="D21" s="261"/>
      <c r="E21" s="261">
        <v>10479</v>
      </c>
      <c r="F21" s="261">
        <v>10334</v>
      </c>
      <c r="G21" s="261">
        <v>11570</v>
      </c>
      <c r="H21" s="261">
        <v>14106</v>
      </c>
      <c r="I21" s="261">
        <f>SUM(B21:H21)</f>
        <v>46489</v>
      </c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1" t="s">
        <v>175</v>
      </c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</row>
    <row r="24" spans="1:9" ht="12.75">
      <c r="A24" s="22"/>
      <c r="B24" s="261"/>
      <c r="C24" s="261"/>
      <c r="D24" s="261"/>
      <c r="E24" s="261"/>
      <c r="F24" s="261"/>
      <c r="G24" s="261"/>
      <c r="H24" s="261"/>
      <c r="I24" s="261"/>
    </row>
    <row r="26" ht="12.75">
      <c r="A26" t="s">
        <v>195</v>
      </c>
    </row>
  </sheetData>
  <sheetProtection/>
  <mergeCells count="2">
    <mergeCell ref="A1:I1"/>
    <mergeCell ref="A6:I6"/>
  </mergeCells>
  <printOptions/>
  <pageMargins left="0.55" right="0.57" top="1" bottom="1" header="0.5" footer="0.5"/>
  <pageSetup fitToHeight="1" fitToWidth="1" horizontalDpi="600" verticalDpi="600" orientation="landscape" scale="8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52"/>
  <sheetViews>
    <sheetView showGridLines="0" zoomScalePageLayoutView="0" workbookViewId="0" topLeftCell="A1">
      <selection activeCell="A1" sqref="A1:L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7109375" style="6" bestFit="1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5.75">
      <c r="A1" s="382" t="s">
        <v>168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5" ht="12.75">
      <c r="A2" s="43" t="s">
        <v>372</v>
      </c>
      <c r="M2" s="3"/>
      <c r="N2" s="3"/>
      <c r="O2" s="3"/>
    </row>
    <row r="3" spans="1:15" ht="25.5">
      <c r="A3" s="43" t="s">
        <v>309</v>
      </c>
      <c r="B3" s="28">
        <v>2001</v>
      </c>
      <c r="C3" s="28">
        <v>2002</v>
      </c>
      <c r="D3" s="28" t="s">
        <v>294</v>
      </c>
      <c r="E3" s="28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126" t="s">
        <v>280</v>
      </c>
      <c r="M3" s="3"/>
      <c r="N3" s="3"/>
      <c r="O3" s="3"/>
    </row>
    <row r="4" spans="1:15" ht="12.75">
      <c r="A4" s="32" t="s">
        <v>125</v>
      </c>
      <c r="B4" s="287">
        <f>11500*1000</f>
        <v>11500000</v>
      </c>
      <c r="C4" s="287">
        <f>14916*1000</f>
        <v>14916000</v>
      </c>
      <c r="D4" s="287"/>
      <c r="E4" s="287">
        <v>2000000</v>
      </c>
      <c r="F4" s="287">
        <v>2000000</v>
      </c>
      <c r="G4" s="287"/>
      <c r="H4" s="287"/>
      <c r="I4" s="287"/>
      <c r="J4" s="287"/>
      <c r="K4" s="287"/>
      <c r="L4" s="287"/>
      <c r="M4" s="3"/>
      <c r="N4" s="3"/>
      <c r="O4" s="3"/>
    </row>
    <row r="5" spans="1:15" ht="25.5">
      <c r="A5" s="38" t="s">
        <v>113</v>
      </c>
      <c r="B5" s="287">
        <v>0</v>
      </c>
      <c r="C5" s="287">
        <v>0</v>
      </c>
      <c r="D5" s="287"/>
      <c r="E5" s="287">
        <v>16000000</v>
      </c>
      <c r="F5" s="287">
        <v>14000000</v>
      </c>
      <c r="G5" s="287">
        <v>11782000</v>
      </c>
      <c r="H5" s="287">
        <v>10400000</v>
      </c>
      <c r="I5" s="287">
        <v>4072000</v>
      </c>
      <c r="J5" s="287">
        <v>4085967</v>
      </c>
      <c r="K5" s="287">
        <v>1284714</v>
      </c>
      <c r="L5" s="287"/>
      <c r="M5" s="3"/>
      <c r="N5" s="3"/>
      <c r="O5" s="3"/>
    </row>
    <row r="6" spans="1:15" ht="12.75">
      <c r="A6" s="16" t="s">
        <v>1</v>
      </c>
      <c r="B6" s="287">
        <f>SUM(B4:B5)</f>
        <v>11500000</v>
      </c>
      <c r="C6" s="287">
        <f>SUM(C4:C5)</f>
        <v>14916000</v>
      </c>
      <c r="D6" s="287">
        <v>14900000</v>
      </c>
      <c r="E6" s="287">
        <f aca="true" t="shared" si="0" ref="E6:K6">SUM(E4:E5)</f>
        <v>18000000</v>
      </c>
      <c r="F6" s="287">
        <f t="shared" si="0"/>
        <v>16000000</v>
      </c>
      <c r="G6" s="287">
        <f t="shared" si="0"/>
        <v>11782000</v>
      </c>
      <c r="H6" s="287">
        <f t="shared" si="0"/>
        <v>10400000</v>
      </c>
      <c r="I6" s="287">
        <f t="shared" si="0"/>
        <v>4072000</v>
      </c>
      <c r="J6" s="287">
        <f t="shared" si="0"/>
        <v>4085967</v>
      </c>
      <c r="K6" s="287">
        <f t="shared" si="0"/>
        <v>1284714</v>
      </c>
      <c r="L6" s="287">
        <f>SUM(B6:K6)</f>
        <v>106940681</v>
      </c>
      <c r="M6" s="3"/>
      <c r="N6" s="3"/>
      <c r="O6" s="3"/>
    </row>
    <row r="7" spans="1:15" ht="12.75">
      <c r="A7" s="21" t="s">
        <v>114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3"/>
      <c r="N7" s="3"/>
      <c r="O7" s="3"/>
    </row>
    <row r="8" spans="1:15" ht="12.75">
      <c r="A8" s="39"/>
      <c r="B8" s="104"/>
      <c r="C8" s="104"/>
      <c r="D8" s="104"/>
      <c r="E8" s="104"/>
      <c r="F8" s="104"/>
      <c r="G8" s="104"/>
      <c r="H8" s="104"/>
      <c r="I8" s="104"/>
      <c r="J8" s="124" t="s">
        <v>103</v>
      </c>
      <c r="K8" s="104"/>
      <c r="L8" s="104"/>
      <c r="M8" s="3"/>
      <c r="N8" s="3"/>
      <c r="O8" s="3"/>
    </row>
    <row r="9" spans="1:15" ht="12.75">
      <c r="A9" s="30" t="s">
        <v>311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04"/>
      <c r="M9" s="3"/>
      <c r="N9" s="3"/>
      <c r="O9" s="3"/>
    </row>
    <row r="10" spans="1:12" ht="12.75">
      <c r="A10" s="32" t="s">
        <v>125</v>
      </c>
      <c r="B10" s="287">
        <v>34</v>
      </c>
      <c r="C10" s="287">
        <v>303</v>
      </c>
      <c r="D10" s="287">
        <v>305</v>
      </c>
      <c r="E10" s="287">
        <v>181</v>
      </c>
      <c r="F10" s="287">
        <v>6</v>
      </c>
      <c r="G10" s="287" t="s">
        <v>4</v>
      </c>
      <c r="H10" s="287"/>
      <c r="I10" s="287"/>
      <c r="J10" s="287"/>
      <c r="K10" s="287"/>
      <c r="L10" s="287"/>
    </row>
    <row r="11" spans="1:12" ht="25.5">
      <c r="A11" s="38" t="s">
        <v>113</v>
      </c>
      <c r="B11" s="287">
        <v>0</v>
      </c>
      <c r="C11" s="287">
        <v>0</v>
      </c>
      <c r="D11" s="287">
        <v>0</v>
      </c>
      <c r="E11" s="287">
        <v>114</v>
      </c>
      <c r="F11" s="287">
        <v>557</v>
      </c>
      <c r="G11" s="287">
        <v>203</v>
      </c>
      <c r="H11" s="287">
        <v>3052</v>
      </c>
      <c r="I11" s="287">
        <v>1536</v>
      </c>
      <c r="J11" s="287">
        <v>2725286</v>
      </c>
      <c r="K11" s="287">
        <v>1284714</v>
      </c>
      <c r="L11" s="287"/>
    </row>
    <row r="12" spans="1:12" ht="12.75">
      <c r="A12" s="16" t="s">
        <v>1</v>
      </c>
      <c r="B12" s="287">
        <f aca="true" t="shared" si="1" ref="B12:I12">SUM(B10:B11)</f>
        <v>34</v>
      </c>
      <c r="C12" s="287">
        <f t="shared" si="1"/>
        <v>303</v>
      </c>
      <c r="D12" s="287">
        <f t="shared" si="1"/>
        <v>305</v>
      </c>
      <c r="E12" s="287">
        <f t="shared" si="1"/>
        <v>295</v>
      </c>
      <c r="F12" s="287">
        <f t="shared" si="1"/>
        <v>563</v>
      </c>
      <c r="G12" s="287">
        <f t="shared" si="1"/>
        <v>203</v>
      </c>
      <c r="H12" s="287">
        <f t="shared" si="1"/>
        <v>3052</v>
      </c>
      <c r="I12" s="287">
        <f t="shared" si="1"/>
        <v>1536</v>
      </c>
      <c r="J12" s="287"/>
      <c r="K12" s="287"/>
      <c r="L12" s="287"/>
    </row>
    <row r="13" spans="1:12" ht="12.75">
      <c r="A13" s="16" t="s">
        <v>254</v>
      </c>
      <c r="B13" s="287">
        <f>B12*1000</f>
        <v>34000</v>
      </c>
      <c r="C13" s="287">
        <f aca="true" t="shared" si="2" ref="C13:I13">C12*1000</f>
        <v>303000</v>
      </c>
      <c r="D13" s="287">
        <f t="shared" si="2"/>
        <v>305000</v>
      </c>
      <c r="E13" s="287">
        <f t="shared" si="2"/>
        <v>295000</v>
      </c>
      <c r="F13" s="287">
        <f t="shared" si="2"/>
        <v>563000</v>
      </c>
      <c r="G13" s="287">
        <f t="shared" si="2"/>
        <v>203000</v>
      </c>
      <c r="H13" s="287">
        <f t="shared" si="2"/>
        <v>3052000</v>
      </c>
      <c r="I13" s="287">
        <f t="shared" si="2"/>
        <v>1536000</v>
      </c>
      <c r="J13" s="287">
        <f>SUM(J11:J12)</f>
        <v>2725286</v>
      </c>
      <c r="K13" s="287">
        <f>SUM(K11:K12)</f>
        <v>1284714</v>
      </c>
      <c r="L13" s="287">
        <f>SUM(B13:K13)</f>
        <v>10301000</v>
      </c>
    </row>
    <row r="14" spans="1:24" ht="12.75">
      <c r="A14" s="2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0"/>
      <c r="N14" s="10"/>
      <c r="O14" s="10"/>
      <c r="P14" s="10"/>
      <c r="Q14" s="9"/>
      <c r="R14" s="9"/>
      <c r="S14" s="9"/>
      <c r="T14" s="9"/>
      <c r="U14" s="9"/>
      <c r="V14" s="9"/>
      <c r="W14" s="9"/>
      <c r="X14" s="9"/>
    </row>
    <row r="15" spans="1:24" ht="12.75">
      <c r="A15" s="30" t="s">
        <v>116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04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2" t="s">
        <v>125</v>
      </c>
      <c r="B16" s="287">
        <v>0</v>
      </c>
      <c r="C16" s="287">
        <v>11300</v>
      </c>
      <c r="D16" s="287">
        <v>0</v>
      </c>
      <c r="E16" s="287">
        <v>0</v>
      </c>
      <c r="F16" s="287">
        <v>2000</v>
      </c>
      <c r="G16" s="287" t="s">
        <v>4</v>
      </c>
      <c r="H16" s="287"/>
      <c r="I16" s="287"/>
      <c r="J16" s="287"/>
      <c r="K16" s="287"/>
      <c r="L16" s="287">
        <f>SUM(B16:K16)</f>
        <v>13300</v>
      </c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12" ht="25.5">
      <c r="A17" s="38" t="s">
        <v>113</v>
      </c>
      <c r="B17" s="287">
        <v>0</v>
      </c>
      <c r="C17" s="287">
        <v>0</v>
      </c>
      <c r="D17" s="287">
        <v>0</v>
      </c>
      <c r="E17" s="287">
        <v>513</v>
      </c>
      <c r="F17" s="287">
        <v>0</v>
      </c>
      <c r="G17" s="287">
        <v>7956</v>
      </c>
      <c r="H17" s="287">
        <v>3263</v>
      </c>
      <c r="I17" s="287">
        <v>4010</v>
      </c>
      <c r="J17" s="287">
        <v>894714</v>
      </c>
      <c r="K17" s="287">
        <v>0</v>
      </c>
      <c r="L17" s="287">
        <f>SUM(B17:K17)</f>
        <v>910456</v>
      </c>
    </row>
    <row r="18" spans="1:13" ht="12.75">
      <c r="A18" s="16" t="s">
        <v>1</v>
      </c>
      <c r="B18" s="287">
        <f aca="true" t="shared" si="3" ref="B18:I18">SUM(B16:B17)</f>
        <v>0</v>
      </c>
      <c r="C18" s="287">
        <f t="shared" si="3"/>
        <v>11300</v>
      </c>
      <c r="D18" s="287">
        <f t="shared" si="3"/>
        <v>0</v>
      </c>
      <c r="E18" s="287">
        <f t="shared" si="3"/>
        <v>513</v>
      </c>
      <c r="F18" s="287">
        <f t="shared" si="3"/>
        <v>2000</v>
      </c>
      <c r="G18" s="287">
        <f t="shared" si="3"/>
        <v>7956</v>
      </c>
      <c r="H18" s="287">
        <f t="shared" si="3"/>
        <v>3263</v>
      </c>
      <c r="I18" s="287">
        <f t="shared" si="3"/>
        <v>4010</v>
      </c>
      <c r="J18" s="287"/>
      <c r="K18" s="287"/>
      <c r="L18" s="287">
        <f>SUM(B18:K18)</f>
        <v>29042</v>
      </c>
      <c r="M18" s="8"/>
    </row>
    <row r="19" spans="1:13" ht="12.75">
      <c r="A19" s="16" t="s">
        <v>254</v>
      </c>
      <c r="B19" s="287">
        <f>B18*1000</f>
        <v>0</v>
      </c>
      <c r="C19" s="287">
        <f aca="true" t="shared" si="4" ref="C19:I19">C18*1000</f>
        <v>11300000</v>
      </c>
      <c r="D19" s="287">
        <f t="shared" si="4"/>
        <v>0</v>
      </c>
      <c r="E19" s="287">
        <f t="shared" si="4"/>
        <v>513000</v>
      </c>
      <c r="F19" s="287">
        <f t="shared" si="4"/>
        <v>2000000</v>
      </c>
      <c r="G19" s="287">
        <f t="shared" si="4"/>
        <v>7956000</v>
      </c>
      <c r="H19" s="287">
        <f t="shared" si="4"/>
        <v>3263000</v>
      </c>
      <c r="I19" s="287">
        <f t="shared" si="4"/>
        <v>4010000</v>
      </c>
      <c r="J19" s="287">
        <f>SUM(J17:J18)</f>
        <v>894714</v>
      </c>
      <c r="K19" s="287">
        <f>SUM(K16:K18)</f>
        <v>0</v>
      </c>
      <c r="L19" s="287">
        <f>SUM(B19:K19)</f>
        <v>29936714</v>
      </c>
      <c r="M19" s="8"/>
    </row>
    <row r="21" spans="1:16" ht="12.75">
      <c r="A21" s="46" t="s">
        <v>167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32" t="s">
        <v>125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 t="s">
        <v>4</v>
      </c>
      <c r="H22" s="265"/>
      <c r="I22" s="265"/>
      <c r="J22" s="265"/>
      <c r="K22" s="267"/>
      <c r="L22" s="265">
        <f>SUM(B22:K22)</f>
        <v>0</v>
      </c>
      <c r="M22" s="132"/>
      <c r="N22" s="10"/>
      <c r="O22" s="10"/>
      <c r="P22" s="10"/>
    </row>
    <row r="23" spans="1:16" ht="25.5">
      <c r="A23" s="38" t="s">
        <v>113</v>
      </c>
      <c r="B23" s="265">
        <v>0</v>
      </c>
      <c r="C23" s="265">
        <v>0</v>
      </c>
      <c r="D23" s="265">
        <v>0</v>
      </c>
      <c r="E23" s="265">
        <v>0</v>
      </c>
      <c r="F23" s="265">
        <v>1</v>
      </c>
      <c r="G23" s="265">
        <v>0</v>
      </c>
      <c r="H23" s="265">
        <v>3</v>
      </c>
      <c r="I23" s="265">
        <v>1</v>
      </c>
      <c r="J23" s="265">
        <v>1</v>
      </c>
      <c r="K23" s="267">
        <v>1</v>
      </c>
      <c r="L23" s="265">
        <f>SUM(B23:K23)</f>
        <v>7</v>
      </c>
      <c r="M23" s="132"/>
      <c r="N23" s="9"/>
      <c r="O23" s="9"/>
      <c r="P23" s="9"/>
    </row>
    <row r="24" spans="1:16" ht="12.75">
      <c r="A24" s="16" t="s">
        <v>1</v>
      </c>
      <c r="B24" s="265">
        <f aca="true" t="shared" si="5" ref="B24:I24">SUM(B22:B23)</f>
        <v>0</v>
      </c>
      <c r="C24" s="265">
        <f t="shared" si="5"/>
        <v>0</v>
      </c>
      <c r="D24" s="265">
        <f t="shared" si="5"/>
        <v>0</v>
      </c>
      <c r="E24" s="265">
        <f t="shared" si="5"/>
        <v>0</v>
      </c>
      <c r="F24" s="265">
        <f t="shared" si="5"/>
        <v>1</v>
      </c>
      <c r="G24" s="265">
        <f t="shared" si="5"/>
        <v>0</v>
      </c>
      <c r="H24" s="265">
        <f t="shared" si="5"/>
        <v>3</v>
      </c>
      <c r="I24" s="265">
        <f t="shared" si="5"/>
        <v>1</v>
      </c>
      <c r="J24" s="265">
        <f>SUM(J22:J23)</f>
        <v>1</v>
      </c>
      <c r="K24" s="265">
        <f>SUM(K22:K23)</f>
        <v>1</v>
      </c>
      <c r="L24" s="265">
        <f>SUM(B24:K24)</f>
        <v>7</v>
      </c>
      <c r="M24" s="11"/>
      <c r="N24" s="11"/>
      <c r="O24" s="11"/>
      <c r="P24" s="11"/>
    </row>
    <row r="25" spans="1:16" ht="12.75">
      <c r="A25" s="4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2.75">
      <c r="A26" s="5" t="s">
        <v>117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91" t="s">
        <v>8</v>
      </c>
      <c r="J26" s="91" t="s">
        <v>8</v>
      </c>
      <c r="K26" s="91" t="s">
        <v>8</v>
      </c>
      <c r="L26" s="10" t="s">
        <v>8</v>
      </c>
      <c r="M26" s="10"/>
      <c r="N26" s="10"/>
      <c r="O26" s="10"/>
      <c r="P26" s="10"/>
    </row>
    <row r="27" spans="1:12" ht="12.75">
      <c r="A27" s="32" t="s">
        <v>125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 t="s">
        <v>4</v>
      </c>
      <c r="H27" s="265"/>
      <c r="I27" s="265"/>
      <c r="J27" s="265"/>
      <c r="K27" s="267"/>
      <c r="L27" s="265">
        <f>SUM(B27:K27)</f>
        <v>0</v>
      </c>
    </row>
    <row r="28" spans="1:12" ht="25.5">
      <c r="A28" s="38" t="s">
        <v>113</v>
      </c>
      <c r="B28" s="265">
        <v>0</v>
      </c>
      <c r="C28" s="265">
        <v>0</v>
      </c>
      <c r="D28" s="265">
        <v>0</v>
      </c>
      <c r="E28" s="265">
        <v>0</v>
      </c>
      <c r="F28" s="265">
        <v>12516</v>
      </c>
      <c r="G28" s="265"/>
      <c r="H28" s="265">
        <v>41753</v>
      </c>
      <c r="I28" s="265">
        <v>71902</v>
      </c>
      <c r="J28" s="265">
        <v>8712</v>
      </c>
      <c r="K28" s="267">
        <v>40137</v>
      </c>
      <c r="L28" s="265">
        <f>SUM(B28:K28)</f>
        <v>175020</v>
      </c>
    </row>
    <row r="29" spans="1:12" ht="12.75">
      <c r="A29" s="16" t="s">
        <v>1</v>
      </c>
      <c r="B29" s="265">
        <f aca="true" t="shared" si="6" ref="B29:K29">SUM(B27:B28)</f>
        <v>0</v>
      </c>
      <c r="C29" s="265">
        <f t="shared" si="6"/>
        <v>0</v>
      </c>
      <c r="D29" s="265">
        <f t="shared" si="6"/>
        <v>0</v>
      </c>
      <c r="E29" s="265">
        <f t="shared" si="6"/>
        <v>0</v>
      </c>
      <c r="F29" s="265">
        <f t="shared" si="6"/>
        <v>12516</v>
      </c>
      <c r="G29" s="265">
        <f t="shared" si="6"/>
        <v>0</v>
      </c>
      <c r="H29" s="265">
        <f t="shared" si="6"/>
        <v>41753</v>
      </c>
      <c r="I29" s="265">
        <f t="shared" si="6"/>
        <v>71902</v>
      </c>
      <c r="J29" s="265">
        <f t="shared" si="6"/>
        <v>8712</v>
      </c>
      <c r="K29" s="265">
        <f t="shared" si="6"/>
        <v>40137</v>
      </c>
      <c r="L29" s="265">
        <f>SUM(B29:K29)</f>
        <v>175020</v>
      </c>
    </row>
    <row r="30" ht="12.75">
      <c r="A30" s="133" t="s">
        <v>373</v>
      </c>
    </row>
    <row r="32" spans="1:12" ht="12.75">
      <c r="A32" s="5" t="s">
        <v>118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91" t="s">
        <v>8</v>
      </c>
      <c r="J32" s="91" t="s">
        <v>8</v>
      </c>
      <c r="K32" s="91" t="s">
        <v>8</v>
      </c>
      <c r="L32" s="10" t="s">
        <v>8</v>
      </c>
    </row>
    <row r="33" spans="1:12" ht="12.75">
      <c r="A33" s="32" t="s">
        <v>125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 t="s">
        <v>4</v>
      </c>
      <c r="H33" s="13"/>
      <c r="I33" s="13"/>
      <c r="J33" s="13"/>
      <c r="K33" s="13"/>
      <c r="L33" s="13">
        <f>SUM(B33:K33)</f>
        <v>0</v>
      </c>
    </row>
    <row r="34" spans="1:12" ht="25.5">
      <c r="A34" s="38" t="s">
        <v>113</v>
      </c>
      <c r="B34" s="13">
        <v>0</v>
      </c>
      <c r="C34" s="13">
        <v>0</v>
      </c>
      <c r="D34" s="13">
        <v>0</v>
      </c>
      <c r="E34" s="13">
        <v>0</v>
      </c>
      <c r="F34" s="13">
        <v>187740</v>
      </c>
      <c r="G34" s="13"/>
      <c r="H34" s="13">
        <v>478464</v>
      </c>
      <c r="I34" s="13">
        <v>1438040</v>
      </c>
      <c r="J34" s="13">
        <v>174240</v>
      </c>
      <c r="K34" s="13">
        <v>602055</v>
      </c>
      <c r="L34" s="13">
        <f>SUM(B34:K34)</f>
        <v>2880539</v>
      </c>
    </row>
    <row r="35" spans="1:12" ht="12.75">
      <c r="A35" s="16" t="s">
        <v>1</v>
      </c>
      <c r="B35" s="13">
        <f aca="true" t="shared" si="7" ref="B35:K35">SUM(B33:B34)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187740</v>
      </c>
      <c r="G35" s="13">
        <f t="shared" si="7"/>
        <v>0</v>
      </c>
      <c r="H35" s="13">
        <f t="shared" si="7"/>
        <v>478464</v>
      </c>
      <c r="I35" s="13">
        <f t="shared" si="7"/>
        <v>1438040</v>
      </c>
      <c r="J35" s="13">
        <f t="shared" si="7"/>
        <v>174240</v>
      </c>
      <c r="K35" s="13">
        <f t="shared" si="7"/>
        <v>602055</v>
      </c>
      <c r="L35" s="13">
        <f>SUM(B35:K35)</f>
        <v>2880539</v>
      </c>
    </row>
    <row r="36" ht="12.75">
      <c r="A36" s="133" t="s">
        <v>374</v>
      </c>
    </row>
    <row r="38" spans="1:12" ht="12.75">
      <c r="A38" s="5" t="s">
        <v>139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6" t="s">
        <v>11</v>
      </c>
      <c r="I38" s="92" t="s">
        <v>11</v>
      </c>
      <c r="J38" s="92" t="s">
        <v>11</v>
      </c>
      <c r="K38" s="92" t="s">
        <v>11</v>
      </c>
      <c r="L38" s="10" t="s">
        <v>11</v>
      </c>
    </row>
    <row r="39" spans="1:12" ht="12.75">
      <c r="A39" s="32" t="s">
        <v>125</v>
      </c>
      <c r="B39" s="265">
        <v>0</v>
      </c>
      <c r="C39" s="265">
        <v>0</v>
      </c>
      <c r="D39" s="265">
        <v>0</v>
      </c>
      <c r="E39" s="265">
        <v>0</v>
      </c>
      <c r="F39" s="265">
        <v>0</v>
      </c>
      <c r="G39" s="265" t="s">
        <v>4</v>
      </c>
      <c r="H39" s="265"/>
      <c r="I39" s="265"/>
      <c r="J39" s="265"/>
      <c r="K39" s="267"/>
      <c r="L39" s="265">
        <f>SUM(B39:K39)</f>
        <v>0</v>
      </c>
    </row>
    <row r="40" spans="1:12" ht="25.5">
      <c r="A40" s="38" t="s">
        <v>113</v>
      </c>
      <c r="B40" s="265">
        <v>0</v>
      </c>
      <c r="C40" s="265">
        <v>0</v>
      </c>
      <c r="D40" s="265">
        <v>0</v>
      </c>
      <c r="E40" s="265">
        <v>0</v>
      </c>
      <c r="F40" s="265">
        <v>1600</v>
      </c>
      <c r="G40" s="265"/>
      <c r="H40" s="265">
        <v>8600</v>
      </c>
      <c r="I40" s="265">
        <v>9600</v>
      </c>
      <c r="J40" s="265">
        <v>1500</v>
      </c>
      <c r="K40" s="267">
        <v>6200</v>
      </c>
      <c r="L40" s="265">
        <v>27500</v>
      </c>
    </row>
    <row r="41" spans="1:12" ht="12.75">
      <c r="A41" s="16" t="s">
        <v>1</v>
      </c>
      <c r="B41" s="265">
        <f aca="true" t="shared" si="8" ref="B41:K41">SUM(B39:B40)</f>
        <v>0</v>
      </c>
      <c r="C41" s="265">
        <f t="shared" si="8"/>
        <v>0</v>
      </c>
      <c r="D41" s="265">
        <f t="shared" si="8"/>
        <v>0</v>
      </c>
      <c r="E41" s="265">
        <f t="shared" si="8"/>
        <v>0</v>
      </c>
      <c r="F41" s="265">
        <f t="shared" si="8"/>
        <v>1600</v>
      </c>
      <c r="G41" s="265">
        <f t="shared" si="8"/>
        <v>0</v>
      </c>
      <c r="H41" s="265">
        <f t="shared" si="8"/>
        <v>8600</v>
      </c>
      <c r="I41" s="265">
        <f t="shared" si="8"/>
        <v>9600</v>
      </c>
      <c r="J41" s="265">
        <f t="shared" si="8"/>
        <v>1500</v>
      </c>
      <c r="K41" s="265">
        <f t="shared" si="8"/>
        <v>6200</v>
      </c>
      <c r="L41" s="265">
        <f>SUM(B41:K41)</f>
        <v>27500</v>
      </c>
    </row>
    <row r="42" ht="12.75">
      <c r="A42" s="133" t="s">
        <v>375</v>
      </c>
    </row>
    <row r="44" spans="6:12" ht="12.75">
      <c r="F44" s="10" t="s">
        <v>8</v>
      </c>
      <c r="G44" s="10" t="s">
        <v>8</v>
      </c>
      <c r="H44" s="10" t="s">
        <v>8</v>
      </c>
      <c r="I44" s="91" t="s">
        <v>8</v>
      </c>
      <c r="J44" s="91" t="s">
        <v>8</v>
      </c>
      <c r="K44" s="91" t="s">
        <v>8</v>
      </c>
      <c r="L44" s="53"/>
    </row>
    <row r="45" spans="1:12" ht="12.75">
      <c r="A45" s="78" t="s">
        <v>155</v>
      </c>
      <c r="B45" s="292"/>
      <c r="C45" s="292"/>
      <c r="D45" s="292"/>
      <c r="E45" s="292"/>
      <c r="F45" s="292">
        <v>59352</v>
      </c>
      <c r="G45" s="292">
        <v>39593</v>
      </c>
      <c r="H45" s="292">
        <v>54712</v>
      </c>
      <c r="I45" s="292">
        <v>8712</v>
      </c>
      <c r="J45" s="292"/>
      <c r="K45" s="292"/>
      <c r="L45" s="44"/>
    </row>
    <row r="46" ht="12.75">
      <c r="L46" s="44"/>
    </row>
    <row r="47" spans="6:12" ht="12.75">
      <c r="F47" s="6" t="s">
        <v>11</v>
      </c>
      <c r="G47" s="6" t="s">
        <v>11</v>
      </c>
      <c r="H47" s="6" t="s">
        <v>11</v>
      </c>
      <c r="I47" s="92" t="s">
        <v>11</v>
      </c>
      <c r="J47" s="92" t="s">
        <v>11</v>
      </c>
      <c r="K47" s="92" t="s">
        <v>11</v>
      </c>
      <c r="L47" s="44"/>
    </row>
    <row r="48" spans="1:12" ht="12.75">
      <c r="A48" s="78" t="s">
        <v>156</v>
      </c>
      <c r="B48" s="292"/>
      <c r="C48" s="292"/>
      <c r="D48" s="292"/>
      <c r="E48" s="292"/>
      <c r="F48" s="292">
        <v>13350</v>
      </c>
      <c r="G48" s="292">
        <v>6150</v>
      </c>
      <c r="H48" s="292">
        <v>7700</v>
      </c>
      <c r="I48" s="292">
        <v>1500</v>
      </c>
      <c r="J48" s="292"/>
      <c r="K48" s="292"/>
      <c r="L48" s="44"/>
    </row>
    <row r="49" ht="12.75">
      <c r="L49" s="44"/>
    </row>
    <row r="50" spans="6:12" ht="12.75">
      <c r="F50" s="10" t="s">
        <v>8</v>
      </c>
      <c r="G50" s="10" t="s">
        <v>8</v>
      </c>
      <c r="H50" s="10" t="s">
        <v>8</v>
      </c>
      <c r="I50" s="91" t="s">
        <v>8</v>
      </c>
      <c r="J50" s="91" t="s">
        <v>8</v>
      </c>
      <c r="K50" s="91" t="s">
        <v>8</v>
      </c>
      <c r="L50" s="53"/>
    </row>
    <row r="51" spans="1:12" ht="12.75">
      <c r="A51" s="78" t="s">
        <v>157</v>
      </c>
      <c r="B51" s="292"/>
      <c r="C51" s="292"/>
      <c r="D51" s="292"/>
      <c r="E51" s="292"/>
      <c r="F51" s="292">
        <v>296760</v>
      </c>
      <c r="G51" s="292">
        <v>197965</v>
      </c>
      <c r="H51" s="292">
        <v>864240</v>
      </c>
      <c r="I51" s="292">
        <v>174240</v>
      </c>
      <c r="J51" s="292"/>
      <c r="K51" s="292"/>
      <c r="L51" s="44"/>
    </row>
    <row r="52" ht="12.75">
      <c r="L52" s="44"/>
    </row>
  </sheetData>
  <sheetProtection/>
  <mergeCells count="1">
    <mergeCell ref="A1:L1"/>
  </mergeCells>
  <printOptions/>
  <pageMargins left="0.55" right="0.57" top="0.56" bottom="0.81" header="0.5" footer="0.5"/>
  <pageSetup fitToHeight="1" fitToWidth="1" horizontalDpi="600" verticalDpi="600" orientation="landscape" scale="70" r:id="rId1"/>
  <headerFooter scaleWithDoc="0" alignWithMargins="0">
    <oddFooter>&amp;L&amp;8New Jersey's Clean Energy Program
Results by Program Year&amp;C&amp;8&amp;A&amp;R&amp;8printed &amp;D at &amp;T</oddFooter>
  </headerFooter>
  <ignoredErrors>
    <ignoredError sqref="B6:C6 F6:I6 E6 J6:K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5"/>
  <sheetViews>
    <sheetView showGridLines="0" zoomScalePageLayoutView="0" workbookViewId="0" topLeftCell="A1">
      <selection activeCell="A1" sqref="A1:L1"/>
    </sheetView>
  </sheetViews>
  <sheetFormatPr defaultColWidth="10.7109375" defaultRowHeight="12.75"/>
  <cols>
    <col min="1" max="1" width="36.8515625" style="3" customWidth="1"/>
    <col min="2" max="3" width="11.140625" style="6" bestFit="1" customWidth="1"/>
    <col min="4" max="4" width="11.00390625" style="6" bestFit="1" customWidth="1"/>
    <col min="5" max="5" width="11.8515625" style="6" bestFit="1" customWidth="1"/>
    <col min="6" max="7" width="12.140625" style="6" bestFit="1" customWidth="1"/>
    <col min="8" max="8" width="11.8515625" style="6" bestFit="1" customWidth="1"/>
    <col min="9" max="9" width="11.57421875" style="6" bestFit="1" customWidth="1"/>
    <col min="10" max="10" width="13.421875" style="6" bestFit="1" customWidth="1"/>
    <col min="11" max="11" width="12.7109375" style="6" customWidth="1"/>
    <col min="12" max="12" width="11.7109375" style="6" bestFit="1" customWidth="1"/>
    <col min="13" max="16384" width="10.7109375" style="6" customWidth="1"/>
  </cols>
  <sheetData>
    <row r="1" spans="1:12" ht="15.75">
      <c r="A1" s="382" t="s">
        <v>166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5" ht="12.75">
      <c r="A2" s="43" t="s">
        <v>372</v>
      </c>
      <c r="M2" s="3"/>
      <c r="N2" s="3"/>
      <c r="O2" s="3"/>
    </row>
    <row r="3" spans="1:15" ht="12.75">
      <c r="A3" s="43" t="s">
        <v>255</v>
      </c>
      <c r="B3" s="28">
        <v>2001</v>
      </c>
      <c r="C3" s="28">
        <v>2002</v>
      </c>
      <c r="D3" s="28">
        <v>2003</v>
      </c>
      <c r="E3" s="28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28" t="s">
        <v>1</v>
      </c>
      <c r="M3" s="3"/>
      <c r="N3" s="3"/>
      <c r="O3" s="3"/>
    </row>
    <row r="4" spans="1:15" ht="25.5" customHeight="1">
      <c r="A4" s="38" t="s">
        <v>115</v>
      </c>
      <c r="B4" s="287">
        <v>0</v>
      </c>
      <c r="C4" s="287">
        <v>0</v>
      </c>
      <c r="D4" s="287"/>
      <c r="E4" s="287">
        <v>6350000</v>
      </c>
      <c r="F4" s="287">
        <v>8000000</v>
      </c>
      <c r="G4" s="287">
        <v>8000000</v>
      </c>
      <c r="H4" s="287">
        <v>5000000</v>
      </c>
      <c r="I4" s="287">
        <v>1938000</v>
      </c>
      <c r="J4" s="287">
        <v>1537473.38</v>
      </c>
      <c r="K4" s="287">
        <v>250000</v>
      </c>
      <c r="L4" s="287">
        <f>SUM(B4:K4)</f>
        <v>31075473.38</v>
      </c>
      <c r="M4" s="3"/>
      <c r="N4" s="3"/>
      <c r="O4" s="3"/>
    </row>
    <row r="5" spans="1:15" ht="12.75">
      <c r="A5" s="39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3"/>
      <c r="N5" s="3"/>
      <c r="O5" s="3"/>
    </row>
    <row r="6" spans="1:15" ht="12.75">
      <c r="A6" s="30" t="s">
        <v>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04"/>
      <c r="M6" s="3"/>
      <c r="N6" s="3"/>
      <c r="O6" s="3"/>
    </row>
    <row r="7" spans="1:12" ht="25.5">
      <c r="A7" s="38" t="s">
        <v>115</v>
      </c>
      <c r="B7" s="287">
        <v>0</v>
      </c>
      <c r="C7" s="287">
        <v>0</v>
      </c>
      <c r="D7" s="287">
        <v>1143</v>
      </c>
      <c r="E7" s="287">
        <v>1001</v>
      </c>
      <c r="F7" s="287">
        <v>2358</v>
      </c>
      <c r="G7" s="287">
        <v>162</v>
      </c>
      <c r="H7" s="287">
        <v>207</v>
      </c>
      <c r="I7" s="319">
        <v>62</v>
      </c>
      <c r="J7" s="287">
        <v>368905.18</v>
      </c>
      <c r="K7" s="287">
        <v>250000</v>
      </c>
      <c r="L7" s="287"/>
    </row>
    <row r="8" spans="1:12" ht="12.75">
      <c r="A8" s="16" t="s">
        <v>254</v>
      </c>
      <c r="B8" s="287">
        <f>B7*1000</f>
        <v>0</v>
      </c>
      <c r="C8" s="287">
        <f aca="true" t="shared" si="0" ref="C8:I8">C7*1000</f>
        <v>0</v>
      </c>
      <c r="D8" s="287">
        <f t="shared" si="0"/>
        <v>1143000</v>
      </c>
      <c r="E8" s="287">
        <f t="shared" si="0"/>
        <v>1001000</v>
      </c>
      <c r="F8" s="287">
        <f t="shared" si="0"/>
        <v>2358000</v>
      </c>
      <c r="G8" s="287">
        <f t="shared" si="0"/>
        <v>162000</v>
      </c>
      <c r="H8" s="287">
        <f t="shared" si="0"/>
        <v>207000</v>
      </c>
      <c r="I8" s="287">
        <f t="shared" si="0"/>
        <v>62000</v>
      </c>
      <c r="J8" s="287">
        <f>SUM(J7)</f>
        <v>368905.18</v>
      </c>
      <c r="K8" s="287">
        <f>SUM(K7)</f>
        <v>250000</v>
      </c>
      <c r="L8" s="287">
        <f>SUM(B8:K8)</f>
        <v>5551905.18</v>
      </c>
    </row>
    <row r="9" spans="1:24" ht="12.7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</row>
    <row r="10" spans="1:24" ht="12.75">
      <c r="A10" s="30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25.5">
      <c r="A11" s="38" t="s">
        <v>115</v>
      </c>
      <c r="B11" s="330">
        <v>0</v>
      </c>
      <c r="C11" s="330">
        <v>0</v>
      </c>
      <c r="D11" s="330">
        <v>2700</v>
      </c>
      <c r="E11" s="330">
        <v>378</v>
      </c>
      <c r="F11" s="330">
        <v>81</v>
      </c>
      <c r="G11" s="330">
        <v>712</v>
      </c>
      <c r="H11" s="330">
        <v>3200</v>
      </c>
      <c r="I11" s="330">
        <v>1500</v>
      </c>
      <c r="J11" s="330">
        <v>1130889.82</v>
      </c>
      <c r="K11" s="330">
        <v>0</v>
      </c>
      <c r="L11" s="3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3" spans="1:16" ht="12.75">
      <c r="A13" s="46" t="s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5">
      <c r="A14" s="38" t="s">
        <v>115</v>
      </c>
      <c r="B14" s="265">
        <v>0</v>
      </c>
      <c r="C14" s="265"/>
      <c r="D14" s="265">
        <v>10</v>
      </c>
      <c r="E14" s="265">
        <v>0</v>
      </c>
      <c r="F14" s="265">
        <v>5</v>
      </c>
      <c r="G14" s="265">
        <v>4</v>
      </c>
      <c r="H14" s="265">
        <v>1</v>
      </c>
      <c r="I14" s="265">
        <v>1</v>
      </c>
      <c r="J14" s="265">
        <v>1</v>
      </c>
      <c r="K14" s="267">
        <v>1</v>
      </c>
      <c r="L14" s="265">
        <f>SUM(B14:K14)</f>
        <v>23</v>
      </c>
      <c r="M14" s="132"/>
      <c r="N14" s="10"/>
      <c r="O14" s="10"/>
      <c r="P14" s="10"/>
    </row>
    <row r="15" spans="1:16" ht="12.75">
      <c r="A15" s="4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/>
  <mergeCells count="1">
    <mergeCell ref="A1:L1"/>
  </mergeCells>
  <printOptions/>
  <pageMargins left="0.55" right="0.57" top="1" bottom="1" header="0.5" footer="0.5"/>
  <pageSetup fitToHeight="1" fitToWidth="1" horizontalDpi="600" verticalDpi="600" orientation="landscape" scale="76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Q185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4.7109375" style="140" customWidth="1"/>
    <col min="2" max="2" width="12.57421875" style="140" bestFit="1" customWidth="1"/>
    <col min="3" max="7" width="10.7109375" style="140" hidden="1" customWidth="1"/>
    <col min="8" max="15" width="12.57421875" style="140" customWidth="1"/>
    <col min="16" max="16384" width="9.140625" style="140" customWidth="1"/>
  </cols>
  <sheetData>
    <row r="1" spans="1:15" ht="15.75">
      <c r="A1" s="379" t="s">
        <v>120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2" ht="15.75">
      <c r="A2" s="342" t="s">
        <v>141</v>
      </c>
      <c r="B2" s="342"/>
    </row>
    <row r="3" spans="1:15" ht="27.75">
      <c r="A3" s="342" t="s">
        <v>104</v>
      </c>
      <c r="B3" s="221" t="s">
        <v>354</v>
      </c>
      <c r="C3" s="152">
        <v>2001</v>
      </c>
      <c r="D3" s="152">
        <v>2002</v>
      </c>
      <c r="E3" s="152">
        <v>2003</v>
      </c>
      <c r="F3" s="152">
        <v>2004</v>
      </c>
      <c r="G3" s="152">
        <v>2005</v>
      </c>
      <c r="H3" s="152">
        <v>2006</v>
      </c>
      <c r="I3" s="152">
        <v>2007</v>
      </c>
      <c r="J3" s="152">
        <v>2008</v>
      </c>
      <c r="K3" s="152">
        <v>2009</v>
      </c>
      <c r="L3" s="152">
        <v>2010</v>
      </c>
      <c r="M3" s="152">
        <v>2011</v>
      </c>
      <c r="N3" s="221" t="s">
        <v>439</v>
      </c>
      <c r="O3" s="221" t="s">
        <v>425</v>
      </c>
    </row>
    <row r="4" spans="1:15" ht="12.75">
      <c r="A4" s="161" t="s">
        <v>7</v>
      </c>
      <c r="B4" s="153" t="s">
        <v>29</v>
      </c>
      <c r="C4" s="153" t="s">
        <v>29</v>
      </c>
      <c r="D4" s="153" t="s">
        <v>29</v>
      </c>
      <c r="E4" s="153" t="s">
        <v>29</v>
      </c>
      <c r="F4" s="153" t="s">
        <v>29</v>
      </c>
      <c r="G4" s="153" t="s">
        <v>29</v>
      </c>
      <c r="H4" s="153" t="s">
        <v>29</v>
      </c>
      <c r="I4" s="153" t="s">
        <v>29</v>
      </c>
      <c r="J4" s="153" t="s">
        <v>29</v>
      </c>
      <c r="K4" s="153" t="s">
        <v>29</v>
      </c>
      <c r="L4" s="153" t="s">
        <v>29</v>
      </c>
      <c r="M4" s="153" t="s">
        <v>29</v>
      </c>
      <c r="N4" s="153" t="s">
        <v>29</v>
      </c>
      <c r="O4" s="153" t="s">
        <v>29</v>
      </c>
    </row>
    <row r="5" spans="1:15" ht="12.75">
      <c r="A5" s="245" t="s">
        <v>81</v>
      </c>
      <c r="B5" s="267">
        <f>SUM(C5:G5)</f>
        <v>73068</v>
      </c>
      <c r="C5" s="267">
        <f>'Res HVAC'!C24</f>
        <v>12224</v>
      </c>
      <c r="D5" s="267">
        <f>'Res HVAC'!D24</f>
        <v>15703</v>
      </c>
      <c r="E5" s="267">
        <f>'Res HVAC'!E24</f>
        <v>14621</v>
      </c>
      <c r="F5" s="267">
        <f>'Res HVAC'!F24</f>
        <v>15499</v>
      </c>
      <c r="G5" s="267">
        <f>'Res HVAC'!G24</f>
        <v>15021</v>
      </c>
      <c r="H5" s="267">
        <f>'Res HVAC'!H24</f>
        <v>11545</v>
      </c>
      <c r="I5" s="267">
        <f>'Res HVAC'!I24</f>
        <v>13323</v>
      </c>
      <c r="J5" s="267">
        <f>'Res HVAC'!J24</f>
        <v>4973</v>
      </c>
      <c r="K5" s="267">
        <f>'Res HVAC'!K24</f>
        <v>4771</v>
      </c>
      <c r="L5" s="267">
        <f>'Res HVAC'!L24</f>
        <v>8087</v>
      </c>
      <c r="M5" s="267">
        <f>'Res HVAC'!M24</f>
        <v>12364</v>
      </c>
      <c r="N5" s="267">
        <f>'Res HVAC'!N24</f>
        <v>13149</v>
      </c>
      <c r="O5" s="267">
        <f>SUM(C5:N5)</f>
        <v>141280</v>
      </c>
    </row>
    <row r="6" spans="1:15" ht="12.75">
      <c r="A6" s="245" t="s">
        <v>82</v>
      </c>
      <c r="B6" s="267">
        <f aca="true" t="shared" si="0" ref="B6:B17">SUM(C6:G6)</f>
        <v>18828</v>
      </c>
      <c r="C6" s="267">
        <f>RNC!C22</f>
        <v>119</v>
      </c>
      <c r="D6" s="267">
        <f>RNC!D22</f>
        <v>3262</v>
      </c>
      <c r="E6" s="267">
        <f>RNC!E22</f>
        <v>4773</v>
      </c>
      <c r="F6" s="267">
        <f>RNC!F22</f>
        <v>4551</v>
      </c>
      <c r="G6" s="267">
        <f>RNC!G22</f>
        <v>6123</v>
      </c>
      <c r="H6" s="267">
        <f>RNC!H22</f>
        <v>5181</v>
      </c>
      <c r="I6" s="267">
        <f>RNC!I22</f>
        <v>5829</v>
      </c>
      <c r="J6" s="267">
        <f>RNC!J22</f>
        <v>3343</v>
      </c>
      <c r="K6" s="267">
        <f>RNC!K22</f>
        <v>2652</v>
      </c>
      <c r="L6" s="267">
        <f>RNC!L22</f>
        <v>4379</v>
      </c>
      <c r="M6" s="267">
        <f>RNC!M22</f>
        <v>4562</v>
      </c>
      <c r="N6" s="267">
        <f>RNC!N22</f>
        <v>5281</v>
      </c>
      <c r="O6" s="267">
        <f>SUM(C6:N6)</f>
        <v>50055</v>
      </c>
    </row>
    <row r="7" spans="1:15" ht="12.75">
      <c r="A7" s="343" t="s">
        <v>83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12.75">
      <c r="A8" s="344" t="s">
        <v>394</v>
      </c>
      <c r="B8" s="267">
        <f t="shared" si="0"/>
        <v>3730</v>
      </c>
      <c r="C8" s="267">
        <f>'Energy Star'!C51</f>
        <v>0</v>
      </c>
      <c r="D8" s="267">
        <f>'Energy Star'!D51</f>
        <v>0</v>
      </c>
      <c r="E8" s="267">
        <f>'Energy Star'!E51</f>
        <v>1432</v>
      </c>
      <c r="F8" s="267">
        <f>'Energy Star'!F51</f>
        <v>1377</v>
      </c>
      <c r="G8" s="267">
        <f>'Energy Star'!G51</f>
        <v>921</v>
      </c>
      <c r="H8" s="267">
        <f>'Energy Star'!H51</f>
        <v>542</v>
      </c>
      <c r="I8" s="267">
        <f>'Energy Star'!I51</f>
        <v>767</v>
      </c>
      <c r="J8" s="267">
        <f>'Energy Star'!J51</f>
        <v>772</v>
      </c>
      <c r="K8" s="267">
        <f>'Energy Star'!K51</f>
        <v>425</v>
      </c>
      <c r="L8" s="267">
        <f>'Energy Star'!L51</f>
        <v>639</v>
      </c>
      <c r="M8" s="267">
        <f>'Energy Star'!M51</f>
        <v>13</v>
      </c>
      <c r="N8" s="267"/>
      <c r="O8" s="267">
        <f aca="true" t="shared" si="1" ref="O8:O17">SUM(C8:N8)</f>
        <v>6888</v>
      </c>
    </row>
    <row r="9" spans="1:16" ht="12.75">
      <c r="A9" s="344" t="s">
        <v>213</v>
      </c>
      <c r="B9" s="267">
        <f t="shared" si="0"/>
        <v>220165</v>
      </c>
      <c r="C9" s="267">
        <f>'Energy Star'!C50</f>
        <v>0</v>
      </c>
      <c r="D9" s="267">
        <f>'Energy Star'!D50</f>
        <v>0</v>
      </c>
      <c r="E9" s="267">
        <f>'Energy Star'!E50</f>
        <v>61630</v>
      </c>
      <c r="F9" s="267">
        <f>'Energy Star'!F50</f>
        <v>95947</v>
      </c>
      <c r="G9" s="267">
        <f>'Energy Star'!G50</f>
        <v>62588</v>
      </c>
      <c r="H9" s="267">
        <f>'Energy Star'!H50</f>
        <v>0</v>
      </c>
      <c r="I9" s="267">
        <f>'Energy Star'!I50</f>
        <v>106450</v>
      </c>
      <c r="J9" s="267">
        <f>'Energy Star'!J50</f>
        <v>213772</v>
      </c>
      <c r="K9" s="267">
        <f>'Energy Star'!K50</f>
        <v>338254</v>
      </c>
      <c r="L9" s="267">
        <f>'Energy Star'!L50</f>
        <v>166233.2</v>
      </c>
      <c r="M9" s="267">
        <f>'Energy Star'!M50</f>
        <v>218398</v>
      </c>
      <c r="N9" s="267">
        <f>'Energy Star'!N50</f>
        <v>324344.9</v>
      </c>
      <c r="O9" s="267">
        <f t="shared" si="1"/>
        <v>1587617.1</v>
      </c>
      <c r="P9" s="142"/>
    </row>
    <row r="10" spans="1:16" ht="12.75">
      <c r="A10" s="345" t="s">
        <v>395</v>
      </c>
      <c r="B10" s="267">
        <f t="shared" si="0"/>
        <v>0</v>
      </c>
      <c r="C10" s="267"/>
      <c r="D10" s="267"/>
      <c r="E10" s="267"/>
      <c r="F10" s="267"/>
      <c r="G10" s="267"/>
      <c r="H10" s="267"/>
      <c r="I10" s="267"/>
      <c r="J10" s="267">
        <f>'Energy Star'!J52</f>
        <v>2837</v>
      </c>
      <c r="K10" s="267">
        <f>'Energy Star'!K52</f>
        <v>3248</v>
      </c>
      <c r="L10" s="267">
        <f>'Energy Star'!L52</f>
        <v>3749</v>
      </c>
      <c r="M10" s="267">
        <f>'Energy Star'!M52</f>
        <v>3758.8</v>
      </c>
      <c r="N10" s="267">
        <f>'Energy Star'!N52</f>
        <v>3476.4</v>
      </c>
      <c r="O10" s="267">
        <f t="shared" si="1"/>
        <v>17069.2</v>
      </c>
      <c r="P10" s="142"/>
    </row>
    <row r="11" spans="1:16" ht="12.75">
      <c r="A11" s="345" t="s">
        <v>396</v>
      </c>
      <c r="B11" s="267">
        <f t="shared" si="0"/>
        <v>0</v>
      </c>
      <c r="C11" s="267"/>
      <c r="D11" s="267"/>
      <c r="E11" s="267"/>
      <c r="F11" s="267"/>
      <c r="G11" s="267"/>
      <c r="H11" s="267"/>
      <c r="I11" s="267"/>
      <c r="J11" s="267">
        <f>'Energy Star'!J53</f>
        <v>382</v>
      </c>
      <c r="K11" s="267">
        <f>'Energy Star'!K53</f>
        <v>569</v>
      </c>
      <c r="L11" s="267">
        <f>'Energy Star'!L53</f>
        <v>414</v>
      </c>
      <c r="M11" s="267">
        <f>'Energy Star'!M53</f>
        <v>28</v>
      </c>
      <c r="N11" s="267"/>
      <c r="O11" s="267">
        <f t="shared" si="1"/>
        <v>1393</v>
      </c>
      <c r="P11" s="142"/>
    </row>
    <row r="12" spans="1:16" ht="12.75">
      <c r="A12" s="345" t="s">
        <v>397</v>
      </c>
      <c r="B12" s="267">
        <f t="shared" si="0"/>
        <v>0</v>
      </c>
      <c r="C12" s="267"/>
      <c r="D12" s="267"/>
      <c r="E12" s="267"/>
      <c r="F12" s="267"/>
      <c r="G12" s="267"/>
      <c r="H12" s="267"/>
      <c r="I12" s="267"/>
      <c r="J12" s="267"/>
      <c r="K12" s="267">
        <f>'Energy Star'!K54</f>
        <v>5540</v>
      </c>
      <c r="L12" s="267">
        <f>'Energy Star'!L54</f>
        <v>15400.6</v>
      </c>
      <c r="M12" s="267">
        <f>'Energy Star'!M54</f>
        <v>15560.9</v>
      </c>
      <c r="N12" s="267">
        <f>'Energy Star'!N54</f>
        <v>17469.5</v>
      </c>
      <c r="O12" s="267">
        <f t="shared" si="1"/>
        <v>53971</v>
      </c>
      <c r="P12" s="142"/>
    </row>
    <row r="13" spans="1:16" ht="12.75">
      <c r="A13" s="345" t="s">
        <v>398</v>
      </c>
      <c r="B13" s="267">
        <f t="shared" si="0"/>
        <v>0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>
        <f>'Energy Star'!L55</f>
        <v>4707</v>
      </c>
      <c r="M13" s="267">
        <f>'Energy Star'!M55</f>
        <v>8829.4</v>
      </c>
      <c r="N13" s="267">
        <f>'Energy Star'!N55</f>
        <v>7996.7</v>
      </c>
      <c r="O13" s="267">
        <f t="shared" si="1"/>
        <v>21533.1</v>
      </c>
      <c r="P13" s="142"/>
    </row>
    <row r="14" spans="1:16" ht="12.75">
      <c r="A14" s="345" t="s">
        <v>399</v>
      </c>
      <c r="B14" s="267">
        <f t="shared" si="0"/>
        <v>0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>
        <f>'Energy Star'!M56</f>
        <v>515.9</v>
      </c>
      <c r="N14" s="267">
        <f>'Energy Star'!N56</f>
        <v>37.5</v>
      </c>
      <c r="O14" s="267">
        <f t="shared" si="1"/>
        <v>553.4</v>
      </c>
      <c r="P14" s="142"/>
    </row>
    <row r="15" spans="1:16" ht="12.75">
      <c r="A15" s="345" t="s">
        <v>400</v>
      </c>
      <c r="B15" s="267">
        <f t="shared" si="0"/>
        <v>0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>
        <f>'Energy Star'!M57</f>
        <v>118.1</v>
      </c>
      <c r="N15" s="267"/>
      <c r="O15" s="267">
        <f t="shared" si="1"/>
        <v>118.1</v>
      </c>
      <c r="P15" s="142"/>
    </row>
    <row r="16" spans="1:15" ht="12.75">
      <c r="A16" s="245" t="s">
        <v>197</v>
      </c>
      <c r="B16" s="267">
        <f t="shared" si="0"/>
        <v>0</v>
      </c>
      <c r="C16" s="267"/>
      <c r="D16" s="267"/>
      <c r="E16" s="267"/>
      <c r="F16" s="267"/>
      <c r="G16" s="267"/>
      <c r="H16" s="267">
        <f>'Home Perf'!B25</f>
        <v>2</v>
      </c>
      <c r="I16" s="267">
        <f>'Home Perf'!C25</f>
        <v>22</v>
      </c>
      <c r="J16" s="267">
        <f>'Home Perf'!D25</f>
        <v>108</v>
      </c>
      <c r="K16" s="267">
        <f>'Home Perf'!E25</f>
        <v>1155</v>
      </c>
      <c r="L16" s="267">
        <f>'Home Perf'!F25</f>
        <v>939</v>
      </c>
      <c r="M16" s="267">
        <f>'Home Perf'!G25</f>
        <v>2131</v>
      </c>
      <c r="N16" s="267">
        <f>'Home Perf'!H25</f>
        <v>3479</v>
      </c>
      <c r="O16" s="267">
        <f t="shared" si="1"/>
        <v>7836</v>
      </c>
    </row>
    <row r="17" spans="1:16" ht="12.75">
      <c r="A17" s="29" t="s">
        <v>88</v>
      </c>
      <c r="B17" s="269">
        <f t="shared" si="0"/>
        <v>315791</v>
      </c>
      <c r="C17" s="269">
        <f>SUM(C5:C16)</f>
        <v>12343</v>
      </c>
      <c r="D17" s="269">
        <f aca="true" t="shared" si="2" ref="D17:K17">SUM(D5:D16)</f>
        <v>18965</v>
      </c>
      <c r="E17" s="269">
        <f t="shared" si="2"/>
        <v>82456</v>
      </c>
      <c r="F17" s="269">
        <f t="shared" si="2"/>
        <v>117374</v>
      </c>
      <c r="G17" s="269">
        <f t="shared" si="2"/>
        <v>84653</v>
      </c>
      <c r="H17" s="269">
        <f t="shared" si="2"/>
        <v>17270</v>
      </c>
      <c r="I17" s="269">
        <f t="shared" si="2"/>
        <v>126391</v>
      </c>
      <c r="J17" s="269">
        <f t="shared" si="2"/>
        <v>226187</v>
      </c>
      <c r="K17" s="269">
        <f t="shared" si="2"/>
        <v>356614</v>
      </c>
      <c r="L17" s="269">
        <f>SUM(L5:L16)</f>
        <v>204547.80000000002</v>
      </c>
      <c r="M17" s="269">
        <f>SUM(M5:M16)</f>
        <v>266279.1</v>
      </c>
      <c r="N17" s="269">
        <f>SUM(N5:N16)</f>
        <v>375234.00000000006</v>
      </c>
      <c r="O17" s="269">
        <f t="shared" si="1"/>
        <v>1888313.9</v>
      </c>
      <c r="P17" s="142"/>
    </row>
    <row r="18" spans="1:17" ht="12.75">
      <c r="A18" s="34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42"/>
      <c r="Q18" s="142"/>
    </row>
    <row r="19" spans="1:16" ht="12.75">
      <c r="A19" s="67" t="s">
        <v>87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42"/>
    </row>
    <row r="20" spans="1:16" ht="12.75">
      <c r="A20" s="245" t="s">
        <v>2</v>
      </c>
      <c r="B20" s="269">
        <f aca="true" t="shared" si="3" ref="B20:B33">SUM(C20:G20)</f>
        <v>30987</v>
      </c>
      <c r="C20" s="269">
        <f>'Low-income'!C30</f>
        <v>7386</v>
      </c>
      <c r="D20" s="269">
        <f>'Low-income'!D30</f>
        <v>5196</v>
      </c>
      <c r="E20" s="269">
        <f>'Low-income'!E30</f>
        <v>5774</v>
      </c>
      <c r="F20" s="269">
        <f>'Low-income'!F30</f>
        <v>6995</v>
      </c>
      <c r="G20" s="269">
        <f>'Low-income'!G30</f>
        <v>5636</v>
      </c>
      <c r="H20" s="269">
        <f>'Low-income'!H30</f>
        <v>10708</v>
      </c>
      <c r="I20" s="269">
        <f>'Low-income'!I30</f>
        <v>10614</v>
      </c>
      <c r="J20" s="269">
        <f>'Low-income'!J30</f>
        <v>8778</v>
      </c>
      <c r="K20" s="269">
        <f>'Low-income'!K30</f>
        <v>9302</v>
      </c>
      <c r="L20" s="269">
        <f>'Low-income'!L30</f>
        <v>8994</v>
      </c>
      <c r="M20" s="269">
        <f>'Low-income'!M30</f>
        <v>10069</v>
      </c>
      <c r="N20" s="269">
        <f>'Low-income'!N30</f>
        <v>12048</v>
      </c>
      <c r="O20" s="269">
        <f>SUM(C20:N20)</f>
        <v>101500</v>
      </c>
      <c r="P20" s="142"/>
    </row>
    <row r="21" spans="1:16" ht="12.75">
      <c r="A21" s="222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142"/>
    </row>
    <row r="22" spans="1:15" ht="12.75">
      <c r="A22" s="346" t="s">
        <v>58</v>
      </c>
      <c r="B22" s="267">
        <f t="shared" si="3"/>
        <v>13851</v>
      </c>
      <c r="C22" s="267"/>
      <c r="D22" s="267"/>
      <c r="E22" s="267"/>
      <c r="F22" s="267"/>
      <c r="G22" s="267">
        <f>'C&amp;I'!G49</f>
        <v>13851</v>
      </c>
      <c r="H22" s="267">
        <f>'C&amp;I'!H49</f>
        <v>17351</v>
      </c>
      <c r="I22" s="267">
        <f>'C&amp;I'!I49</f>
        <v>6572</v>
      </c>
      <c r="J22" s="267">
        <f>'C&amp;I'!J49</f>
        <v>21782</v>
      </c>
      <c r="K22" s="267">
        <f>'C&amp;I'!K49</f>
        <v>14993</v>
      </c>
      <c r="L22" s="267">
        <f>'C&amp;I'!L49</f>
        <v>7062</v>
      </c>
      <c r="M22" s="267">
        <f>'C&amp;I'!M49</f>
        <v>16912</v>
      </c>
      <c r="N22" s="267">
        <f>'C&amp;I'!N49</f>
        <v>7693</v>
      </c>
      <c r="O22" s="268">
        <f aca="true" t="shared" si="4" ref="O22:O33">SUM(C22:N22)</f>
        <v>106216</v>
      </c>
    </row>
    <row r="23" spans="1:15" ht="12.75">
      <c r="A23" s="347" t="s">
        <v>61</v>
      </c>
      <c r="B23" s="267">
        <f t="shared" si="3"/>
        <v>120818</v>
      </c>
      <c r="C23" s="267"/>
      <c r="D23" s="267"/>
      <c r="E23" s="267"/>
      <c r="F23" s="267"/>
      <c r="G23" s="267">
        <f>'C&amp;I'!G50</f>
        <v>120818</v>
      </c>
      <c r="H23" s="267">
        <f>'C&amp;I'!H50</f>
        <v>78194</v>
      </c>
      <c r="I23" s="267">
        <f>'C&amp;I'!I50</f>
        <v>81933</v>
      </c>
      <c r="J23" s="267">
        <f>'C&amp;I'!J50</f>
        <v>74430</v>
      </c>
      <c r="K23" s="267">
        <f>'C&amp;I'!K50</f>
        <v>75806</v>
      </c>
      <c r="L23" s="267">
        <f>'C&amp;I'!L50</f>
        <v>119500</v>
      </c>
      <c r="M23" s="267">
        <f>'C&amp;I'!M50</f>
        <v>103360</v>
      </c>
      <c r="N23" s="267">
        <f>'C&amp;I'!N50</f>
        <v>153265</v>
      </c>
      <c r="O23" s="268">
        <f t="shared" si="4"/>
        <v>807306</v>
      </c>
    </row>
    <row r="24" spans="1:15" ht="12.75">
      <c r="A24" s="347" t="s">
        <v>384</v>
      </c>
      <c r="B24" s="267">
        <f t="shared" si="3"/>
        <v>13583</v>
      </c>
      <c r="C24" s="267"/>
      <c r="D24" s="267"/>
      <c r="E24" s="267"/>
      <c r="F24" s="267"/>
      <c r="G24" s="267">
        <f>'C&amp;I'!G51</f>
        <v>13583</v>
      </c>
      <c r="H24" s="267">
        <f>'C&amp;I'!H51</f>
        <v>2832</v>
      </c>
      <c r="I24" s="267">
        <f>'C&amp;I'!I51</f>
        <v>2084</v>
      </c>
      <c r="J24" s="267">
        <f>'C&amp;I'!J51</f>
        <v>3310</v>
      </c>
      <c r="K24" s="267">
        <f>'C&amp;I'!K51</f>
        <v>4992</v>
      </c>
      <c r="L24" s="267">
        <f>'C&amp;I'!L51</f>
        <v>0</v>
      </c>
      <c r="M24" s="267">
        <f>'C&amp;I'!M51</f>
        <v>0</v>
      </c>
      <c r="N24" s="267">
        <f>'C&amp;I'!N51</f>
        <v>0</v>
      </c>
      <c r="O24" s="268">
        <f t="shared" si="4"/>
        <v>26801</v>
      </c>
    </row>
    <row r="25" spans="1:15" ht="12.75">
      <c r="A25" s="187" t="s">
        <v>287</v>
      </c>
      <c r="B25" s="267">
        <f t="shared" si="3"/>
        <v>0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>
        <f>'P4P '!I24</f>
        <v>796</v>
      </c>
      <c r="M25" s="267">
        <f>'P4P '!J24</f>
        <v>15422</v>
      </c>
      <c r="N25" s="267">
        <f>'P4P '!K22</f>
        <v>29077</v>
      </c>
      <c r="O25" s="268">
        <f t="shared" si="4"/>
        <v>45295</v>
      </c>
    </row>
    <row r="26" spans="1:15" ht="12.75">
      <c r="A26" s="187" t="s">
        <v>411</v>
      </c>
      <c r="B26" s="267">
        <f t="shared" si="3"/>
        <v>0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>
        <f>'P4P '!K23</f>
        <v>0</v>
      </c>
      <c r="O26" s="268">
        <f t="shared" si="4"/>
        <v>0</v>
      </c>
    </row>
    <row r="27" spans="1:15" ht="12.75">
      <c r="A27" s="187" t="s">
        <v>288</v>
      </c>
      <c r="B27" s="267">
        <f t="shared" si="3"/>
        <v>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>
        <f>'P4P NC'!B22</f>
        <v>0</v>
      </c>
      <c r="M27" s="267">
        <f>'P4P NC'!C22</f>
        <v>0</v>
      </c>
      <c r="N27" s="267">
        <f>'P4P NC'!D22</f>
        <v>0</v>
      </c>
      <c r="O27" s="268">
        <f t="shared" si="4"/>
        <v>0</v>
      </c>
    </row>
    <row r="28" spans="1:15" ht="12.75">
      <c r="A28" s="187" t="s">
        <v>229</v>
      </c>
      <c r="B28" s="267">
        <f t="shared" si="3"/>
        <v>0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>
        <f>'Direct Install'!D19</f>
        <v>5007</v>
      </c>
      <c r="M28" s="267">
        <f>'Direct Install'!E19</f>
        <v>41640</v>
      </c>
      <c r="N28" s="267">
        <f>'Direct Install'!F19</f>
        <v>61416</v>
      </c>
      <c r="O28" s="268">
        <f t="shared" si="4"/>
        <v>108063</v>
      </c>
    </row>
    <row r="29" spans="1:15" ht="12.75">
      <c r="A29" s="187" t="s">
        <v>59</v>
      </c>
      <c r="B29" s="267">
        <f t="shared" si="3"/>
        <v>0</v>
      </c>
      <c r="C29" s="267"/>
      <c r="D29" s="267"/>
      <c r="E29" s="267"/>
      <c r="F29" s="267"/>
      <c r="G29" s="267"/>
      <c r="H29" s="267"/>
      <c r="I29" s="267"/>
      <c r="J29" s="267">
        <f>CHP!J26</f>
        <v>141</v>
      </c>
      <c r="K29" s="267">
        <f>CHP!K26</f>
        <v>0</v>
      </c>
      <c r="L29" s="267">
        <f>CHP!L26</f>
        <v>2000</v>
      </c>
      <c r="M29" s="267">
        <f>CHP!M26</f>
        <v>0</v>
      </c>
      <c r="N29" s="267">
        <f>CHP!N26</f>
        <v>0</v>
      </c>
      <c r="O29" s="268">
        <f t="shared" si="4"/>
        <v>2141</v>
      </c>
    </row>
    <row r="30" spans="1:15" ht="12.75">
      <c r="A30" s="187" t="s">
        <v>412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>
        <f>LEUP!C19</f>
        <v>69</v>
      </c>
      <c r="O30" s="268">
        <f t="shared" si="4"/>
        <v>69</v>
      </c>
    </row>
    <row r="31" spans="1:16" ht="12.75">
      <c r="A31" s="29" t="s">
        <v>381</v>
      </c>
      <c r="B31" s="269">
        <f t="shared" si="3"/>
        <v>725321</v>
      </c>
      <c r="C31" s="269">
        <f>'C&amp;I'!C52</f>
        <v>30943</v>
      </c>
      <c r="D31" s="269">
        <f>'C&amp;I'!D52</f>
        <v>144635</v>
      </c>
      <c r="E31" s="269">
        <f>'C&amp;I'!E52</f>
        <v>197347</v>
      </c>
      <c r="F31" s="269">
        <f>'C&amp;I'!F52</f>
        <v>204144</v>
      </c>
      <c r="G31" s="269">
        <f aca="true" t="shared" si="5" ref="G31:N31">SUM(G22:G30)</f>
        <v>148252</v>
      </c>
      <c r="H31" s="269">
        <f t="shared" si="5"/>
        <v>98377</v>
      </c>
      <c r="I31" s="269">
        <f t="shared" si="5"/>
        <v>90589</v>
      </c>
      <c r="J31" s="269">
        <f t="shared" si="5"/>
        <v>99663</v>
      </c>
      <c r="K31" s="269">
        <f t="shared" si="5"/>
        <v>95791</v>
      </c>
      <c r="L31" s="269">
        <f t="shared" si="5"/>
        <v>134365</v>
      </c>
      <c r="M31" s="269">
        <f t="shared" si="5"/>
        <v>177334</v>
      </c>
      <c r="N31" s="269">
        <f t="shared" si="5"/>
        <v>251520</v>
      </c>
      <c r="O31" s="269">
        <f t="shared" si="4"/>
        <v>1672960</v>
      </c>
      <c r="P31" s="142"/>
    </row>
    <row r="32" spans="1:15" ht="12.75">
      <c r="A32" s="245" t="s">
        <v>119</v>
      </c>
      <c r="B32" s="267">
        <f t="shared" si="3"/>
        <v>4118</v>
      </c>
      <c r="C32" s="267"/>
      <c r="D32" s="267"/>
      <c r="E32" s="267"/>
      <c r="F32" s="267"/>
      <c r="G32" s="267">
        <f>'Cool Cities'!D18</f>
        <v>4118</v>
      </c>
      <c r="H32" s="267">
        <f>'Cool Cities'!E18</f>
        <v>1897</v>
      </c>
      <c r="I32" s="267">
        <f>'Cool Cities'!F18</f>
        <v>1127</v>
      </c>
      <c r="J32" s="267">
        <f>'Cool Cities'!G18</f>
        <v>373</v>
      </c>
      <c r="K32" s="267">
        <f>'Cool Cities'!H18</f>
        <v>455</v>
      </c>
      <c r="L32" s="267"/>
      <c r="M32" s="267"/>
      <c r="N32" s="267"/>
      <c r="O32" s="268">
        <f t="shared" si="4"/>
        <v>7970</v>
      </c>
    </row>
    <row r="33" spans="1:16" ht="12.75">
      <c r="A33" s="29" t="s">
        <v>107</v>
      </c>
      <c r="B33" s="269">
        <f t="shared" si="3"/>
        <v>1076217</v>
      </c>
      <c r="C33" s="269">
        <f aca="true" t="shared" si="6" ref="C33:M33">C32+C31+C20+C17</f>
        <v>50672</v>
      </c>
      <c r="D33" s="269">
        <f t="shared" si="6"/>
        <v>168796</v>
      </c>
      <c r="E33" s="269">
        <f t="shared" si="6"/>
        <v>285577</v>
      </c>
      <c r="F33" s="269">
        <f t="shared" si="6"/>
        <v>328513</v>
      </c>
      <c r="G33" s="269">
        <f t="shared" si="6"/>
        <v>242659</v>
      </c>
      <c r="H33" s="269">
        <f t="shared" si="6"/>
        <v>128252</v>
      </c>
      <c r="I33" s="269">
        <f t="shared" si="6"/>
        <v>228721</v>
      </c>
      <c r="J33" s="269">
        <f t="shared" si="6"/>
        <v>335001</v>
      </c>
      <c r="K33" s="269">
        <f t="shared" si="6"/>
        <v>462162</v>
      </c>
      <c r="L33" s="269">
        <f t="shared" si="6"/>
        <v>347906.80000000005</v>
      </c>
      <c r="M33" s="269">
        <f t="shared" si="6"/>
        <v>453682.1</v>
      </c>
      <c r="N33" s="269">
        <f>N32+N31+N20+N17</f>
        <v>638802</v>
      </c>
      <c r="O33" s="269">
        <f t="shared" si="4"/>
        <v>3670743.9</v>
      </c>
      <c r="P33" s="142"/>
    </row>
    <row r="34" spans="1:16" ht="12.75">
      <c r="A34" s="34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142"/>
    </row>
    <row r="35" spans="1:16" ht="12.75">
      <c r="A35" s="67" t="s">
        <v>205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142"/>
    </row>
    <row r="36" spans="1:16" ht="12.75">
      <c r="A36" s="187" t="s">
        <v>411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>
        <f>'P4P '!K78</f>
        <v>17520</v>
      </c>
      <c r="O36" s="268"/>
      <c r="P36" s="142"/>
    </row>
    <row r="37" spans="1:16" ht="12.75">
      <c r="A37" s="187" t="s">
        <v>59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>
        <f>CHP!N75</f>
        <v>0</v>
      </c>
      <c r="O37" s="268"/>
      <c r="P37" s="142"/>
    </row>
    <row r="38" spans="1:16" ht="12.75">
      <c r="A38" s="48" t="s">
        <v>1</v>
      </c>
      <c r="B38" s="269">
        <f>SUM(C38:G38)</f>
        <v>767</v>
      </c>
      <c r="C38" s="269"/>
      <c r="D38" s="269"/>
      <c r="E38" s="269"/>
      <c r="F38" s="269"/>
      <c r="G38" s="269">
        <f>CHP!G75</f>
        <v>767</v>
      </c>
      <c r="H38" s="269">
        <f>CHP!H75</f>
        <v>12575</v>
      </c>
      <c r="I38" s="269">
        <f>CHP!I75</f>
        <v>102125</v>
      </c>
      <c r="J38" s="269">
        <f>CHP!J75</f>
        <v>9114</v>
      </c>
      <c r="K38" s="269">
        <f>CHP!K75</f>
        <v>35317</v>
      </c>
      <c r="L38" s="269">
        <f>CHP!L75</f>
        <v>47743</v>
      </c>
      <c r="M38" s="269">
        <f>CHP!M75</f>
        <v>0</v>
      </c>
      <c r="N38" s="269">
        <f>SUM(N36:N37)</f>
        <v>17520</v>
      </c>
      <c r="O38" s="269">
        <f>SUM(C38:N38)</f>
        <v>225161</v>
      </c>
      <c r="P38" s="160" t="s">
        <v>103</v>
      </c>
    </row>
    <row r="39" spans="1:16" ht="12.75">
      <c r="A39" s="34" t="s">
        <v>103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42"/>
    </row>
    <row r="40" spans="1:15" ht="12.75">
      <c r="A40" s="161" t="s">
        <v>12</v>
      </c>
      <c r="B40" s="152" t="s">
        <v>13</v>
      </c>
      <c r="C40" s="152" t="s">
        <v>13</v>
      </c>
      <c r="D40" s="152" t="s">
        <v>13</v>
      </c>
      <c r="E40" s="152" t="s">
        <v>13</v>
      </c>
      <c r="F40" s="152" t="s">
        <v>13</v>
      </c>
      <c r="G40" s="152" t="s">
        <v>13</v>
      </c>
      <c r="H40" s="152" t="s">
        <v>13</v>
      </c>
      <c r="I40" s="152" t="s">
        <v>13</v>
      </c>
      <c r="J40" s="152" t="s">
        <v>13</v>
      </c>
      <c r="K40" s="152" t="s">
        <v>13</v>
      </c>
      <c r="L40" s="152" t="s">
        <v>13</v>
      </c>
      <c r="M40" s="152" t="s">
        <v>13</v>
      </c>
      <c r="N40" s="152" t="s">
        <v>13</v>
      </c>
      <c r="O40" s="152" t="s">
        <v>13</v>
      </c>
    </row>
    <row r="41" spans="1:15" ht="12.75">
      <c r="A41" s="245" t="s">
        <v>81</v>
      </c>
      <c r="B41" s="267">
        <f aca="true" t="shared" si="7" ref="B41:B46">SUM(C41:G41)</f>
        <v>654419</v>
      </c>
      <c r="C41" s="267">
        <f>'Res HVAC'!C31</f>
        <v>117212</v>
      </c>
      <c r="D41" s="267">
        <f>'Res HVAC'!D31</f>
        <v>144346</v>
      </c>
      <c r="E41" s="267">
        <f>'Res HVAC'!E31</f>
        <v>118900</v>
      </c>
      <c r="F41" s="267">
        <f>'Res HVAC'!F31</f>
        <v>135002</v>
      </c>
      <c r="G41" s="267">
        <f>'Res HVAC'!G31</f>
        <v>138959</v>
      </c>
      <c r="H41" s="267">
        <f>'Res HVAC'!H31</f>
        <v>231174</v>
      </c>
      <c r="I41" s="267">
        <f>'Res HVAC'!I31</f>
        <v>205199</v>
      </c>
      <c r="J41" s="267">
        <f>'Res HVAC'!J31</f>
        <v>167668</v>
      </c>
      <c r="K41" s="267">
        <f>'Res HVAC'!K31</f>
        <v>202257</v>
      </c>
      <c r="L41" s="267">
        <f>'Res HVAC'!L31</f>
        <v>259633</v>
      </c>
      <c r="M41" s="267">
        <f>'Res HVAC'!M31</f>
        <v>343759</v>
      </c>
      <c r="N41" s="267">
        <f>'Res HVAC'!N31</f>
        <v>343517</v>
      </c>
      <c r="O41" s="267">
        <f aca="true" t="shared" si="8" ref="O41:O46">SUM(C41:N41)</f>
        <v>2407626</v>
      </c>
    </row>
    <row r="42" spans="1:15" ht="12.75">
      <c r="A42" s="245" t="s">
        <v>82</v>
      </c>
      <c r="B42" s="267">
        <f t="shared" si="7"/>
        <v>644169</v>
      </c>
      <c r="C42" s="267">
        <f>RNC!C29</f>
        <v>356</v>
      </c>
      <c r="D42" s="267">
        <f>RNC!D29</f>
        <v>83638</v>
      </c>
      <c r="E42" s="267">
        <f>RNC!E29</f>
        <v>136914</v>
      </c>
      <c r="F42" s="267">
        <f>RNC!F29</f>
        <v>183693</v>
      </c>
      <c r="G42" s="267">
        <f>RNC!G29</f>
        <v>239568</v>
      </c>
      <c r="H42" s="267">
        <f>RNC!H29</f>
        <v>164504</v>
      </c>
      <c r="I42" s="267">
        <f>RNC!I29</f>
        <v>156698</v>
      </c>
      <c r="J42" s="267">
        <f>RNC!J29</f>
        <v>109223</v>
      </c>
      <c r="K42" s="267">
        <f>RNC!K29</f>
        <v>76797</v>
      </c>
      <c r="L42" s="267">
        <f>RNC!L29</f>
        <v>79178</v>
      </c>
      <c r="M42" s="267">
        <f>RNC!M29</f>
        <v>60733</v>
      </c>
      <c r="N42" s="267">
        <f>RNC!N29</f>
        <v>74397</v>
      </c>
      <c r="O42" s="267">
        <f t="shared" si="8"/>
        <v>1365699</v>
      </c>
    </row>
    <row r="43" spans="1:15" ht="12.75">
      <c r="A43" s="245" t="s">
        <v>83</v>
      </c>
      <c r="B43" s="267">
        <f t="shared" si="7"/>
        <v>0</v>
      </c>
      <c r="C43" s="267">
        <v>0</v>
      </c>
      <c r="D43" s="267">
        <v>0</v>
      </c>
      <c r="E43" s="267">
        <v>0</v>
      </c>
      <c r="F43" s="267">
        <v>0</v>
      </c>
      <c r="G43" s="267">
        <v>0</v>
      </c>
      <c r="H43" s="267">
        <f>'Home Perf'!B35</f>
        <v>108</v>
      </c>
      <c r="I43" s="267">
        <f>'Energy Star'!I87</f>
        <v>1943</v>
      </c>
      <c r="J43" s="267">
        <f>'Energy Star'!J87</f>
        <v>20006</v>
      </c>
      <c r="K43" s="267">
        <f>'Energy Star'!K87</f>
        <v>22843</v>
      </c>
      <c r="L43" s="267">
        <f>'Energy Star'!L87</f>
        <v>26540</v>
      </c>
      <c r="M43" s="267">
        <f>'Energy Star'!M87</f>
        <v>27055.6</v>
      </c>
      <c r="N43" s="267">
        <f>'Energy Star'!N87</f>
        <v>24756</v>
      </c>
      <c r="O43" s="267">
        <f t="shared" si="8"/>
        <v>123251.6</v>
      </c>
    </row>
    <row r="44" spans="1:15" ht="12.75">
      <c r="A44" s="245" t="s">
        <v>197</v>
      </c>
      <c r="B44" s="267">
        <f t="shared" si="7"/>
        <v>0</v>
      </c>
      <c r="C44" s="267"/>
      <c r="D44" s="267"/>
      <c r="E44" s="267"/>
      <c r="F44" s="267"/>
      <c r="G44" s="267"/>
      <c r="H44" s="267"/>
      <c r="I44" s="267">
        <f>'Home Perf'!C35</f>
        <v>803</v>
      </c>
      <c r="J44" s="267">
        <f>'Home Perf'!D35</f>
        <v>3835</v>
      </c>
      <c r="K44" s="267">
        <f>'Home Perf'!E35</f>
        <v>23909</v>
      </c>
      <c r="L44" s="267">
        <f>'Home Perf'!F35</f>
        <v>73438</v>
      </c>
      <c r="M44" s="267">
        <f>'Home Perf'!G35</f>
        <v>95298.35</v>
      </c>
      <c r="N44" s="267">
        <f>'Home Perf'!H35</f>
        <v>136412</v>
      </c>
      <c r="O44" s="267">
        <f t="shared" si="8"/>
        <v>333695.35</v>
      </c>
    </row>
    <row r="45" spans="1:15" ht="12.75">
      <c r="A45" s="245" t="s">
        <v>177</v>
      </c>
      <c r="B45" s="267">
        <f t="shared" si="7"/>
        <v>0</v>
      </c>
      <c r="C45" s="267"/>
      <c r="D45" s="267"/>
      <c r="E45" s="267"/>
      <c r="F45" s="267"/>
      <c r="G45" s="267"/>
      <c r="H45" s="267">
        <v>37</v>
      </c>
      <c r="I45" s="267">
        <v>0</v>
      </c>
      <c r="J45" s="267">
        <v>0</v>
      </c>
      <c r="K45" s="267">
        <v>0</v>
      </c>
      <c r="L45" s="267">
        <v>0</v>
      </c>
      <c r="M45" s="267">
        <v>0</v>
      </c>
      <c r="N45" s="267">
        <v>0</v>
      </c>
      <c r="O45" s="267">
        <f t="shared" si="8"/>
        <v>37</v>
      </c>
    </row>
    <row r="46" spans="1:15" ht="12.75">
      <c r="A46" s="29" t="s">
        <v>88</v>
      </c>
      <c r="B46" s="269">
        <f t="shared" si="7"/>
        <v>1298588</v>
      </c>
      <c r="C46" s="269">
        <f aca="true" t="shared" si="9" ref="C46:K46">SUM(C41:C45)</f>
        <v>117568</v>
      </c>
      <c r="D46" s="269">
        <f t="shared" si="9"/>
        <v>227984</v>
      </c>
      <c r="E46" s="269">
        <f t="shared" si="9"/>
        <v>255814</v>
      </c>
      <c r="F46" s="269">
        <f t="shared" si="9"/>
        <v>318695</v>
      </c>
      <c r="G46" s="269">
        <f t="shared" si="9"/>
        <v>378527</v>
      </c>
      <c r="H46" s="269">
        <f t="shared" si="9"/>
        <v>395823</v>
      </c>
      <c r="I46" s="269">
        <f t="shared" si="9"/>
        <v>364643</v>
      </c>
      <c r="J46" s="269">
        <f t="shared" si="9"/>
        <v>300732</v>
      </c>
      <c r="K46" s="269">
        <f t="shared" si="9"/>
        <v>325806</v>
      </c>
      <c r="L46" s="269">
        <f>SUM(L41:L45)</f>
        <v>438789</v>
      </c>
      <c r="M46" s="269">
        <f>SUM(M41:M45)</f>
        <v>526845.95</v>
      </c>
      <c r="N46" s="269">
        <f>SUM(N41:N45)</f>
        <v>579082</v>
      </c>
      <c r="O46" s="269">
        <f t="shared" si="8"/>
        <v>4230308.95</v>
      </c>
    </row>
    <row r="47" spans="1:15" ht="12.75">
      <c r="A47" s="34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2.75">
      <c r="A48" s="67" t="s">
        <v>87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ht="12.75">
      <c r="A49" s="245" t="s">
        <v>2</v>
      </c>
      <c r="B49" s="268">
        <f aca="true" t="shared" si="10" ref="B49:B62">SUM(C49:G49)</f>
        <v>338487</v>
      </c>
      <c r="C49" s="268">
        <f>'Low-income'!C37</f>
        <v>91776</v>
      </c>
      <c r="D49" s="268">
        <f>'Low-income'!D37</f>
        <v>73523</v>
      </c>
      <c r="E49" s="268">
        <f>'Low-income'!E37</f>
        <v>65035</v>
      </c>
      <c r="F49" s="268">
        <f>'Low-income'!F37</f>
        <v>59420</v>
      </c>
      <c r="G49" s="268">
        <f>'Low-income'!G37</f>
        <v>48733</v>
      </c>
      <c r="H49" s="268">
        <f>'Low-income'!H37</f>
        <v>42526</v>
      </c>
      <c r="I49" s="268">
        <f>'Low-income'!I37</f>
        <v>48101</v>
      </c>
      <c r="J49" s="268">
        <f>'Low-income'!J37</f>
        <v>73535</v>
      </c>
      <c r="K49" s="268">
        <f>'Low-income'!K37</f>
        <v>80504</v>
      </c>
      <c r="L49" s="268">
        <f>'Low-income'!L37</f>
        <v>65642</v>
      </c>
      <c r="M49" s="268">
        <f>'Low-income'!M37</f>
        <v>88278</v>
      </c>
      <c r="N49" s="268">
        <f>'Low-income'!N37</f>
        <v>87348</v>
      </c>
      <c r="O49" s="268">
        <f>SUM(C49:N49)</f>
        <v>824421</v>
      </c>
    </row>
    <row r="50" spans="1:15" ht="12.75">
      <c r="A50" s="247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</row>
    <row r="51" spans="1:15" ht="12.75">
      <c r="A51" s="346" t="s">
        <v>58</v>
      </c>
      <c r="B51" s="267">
        <f t="shared" si="10"/>
        <v>12335</v>
      </c>
      <c r="C51" s="267"/>
      <c r="D51" s="267"/>
      <c r="E51" s="267"/>
      <c r="F51" s="267"/>
      <c r="G51" s="267">
        <f>'C&amp;I'!G69</f>
        <v>12335</v>
      </c>
      <c r="H51" s="267">
        <f>'C&amp;I'!H69</f>
        <v>2855</v>
      </c>
      <c r="I51" s="267">
        <f>'C&amp;I'!I69</f>
        <v>6303</v>
      </c>
      <c r="J51" s="267">
        <f>'C&amp;I'!J69</f>
        <v>18311</v>
      </c>
      <c r="K51" s="267">
        <f>'C&amp;I'!K69</f>
        <v>1368</v>
      </c>
      <c r="L51" s="267">
        <f>'C&amp;I'!L69</f>
        <v>104998</v>
      </c>
      <c r="M51" s="267">
        <f>'C&amp;I'!M69</f>
        <v>4361</v>
      </c>
      <c r="N51" s="267">
        <f>'C&amp;I'!N69</f>
        <v>3407</v>
      </c>
      <c r="O51" s="267">
        <f aca="true" t="shared" si="11" ref="O51:O62">SUM(C51:N51)</f>
        <v>153938</v>
      </c>
    </row>
    <row r="52" spans="1:15" ht="12.75">
      <c r="A52" s="347" t="s">
        <v>61</v>
      </c>
      <c r="B52" s="267">
        <f t="shared" si="10"/>
        <v>175613</v>
      </c>
      <c r="C52" s="267"/>
      <c r="D52" s="267"/>
      <c r="E52" s="267"/>
      <c r="F52" s="267"/>
      <c r="G52" s="267">
        <f>'C&amp;I'!G70</f>
        <v>175613</v>
      </c>
      <c r="H52" s="267">
        <f>'C&amp;I'!H70</f>
        <v>171062</v>
      </c>
      <c r="I52" s="267">
        <f>'C&amp;I'!I70</f>
        <v>32282</v>
      </c>
      <c r="J52" s="267">
        <f>'C&amp;I'!J70</f>
        <v>38647</v>
      </c>
      <c r="K52" s="267">
        <f>'C&amp;I'!K70</f>
        <v>42012</v>
      </c>
      <c r="L52" s="267">
        <f>'C&amp;I'!L70</f>
        <v>148987</v>
      </c>
      <c r="M52" s="267">
        <f>'C&amp;I'!M70</f>
        <v>56381</v>
      </c>
      <c r="N52" s="267">
        <f>'C&amp;I'!N70</f>
        <v>138155</v>
      </c>
      <c r="O52" s="267">
        <f t="shared" si="11"/>
        <v>803139</v>
      </c>
    </row>
    <row r="53" spans="1:15" ht="12.75">
      <c r="A53" s="347" t="s">
        <v>384</v>
      </c>
      <c r="B53" s="267">
        <f t="shared" si="10"/>
        <v>2053</v>
      </c>
      <c r="C53" s="267"/>
      <c r="D53" s="267"/>
      <c r="E53" s="267"/>
      <c r="F53" s="267"/>
      <c r="G53" s="267">
        <f>'C&amp;I'!G71</f>
        <v>2053</v>
      </c>
      <c r="H53" s="267">
        <f>'C&amp;I'!H71</f>
        <v>27913</v>
      </c>
      <c r="I53" s="267">
        <f>'C&amp;I'!I71</f>
        <v>2228</v>
      </c>
      <c r="J53" s="267">
        <f>'C&amp;I'!J71</f>
        <v>6396</v>
      </c>
      <c r="K53" s="267">
        <f>'C&amp;I'!K71</f>
        <v>10132</v>
      </c>
      <c r="L53" s="267">
        <f>'C&amp;I'!L71</f>
        <v>0</v>
      </c>
      <c r="M53" s="267">
        <f>'C&amp;I'!M71</f>
        <v>0</v>
      </c>
      <c r="N53" s="267">
        <f>'C&amp;I'!N71</f>
        <v>0</v>
      </c>
      <c r="O53" s="267">
        <f t="shared" si="11"/>
        <v>48722</v>
      </c>
    </row>
    <row r="54" spans="1:15" ht="12.75">
      <c r="A54" s="187" t="s">
        <v>287</v>
      </c>
      <c r="B54" s="267">
        <f t="shared" si="10"/>
        <v>0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>
        <f>'P4P '!I40</f>
        <v>0</v>
      </c>
      <c r="M54" s="267">
        <f>'P4P '!J40</f>
        <v>45344</v>
      </c>
      <c r="N54" s="267">
        <f>'P4P '!K38</f>
        <v>116964</v>
      </c>
      <c r="O54" s="267">
        <f t="shared" si="11"/>
        <v>162308</v>
      </c>
    </row>
    <row r="55" spans="1:15" ht="12.75">
      <c r="A55" s="187" t="s">
        <v>411</v>
      </c>
      <c r="B55" s="267">
        <f t="shared" si="10"/>
        <v>0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>
        <f>'P4P '!K39</f>
        <v>83277</v>
      </c>
      <c r="O55" s="267">
        <f t="shared" si="11"/>
        <v>83277</v>
      </c>
    </row>
    <row r="56" spans="1:15" ht="12.75">
      <c r="A56" s="187" t="s">
        <v>288</v>
      </c>
      <c r="B56" s="267">
        <f t="shared" si="10"/>
        <v>0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>
        <f>'P4P NC'!B32</f>
        <v>0</v>
      </c>
      <c r="M56" s="267">
        <f>'P4P NC'!C32</f>
        <v>0</v>
      </c>
      <c r="N56" s="267">
        <f>'P4P NC'!D32</f>
        <v>0</v>
      </c>
      <c r="O56" s="267">
        <f t="shared" si="11"/>
        <v>0</v>
      </c>
    </row>
    <row r="57" spans="1:15" ht="12.75">
      <c r="A57" s="187" t="s">
        <v>229</v>
      </c>
      <c r="B57" s="267">
        <f t="shared" si="10"/>
        <v>0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>
        <f>'Direct Install'!D29</f>
        <v>4487</v>
      </c>
      <c r="M57" s="267">
        <f>'Direct Install'!E29</f>
        <v>61347</v>
      </c>
      <c r="N57" s="267">
        <f>'Direct Install'!F29</f>
        <v>75657</v>
      </c>
      <c r="O57" s="267">
        <f t="shared" si="11"/>
        <v>141491</v>
      </c>
    </row>
    <row r="58" spans="1:15" ht="12.75">
      <c r="A58" s="245" t="s">
        <v>402</v>
      </c>
      <c r="B58" s="333">
        <f t="shared" si="10"/>
        <v>0</v>
      </c>
      <c r="C58" s="271"/>
      <c r="D58" s="271"/>
      <c r="E58" s="271"/>
      <c r="F58" s="271"/>
      <c r="G58" s="271"/>
      <c r="H58" s="271"/>
      <c r="I58" s="333">
        <f>CHP!I52</f>
        <v>526105</v>
      </c>
      <c r="J58" s="333">
        <f>CHP!J52</f>
        <v>52103</v>
      </c>
      <c r="K58" s="333">
        <f>CHP!K52</f>
        <v>176521</v>
      </c>
      <c r="L58" s="333">
        <f>CHP!L52</f>
        <v>171923</v>
      </c>
      <c r="M58" s="333">
        <f>CHP!M52</f>
        <v>0</v>
      </c>
      <c r="N58" s="333">
        <f>CHP!N52</f>
        <v>0</v>
      </c>
      <c r="O58" s="267">
        <f t="shared" si="11"/>
        <v>926652</v>
      </c>
    </row>
    <row r="59" spans="1:15" ht="12.75">
      <c r="A59" s="187" t="s">
        <v>412</v>
      </c>
      <c r="B59" s="333"/>
      <c r="C59" s="271"/>
      <c r="D59" s="271"/>
      <c r="E59" s="271"/>
      <c r="F59" s="271"/>
      <c r="G59" s="271"/>
      <c r="H59" s="271"/>
      <c r="I59" s="333"/>
      <c r="J59" s="333"/>
      <c r="K59" s="333"/>
      <c r="L59" s="333"/>
      <c r="M59" s="333"/>
      <c r="N59" s="333">
        <f>LEUP!C29</f>
        <v>145315</v>
      </c>
      <c r="O59" s="267">
        <f t="shared" si="11"/>
        <v>145315</v>
      </c>
    </row>
    <row r="60" spans="1:15" ht="12.75">
      <c r="A60" s="187" t="s">
        <v>403</v>
      </c>
      <c r="B60" s="267">
        <f t="shared" si="10"/>
        <v>5825</v>
      </c>
      <c r="C60" s="267">
        <f>CORE!C27</f>
        <v>0</v>
      </c>
      <c r="D60" s="267">
        <f>CORE!D27</f>
        <v>4161</v>
      </c>
      <c r="E60" s="267">
        <f>CORE!E27</f>
        <v>1664</v>
      </c>
      <c r="F60" s="267">
        <f>CORE!F27</f>
        <v>0</v>
      </c>
      <c r="G60" s="267">
        <f>CORE!G27</f>
        <v>0</v>
      </c>
      <c r="H60" s="267">
        <f>CORE!H27</f>
        <v>0</v>
      </c>
      <c r="I60" s="267">
        <f>CORE!I27</f>
        <v>0</v>
      </c>
      <c r="J60" s="267">
        <f>CORE!J27</f>
        <v>0</v>
      </c>
      <c r="K60" s="267">
        <f>CORE!K27</f>
        <v>0</v>
      </c>
      <c r="L60" s="267">
        <f>CORE!L27</f>
        <v>0</v>
      </c>
      <c r="M60" s="267">
        <f>CORE!M27</f>
        <v>0</v>
      </c>
      <c r="N60" s="267">
        <f>CORE!N27</f>
        <v>0</v>
      </c>
      <c r="O60" s="267">
        <f t="shared" si="11"/>
        <v>5825</v>
      </c>
    </row>
    <row r="61" spans="1:15" ht="12.75">
      <c r="A61" s="29" t="s">
        <v>251</v>
      </c>
      <c r="B61" s="269">
        <f t="shared" si="10"/>
        <v>406081</v>
      </c>
      <c r="C61" s="269">
        <f>'C&amp;I'!C72</f>
        <v>33802</v>
      </c>
      <c r="D61" s="269">
        <f>'C&amp;I'!D72+D60</f>
        <v>37665</v>
      </c>
      <c r="E61" s="269">
        <f>'C&amp;I'!E72+E60</f>
        <v>89969</v>
      </c>
      <c r="F61" s="269">
        <f>'C&amp;I'!F72</f>
        <v>54644</v>
      </c>
      <c r="G61" s="269">
        <f aca="true" t="shared" si="12" ref="G61:L61">SUM(G51:G60)</f>
        <v>190001</v>
      </c>
      <c r="H61" s="269">
        <f t="shared" si="12"/>
        <v>201830</v>
      </c>
      <c r="I61" s="269">
        <f t="shared" si="12"/>
        <v>566918</v>
      </c>
      <c r="J61" s="269">
        <f t="shared" si="12"/>
        <v>115457</v>
      </c>
      <c r="K61" s="269">
        <f t="shared" si="12"/>
        <v>230033</v>
      </c>
      <c r="L61" s="269">
        <f t="shared" si="12"/>
        <v>430395</v>
      </c>
      <c r="M61" s="269">
        <f>SUM(M51:M60)</f>
        <v>167433</v>
      </c>
      <c r="N61" s="269">
        <f>SUM(N51:N60)</f>
        <v>562775</v>
      </c>
      <c r="O61" s="269">
        <f t="shared" si="11"/>
        <v>2680922</v>
      </c>
    </row>
    <row r="62" spans="1:15" ht="12.75">
      <c r="A62" s="29" t="s">
        <v>239</v>
      </c>
      <c r="B62" s="269">
        <f t="shared" si="10"/>
        <v>2043156</v>
      </c>
      <c r="C62" s="269">
        <f>C61+C49+C46</f>
        <v>243146</v>
      </c>
      <c r="D62" s="269">
        <f>D61+D49+D46</f>
        <v>339172</v>
      </c>
      <c r="E62" s="269">
        <f aca="true" t="shared" si="13" ref="E62:K62">E61+E49+E46</f>
        <v>410818</v>
      </c>
      <c r="F62" s="269">
        <f t="shared" si="13"/>
        <v>432759</v>
      </c>
      <c r="G62" s="269">
        <f t="shared" si="13"/>
        <v>617261</v>
      </c>
      <c r="H62" s="269">
        <f t="shared" si="13"/>
        <v>640179</v>
      </c>
      <c r="I62" s="269">
        <f>I61+I49+I46</f>
        <v>979662</v>
      </c>
      <c r="J62" s="269">
        <f t="shared" si="13"/>
        <v>489724</v>
      </c>
      <c r="K62" s="269">
        <f t="shared" si="13"/>
        <v>636343</v>
      </c>
      <c r="L62" s="269">
        <f>L61+L49+L46</f>
        <v>934826</v>
      </c>
      <c r="M62" s="269">
        <f>M61+M49+M46</f>
        <v>782556.95</v>
      </c>
      <c r="N62" s="269">
        <f>N61+N49+N46</f>
        <v>1229205</v>
      </c>
      <c r="O62" s="269">
        <f t="shared" si="11"/>
        <v>7735651.95</v>
      </c>
    </row>
    <row r="63" spans="1:15" ht="12.75">
      <c r="A63" s="348" t="s">
        <v>356</v>
      </c>
      <c r="B63" s="158"/>
      <c r="C63" s="75"/>
      <c r="D63" s="75"/>
      <c r="E63" s="75"/>
      <c r="F63" s="75"/>
      <c r="G63" s="75"/>
      <c r="H63" s="75"/>
      <c r="I63" s="158"/>
      <c r="J63" s="158"/>
      <c r="K63" s="158"/>
      <c r="L63" s="158"/>
      <c r="M63" s="158"/>
      <c r="N63" s="158"/>
      <c r="O63" s="158"/>
    </row>
    <row r="65" spans="1:15" ht="26.25">
      <c r="A65" s="342" t="s">
        <v>128</v>
      </c>
      <c r="B65" s="227" t="str">
        <f>B3</f>
        <v>Summary 
2001 to 2005*</v>
      </c>
      <c r="C65" s="107">
        <v>2001</v>
      </c>
      <c r="D65" s="107">
        <v>2002</v>
      </c>
      <c r="E65" s="107">
        <v>2003</v>
      </c>
      <c r="F65" s="107">
        <v>2004</v>
      </c>
      <c r="G65" s="107">
        <v>2005</v>
      </c>
      <c r="H65" s="107">
        <v>2006</v>
      </c>
      <c r="I65" s="107">
        <v>2007</v>
      </c>
      <c r="J65" s="107">
        <v>2008</v>
      </c>
      <c r="K65" s="107">
        <v>2009</v>
      </c>
      <c r="L65" s="107">
        <v>2010</v>
      </c>
      <c r="M65" s="107">
        <v>2011</v>
      </c>
      <c r="N65" s="227" t="str">
        <f>N3</f>
        <v>(18 month)1
2012-2013</v>
      </c>
      <c r="O65" s="227" t="str">
        <f>O3</f>
        <v>Total
2001-2013</v>
      </c>
    </row>
    <row r="66" spans="2:15" ht="12.75">
      <c r="B66" s="153" t="s">
        <v>11</v>
      </c>
      <c r="C66" s="153" t="s">
        <v>11</v>
      </c>
      <c r="D66" s="153" t="s">
        <v>11</v>
      </c>
      <c r="E66" s="153" t="s">
        <v>11</v>
      </c>
      <c r="F66" s="153" t="s">
        <v>11</v>
      </c>
      <c r="G66" s="153" t="s">
        <v>11</v>
      </c>
      <c r="H66" s="153" t="s">
        <v>11</v>
      </c>
      <c r="I66" s="89" t="s">
        <v>11</v>
      </c>
      <c r="J66" s="89" t="s">
        <v>11</v>
      </c>
      <c r="K66" s="89" t="s">
        <v>11</v>
      </c>
      <c r="L66" s="89" t="s">
        <v>11</v>
      </c>
      <c r="M66" s="89" t="s">
        <v>11</v>
      </c>
      <c r="N66" s="89" t="s">
        <v>11</v>
      </c>
      <c r="O66" s="153" t="s">
        <v>11</v>
      </c>
    </row>
    <row r="67" spans="1:15" ht="12.75">
      <c r="A67" s="245" t="s">
        <v>81</v>
      </c>
      <c r="B67" s="267">
        <f aca="true" t="shared" si="14" ref="B67:B79">SUM(C67:G67)</f>
        <v>62634</v>
      </c>
      <c r="C67" s="267">
        <f>'Res HVAC'!C28</f>
        <v>10761</v>
      </c>
      <c r="D67" s="267">
        <f>'Res HVAC'!D28</f>
        <v>13825</v>
      </c>
      <c r="E67" s="267">
        <f>'Res HVAC'!E28</f>
        <v>12254</v>
      </c>
      <c r="F67" s="267">
        <f>'Res HVAC'!F28</f>
        <v>13065</v>
      </c>
      <c r="G67" s="267">
        <f>'Res HVAC'!G28</f>
        <v>12729</v>
      </c>
      <c r="H67" s="267">
        <f>'Res HVAC'!H28</f>
        <v>9651</v>
      </c>
      <c r="I67" s="267">
        <f>'Res HVAC'!I28</f>
        <v>10666</v>
      </c>
      <c r="J67" s="267">
        <f>'Res HVAC'!J28</f>
        <v>2710</v>
      </c>
      <c r="K67" s="267">
        <f>'Res HVAC'!K28</f>
        <v>1804</v>
      </c>
      <c r="L67" s="267">
        <f>'Res HVAC'!L28</f>
        <v>4825</v>
      </c>
      <c r="M67" s="267">
        <f>'Res HVAC'!M28</f>
        <v>6845</v>
      </c>
      <c r="N67" s="267">
        <f>'Res HVAC'!N28</f>
        <v>6715</v>
      </c>
      <c r="O67" s="267">
        <f aca="true" t="shared" si="15" ref="O67:O79">SUM(C67:N67)</f>
        <v>105850</v>
      </c>
    </row>
    <row r="68" spans="1:17" ht="12.75">
      <c r="A68" s="245" t="s">
        <v>82</v>
      </c>
      <c r="B68" s="267">
        <f t="shared" si="14"/>
        <v>48393</v>
      </c>
      <c r="C68" s="267">
        <f>RNC!C26</f>
        <v>11</v>
      </c>
      <c r="D68" s="267">
        <f>RNC!D26</f>
        <v>3415</v>
      </c>
      <c r="E68" s="267">
        <f>RNC!E26</f>
        <v>11201</v>
      </c>
      <c r="F68" s="267">
        <f>RNC!F26</f>
        <v>14869</v>
      </c>
      <c r="G68" s="267">
        <f>RNC!G26</f>
        <v>18897</v>
      </c>
      <c r="H68" s="267">
        <f>RNC!H26</f>
        <v>13285</v>
      </c>
      <c r="I68" s="267">
        <f>RNC!I26</f>
        <v>12497</v>
      </c>
      <c r="J68" s="267">
        <f>RNC!J26</f>
        <v>8179</v>
      </c>
      <c r="K68" s="267">
        <f>RNC!K26</f>
        <v>5736</v>
      </c>
      <c r="L68" s="267">
        <f>RNC!L26</f>
        <v>6841</v>
      </c>
      <c r="M68" s="267">
        <f>RNC!M26</f>
        <v>4616</v>
      </c>
      <c r="N68" s="267">
        <f>RNC!N26</f>
        <v>7298</v>
      </c>
      <c r="O68" s="267">
        <f t="shared" si="15"/>
        <v>106845</v>
      </c>
      <c r="Q68" s="142"/>
    </row>
    <row r="69" spans="1:15" ht="12.75">
      <c r="A69" s="245" t="s">
        <v>83</v>
      </c>
      <c r="B69" s="267">
        <f t="shared" si="14"/>
        <v>0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>
        <f t="shared" si="15"/>
        <v>0</v>
      </c>
    </row>
    <row r="70" spans="1:15" ht="12.75">
      <c r="A70" s="344" t="s">
        <v>394</v>
      </c>
      <c r="B70" s="267">
        <f t="shared" si="14"/>
        <v>4602</v>
      </c>
      <c r="C70" s="267">
        <f>'Energy Star'!C73</f>
        <v>0</v>
      </c>
      <c r="D70" s="267">
        <f>'Energy Star'!D73</f>
        <v>0</v>
      </c>
      <c r="E70" s="267">
        <f>'Energy Star'!E73</f>
        <v>1499</v>
      </c>
      <c r="F70" s="267">
        <f>'Energy Star'!F73</f>
        <v>1441</v>
      </c>
      <c r="G70" s="267">
        <f>'Energy Star'!G73</f>
        <v>1662</v>
      </c>
      <c r="H70" s="267">
        <f>'Energy Star'!H73</f>
        <v>567</v>
      </c>
      <c r="I70" s="267">
        <f>'Energy Star'!I73</f>
        <v>803</v>
      </c>
      <c r="J70" s="267">
        <f>'Energy Star'!J73</f>
        <v>808</v>
      </c>
      <c r="K70" s="267">
        <f>'Energy Star'!K73</f>
        <v>444</v>
      </c>
      <c r="L70" s="267">
        <f>'Energy Star'!L73</f>
        <v>668</v>
      </c>
      <c r="M70" s="267">
        <f>'Energy Star'!M73</f>
        <v>13.6</v>
      </c>
      <c r="N70" s="267"/>
      <c r="O70" s="267">
        <f t="shared" si="15"/>
        <v>7905.6</v>
      </c>
    </row>
    <row r="71" spans="1:15" ht="12.75">
      <c r="A71" s="344" t="s">
        <v>213</v>
      </c>
      <c r="B71" s="267">
        <f t="shared" si="14"/>
        <v>11898</v>
      </c>
      <c r="C71" s="267">
        <f>'Energy Star'!C72</f>
        <v>0</v>
      </c>
      <c r="D71" s="267">
        <f>'Energy Star'!D72</f>
        <v>0</v>
      </c>
      <c r="E71" s="267">
        <f>'Energy Star'!E72</f>
        <v>3587</v>
      </c>
      <c r="F71" s="267">
        <f>'Energy Star'!F72</f>
        <v>5089</v>
      </c>
      <c r="G71" s="267">
        <f>'Energy Star'!G72</f>
        <v>3222</v>
      </c>
      <c r="H71" s="267">
        <f>'Energy Star'!H72</f>
        <v>0</v>
      </c>
      <c r="I71" s="267">
        <f>'Energy Star'!I72</f>
        <v>5792</v>
      </c>
      <c r="J71" s="267">
        <f>'Energy Star'!J72</f>
        <v>10752</v>
      </c>
      <c r="K71" s="267">
        <f>'Energy Star'!K72</f>
        <v>16252</v>
      </c>
      <c r="L71" s="267">
        <f>'Energy Star'!L72</f>
        <v>19190.4</v>
      </c>
      <c r="M71" s="267">
        <f>'Energy Star'!M72</f>
        <v>25435.7</v>
      </c>
      <c r="N71" s="267">
        <f>'Energy Star'!N72</f>
        <v>45156.8</v>
      </c>
      <c r="O71" s="267">
        <f t="shared" si="15"/>
        <v>134476.90000000002</v>
      </c>
    </row>
    <row r="72" spans="1:15" ht="12.75">
      <c r="A72" s="345" t="s">
        <v>395</v>
      </c>
      <c r="B72" s="267">
        <f t="shared" si="14"/>
        <v>0</v>
      </c>
      <c r="C72" s="267"/>
      <c r="D72" s="267"/>
      <c r="E72" s="267"/>
      <c r="F72" s="267"/>
      <c r="G72" s="267"/>
      <c r="H72" s="267"/>
      <c r="I72" s="267"/>
      <c r="J72" s="267">
        <f>'Energy Star'!J74</f>
        <v>377</v>
      </c>
      <c r="K72" s="267">
        <f>'Energy Star'!K74</f>
        <v>431</v>
      </c>
      <c r="L72" s="267">
        <f>'Energy Star'!L74</f>
        <v>497</v>
      </c>
      <c r="M72" s="267">
        <f>'Energy Star'!M74</f>
        <v>498.4</v>
      </c>
      <c r="N72" s="267">
        <f>'Energy Star'!N74</f>
        <v>1415.8</v>
      </c>
      <c r="O72" s="267">
        <f t="shared" si="15"/>
        <v>3219.2</v>
      </c>
    </row>
    <row r="73" spans="1:15" ht="12.75">
      <c r="A73" s="345" t="s">
        <v>396</v>
      </c>
      <c r="B73" s="267">
        <f t="shared" si="14"/>
        <v>0</v>
      </c>
      <c r="C73" s="267"/>
      <c r="D73" s="267"/>
      <c r="E73" s="267"/>
      <c r="F73" s="267"/>
      <c r="G73" s="267"/>
      <c r="H73" s="267"/>
      <c r="I73" s="267"/>
      <c r="J73" s="267">
        <f>'Energy Star'!J75</f>
        <v>53</v>
      </c>
      <c r="K73" s="267">
        <f>'Energy Star'!K75</f>
        <v>79</v>
      </c>
      <c r="L73" s="267">
        <f>'Energy Star'!L75</f>
        <v>57</v>
      </c>
      <c r="M73" s="267">
        <f>'Energy Star'!M75</f>
        <v>3.9</v>
      </c>
      <c r="N73" s="267"/>
      <c r="O73" s="267">
        <f t="shared" si="15"/>
        <v>192.9</v>
      </c>
    </row>
    <row r="74" spans="1:15" ht="12.75">
      <c r="A74" s="345" t="s">
        <v>397</v>
      </c>
      <c r="B74" s="267">
        <f t="shared" si="14"/>
        <v>0</v>
      </c>
      <c r="C74" s="267"/>
      <c r="D74" s="267"/>
      <c r="E74" s="267"/>
      <c r="F74" s="267"/>
      <c r="G74" s="267"/>
      <c r="H74" s="267"/>
      <c r="I74" s="267"/>
      <c r="J74" s="267"/>
      <c r="K74" s="267">
        <f>'Energy Star'!K76</f>
        <v>1385</v>
      </c>
      <c r="L74" s="267">
        <f>'Energy Star'!L76</f>
        <v>3748.3</v>
      </c>
      <c r="M74" s="267">
        <f>'Energy Star'!M76</f>
        <v>3765.8</v>
      </c>
      <c r="N74" s="267">
        <f>'Energy Star'!N76</f>
        <v>2846.1</v>
      </c>
      <c r="O74" s="267">
        <f t="shared" si="15"/>
        <v>11745.2</v>
      </c>
    </row>
    <row r="75" spans="1:17" ht="12.75">
      <c r="A75" s="345" t="s">
        <v>398</v>
      </c>
      <c r="B75" s="267">
        <f t="shared" si="14"/>
        <v>0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7">
        <f>'Energy Star'!L77</f>
        <v>526.9</v>
      </c>
      <c r="M75" s="267">
        <f>'Energy Star'!M77</f>
        <v>1005.1</v>
      </c>
      <c r="N75" s="267">
        <f>'Energy Star'!N77</f>
        <v>651.3</v>
      </c>
      <c r="O75" s="267">
        <f t="shared" si="15"/>
        <v>2183.3</v>
      </c>
      <c r="Q75" s="142"/>
    </row>
    <row r="76" spans="1:15" ht="12.75">
      <c r="A76" s="345" t="s">
        <v>399</v>
      </c>
      <c r="B76" s="267">
        <f t="shared" si="14"/>
        <v>0</v>
      </c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>
        <f>'Energy Star'!M78</f>
        <v>60.2</v>
      </c>
      <c r="N76" s="267">
        <f>'Energy Star'!N78</f>
        <v>12.9</v>
      </c>
      <c r="O76" s="267">
        <f t="shared" si="15"/>
        <v>73.10000000000001</v>
      </c>
    </row>
    <row r="77" spans="1:15" ht="12.75">
      <c r="A77" s="345" t="s">
        <v>400</v>
      </c>
      <c r="B77" s="267">
        <f t="shared" si="14"/>
        <v>0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>
        <f>'Energy Star'!M79</f>
        <v>32.1</v>
      </c>
      <c r="N77" s="267"/>
      <c r="O77" s="267">
        <f t="shared" si="15"/>
        <v>32.1</v>
      </c>
    </row>
    <row r="78" spans="1:15" ht="12.75">
      <c r="A78" s="245" t="s">
        <v>197</v>
      </c>
      <c r="B78" s="267">
        <f t="shared" si="14"/>
        <v>0</v>
      </c>
      <c r="C78" s="267">
        <f>'Energy Star'!C84</f>
        <v>0</v>
      </c>
      <c r="D78" s="267">
        <f>'Energy Star'!D84</f>
        <v>0</v>
      </c>
      <c r="E78" s="267">
        <f>'Energy Star'!E84</f>
        <v>0</v>
      </c>
      <c r="F78" s="267">
        <f>'Energy Star'!F84</f>
        <v>0</v>
      </c>
      <c r="G78" s="267">
        <f>'Energy Star'!G84</f>
        <v>0</v>
      </c>
      <c r="H78" s="267">
        <f>'Energy Star'!H84</f>
        <v>0</v>
      </c>
      <c r="I78" s="267">
        <f>'Home Perf'!C31</f>
        <v>0</v>
      </c>
      <c r="J78" s="267">
        <f>'Home Perf'!D31</f>
        <v>51</v>
      </c>
      <c r="K78" s="267">
        <f>'Home Perf'!E31</f>
        <v>366</v>
      </c>
      <c r="L78" s="267">
        <f>'Home Perf'!F31</f>
        <v>815</v>
      </c>
      <c r="M78" s="267">
        <f>'Home Perf'!G31</f>
        <v>894</v>
      </c>
      <c r="N78" s="267">
        <f>'Home Perf'!H31</f>
        <v>1081</v>
      </c>
      <c r="O78" s="267">
        <f t="shared" si="15"/>
        <v>3207</v>
      </c>
    </row>
    <row r="79" spans="1:16" ht="12.75">
      <c r="A79" s="29" t="s">
        <v>88</v>
      </c>
      <c r="B79" s="269">
        <f t="shared" si="14"/>
        <v>127527</v>
      </c>
      <c r="C79" s="269">
        <f>SUM(C67:C78)</f>
        <v>10772</v>
      </c>
      <c r="D79" s="269">
        <f aca="true" t="shared" si="16" ref="D79:K79">SUM(D67:D78)</f>
        <v>17240</v>
      </c>
      <c r="E79" s="269">
        <f t="shared" si="16"/>
        <v>28541</v>
      </c>
      <c r="F79" s="269">
        <f t="shared" si="16"/>
        <v>34464</v>
      </c>
      <c r="G79" s="269">
        <f t="shared" si="16"/>
        <v>36510</v>
      </c>
      <c r="H79" s="269">
        <f t="shared" si="16"/>
        <v>23503</v>
      </c>
      <c r="I79" s="269">
        <f t="shared" si="16"/>
        <v>29758</v>
      </c>
      <c r="J79" s="269">
        <f t="shared" si="16"/>
        <v>22930</v>
      </c>
      <c r="K79" s="269">
        <f t="shared" si="16"/>
        <v>26497</v>
      </c>
      <c r="L79" s="269">
        <f>SUM(L67:L78)</f>
        <v>37168.600000000006</v>
      </c>
      <c r="M79" s="269">
        <f>SUM(M67:M78)</f>
        <v>43169.8</v>
      </c>
      <c r="N79" s="269">
        <f>SUM(N67:N78)</f>
        <v>65176.90000000001</v>
      </c>
      <c r="O79" s="269">
        <f t="shared" si="15"/>
        <v>375730.3</v>
      </c>
      <c r="P79" s="142"/>
    </row>
    <row r="80" spans="1:16" ht="12.75">
      <c r="A80" s="34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142"/>
    </row>
    <row r="81" spans="1:16" ht="12.75">
      <c r="A81" s="67" t="s">
        <v>87</v>
      </c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142"/>
    </row>
    <row r="82" spans="1:16" ht="12.75">
      <c r="A82" s="245" t="s">
        <v>2</v>
      </c>
      <c r="B82" s="269">
        <f aca="true" t="shared" si="17" ref="B82:B93">SUM(C82:G82)</f>
        <v>3916</v>
      </c>
      <c r="C82" s="269">
        <f>'Low-income'!C34</f>
        <v>1032</v>
      </c>
      <c r="D82" s="269">
        <f>'Low-income'!D34</f>
        <v>627</v>
      </c>
      <c r="E82" s="269">
        <f>'Low-income'!E34</f>
        <v>868</v>
      </c>
      <c r="F82" s="269">
        <f>'Low-income'!F34</f>
        <v>820</v>
      </c>
      <c r="G82" s="269">
        <f>'Low-income'!G34</f>
        <v>569</v>
      </c>
      <c r="H82" s="269">
        <f>'Low-income'!H34</f>
        <v>1645</v>
      </c>
      <c r="I82" s="269">
        <f>'Low-income'!I34</f>
        <v>1600</v>
      </c>
      <c r="J82" s="269">
        <f>'Low-income'!J34</f>
        <v>1268</v>
      </c>
      <c r="K82" s="269">
        <f>'Low-income'!K34</f>
        <v>1071</v>
      </c>
      <c r="L82" s="269">
        <f>'Low-income'!L34</f>
        <v>937</v>
      </c>
      <c r="M82" s="269">
        <f>'Low-income'!M34</f>
        <v>1072</v>
      </c>
      <c r="N82" s="269">
        <f>'Low-income'!N34</f>
        <v>1368</v>
      </c>
      <c r="O82" s="267">
        <f>SUM(C82:N82)</f>
        <v>12877</v>
      </c>
      <c r="P82" s="142"/>
    </row>
    <row r="83" spans="1:16" ht="12.75">
      <c r="A83" s="246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142"/>
    </row>
    <row r="84" spans="1:15" ht="12.75">
      <c r="A84" s="346" t="s">
        <v>58</v>
      </c>
      <c r="B84" s="267">
        <f t="shared" si="17"/>
        <v>3548</v>
      </c>
      <c r="C84" s="267"/>
      <c r="D84" s="267"/>
      <c r="E84" s="267"/>
      <c r="F84" s="267"/>
      <c r="G84" s="267">
        <f>'C&amp;I'!G62</f>
        <v>3548</v>
      </c>
      <c r="H84" s="267">
        <f>'C&amp;I'!H62</f>
        <v>3861</v>
      </c>
      <c r="I84" s="267">
        <f>'C&amp;I'!I62</f>
        <v>1796</v>
      </c>
      <c r="J84" s="267">
        <f>'C&amp;I'!J62</f>
        <v>1399</v>
      </c>
      <c r="K84" s="267">
        <f>'C&amp;I'!K62</f>
        <v>2935</v>
      </c>
      <c r="L84" s="267">
        <f>'C&amp;I'!L62</f>
        <v>1915</v>
      </c>
      <c r="M84" s="267">
        <f>'C&amp;I'!M62</f>
        <v>4650</v>
      </c>
      <c r="N84" s="267">
        <f>'C&amp;I'!N62</f>
        <v>1736</v>
      </c>
      <c r="O84" s="267">
        <f aca="true" t="shared" si="18" ref="O84:O94">SUM(C84:N84)</f>
        <v>21840</v>
      </c>
    </row>
    <row r="85" spans="1:15" ht="12.75">
      <c r="A85" s="347" t="s">
        <v>61</v>
      </c>
      <c r="B85" s="267">
        <f t="shared" si="17"/>
        <v>28478</v>
      </c>
      <c r="C85" s="267"/>
      <c r="D85" s="267"/>
      <c r="E85" s="267"/>
      <c r="F85" s="267"/>
      <c r="G85" s="267">
        <f>'C&amp;I'!G63</f>
        <v>28478</v>
      </c>
      <c r="H85" s="267">
        <f>'C&amp;I'!H63</f>
        <v>21539</v>
      </c>
      <c r="I85" s="267">
        <f>'C&amp;I'!I63</f>
        <v>15252</v>
      </c>
      <c r="J85" s="267">
        <f>'C&amp;I'!J63</f>
        <v>14186</v>
      </c>
      <c r="K85" s="267">
        <f>'C&amp;I'!K63</f>
        <v>15312</v>
      </c>
      <c r="L85" s="267">
        <f>'C&amp;I'!L63</f>
        <v>20887</v>
      </c>
      <c r="M85" s="267">
        <f>'C&amp;I'!M63</f>
        <v>69567</v>
      </c>
      <c r="N85" s="267">
        <f>'C&amp;I'!N63</f>
        <v>28158</v>
      </c>
      <c r="O85" s="267">
        <f t="shared" si="18"/>
        <v>213379</v>
      </c>
    </row>
    <row r="86" spans="1:15" ht="12.75">
      <c r="A86" s="347" t="s">
        <v>384</v>
      </c>
      <c r="B86" s="267">
        <f t="shared" si="17"/>
        <v>4356</v>
      </c>
      <c r="C86" s="267"/>
      <c r="D86" s="267"/>
      <c r="E86" s="267"/>
      <c r="F86" s="267"/>
      <c r="G86" s="267">
        <f>'C&amp;I'!G64</f>
        <v>4356</v>
      </c>
      <c r="H86" s="267">
        <f>'C&amp;I'!H64</f>
        <v>901</v>
      </c>
      <c r="I86" s="267">
        <f>'C&amp;I'!I64</f>
        <v>454</v>
      </c>
      <c r="J86" s="267">
        <f>'C&amp;I'!J64</f>
        <v>853</v>
      </c>
      <c r="K86" s="267">
        <f>'C&amp;I'!K64</f>
        <v>534</v>
      </c>
      <c r="L86" s="267">
        <f>'C&amp;I'!L64</f>
        <v>0</v>
      </c>
      <c r="M86" s="267">
        <f>'C&amp;I'!M64</f>
        <v>0</v>
      </c>
      <c r="N86" s="267">
        <f>'C&amp;I'!N64</f>
        <v>0</v>
      </c>
      <c r="O86" s="267">
        <f t="shared" si="18"/>
        <v>7098</v>
      </c>
    </row>
    <row r="87" spans="1:15" ht="12.75">
      <c r="A87" s="187" t="s">
        <v>287</v>
      </c>
      <c r="B87" s="267">
        <f t="shared" si="17"/>
        <v>0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>
        <f>'P4P '!I34</f>
        <v>62</v>
      </c>
      <c r="M87" s="267">
        <f>'P4P '!J34</f>
        <v>2514</v>
      </c>
      <c r="N87" s="267">
        <f>'P4P '!K32</f>
        <v>7626</v>
      </c>
      <c r="O87" s="267">
        <f t="shared" si="18"/>
        <v>10202</v>
      </c>
    </row>
    <row r="88" spans="1:15" ht="12.75">
      <c r="A88" s="187" t="s">
        <v>411</v>
      </c>
      <c r="B88" s="267">
        <f t="shared" si="17"/>
        <v>0</v>
      </c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>
        <f>'P4P '!K33</f>
        <v>0</v>
      </c>
      <c r="O88" s="267"/>
    </row>
    <row r="89" spans="1:15" ht="12.75">
      <c r="A89" s="187" t="s">
        <v>288</v>
      </c>
      <c r="B89" s="267">
        <f t="shared" si="17"/>
        <v>0</v>
      </c>
      <c r="C89" s="267"/>
      <c r="D89" s="267"/>
      <c r="E89" s="267"/>
      <c r="F89" s="267"/>
      <c r="G89" s="267"/>
      <c r="H89" s="267"/>
      <c r="I89" s="267"/>
      <c r="J89" s="267"/>
      <c r="K89" s="267"/>
      <c r="L89" s="267">
        <f>'P4P NC'!B28</f>
        <v>0</v>
      </c>
      <c r="M89" s="267">
        <f>'P4P NC'!C28</f>
        <v>0</v>
      </c>
      <c r="N89" s="267">
        <f>'P4P NC'!D28</f>
        <v>0</v>
      </c>
      <c r="O89" s="267">
        <f t="shared" si="18"/>
        <v>0</v>
      </c>
    </row>
    <row r="90" spans="1:15" ht="12.75">
      <c r="A90" s="187" t="s">
        <v>229</v>
      </c>
      <c r="B90" s="267">
        <f t="shared" si="17"/>
        <v>0</v>
      </c>
      <c r="C90" s="267"/>
      <c r="D90" s="267"/>
      <c r="E90" s="267"/>
      <c r="F90" s="267"/>
      <c r="G90" s="267"/>
      <c r="H90" s="267"/>
      <c r="I90" s="267"/>
      <c r="J90" s="267"/>
      <c r="K90" s="267"/>
      <c r="L90" s="267">
        <f>'Direct Install'!D25</f>
        <v>1276</v>
      </c>
      <c r="M90" s="267">
        <f>'Direct Install'!E25</f>
        <v>8693</v>
      </c>
      <c r="N90" s="267">
        <f>'Direct Install'!F25</f>
        <v>14288</v>
      </c>
      <c r="O90" s="267">
        <f t="shared" si="18"/>
        <v>24257</v>
      </c>
    </row>
    <row r="91" spans="1:15" ht="12.75">
      <c r="A91" s="187" t="s">
        <v>412</v>
      </c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>
        <f>LEUP!C25</f>
        <v>440</v>
      </c>
      <c r="O91" s="267">
        <f t="shared" si="18"/>
        <v>440</v>
      </c>
    </row>
    <row r="92" spans="1:15" ht="12.75">
      <c r="A92" s="187" t="s">
        <v>59</v>
      </c>
      <c r="B92" s="267">
        <f t="shared" si="17"/>
        <v>0</v>
      </c>
      <c r="C92" s="267"/>
      <c r="D92" s="267"/>
      <c r="E92" s="267"/>
      <c r="F92" s="267"/>
      <c r="G92" s="267"/>
      <c r="H92" s="267"/>
      <c r="I92" s="267"/>
      <c r="J92" s="267">
        <f>CHP!J36</f>
        <v>30</v>
      </c>
      <c r="K92" s="267">
        <f>CHP!K36</f>
        <v>0</v>
      </c>
      <c r="L92" s="267">
        <f>CHP!L36</f>
        <v>275</v>
      </c>
      <c r="M92" s="267">
        <f>CHP!M36</f>
        <v>0</v>
      </c>
      <c r="N92" s="267">
        <f>CHP!N36</f>
        <v>0</v>
      </c>
      <c r="O92" s="267">
        <f t="shared" si="18"/>
        <v>305</v>
      </c>
    </row>
    <row r="93" spans="1:15" ht="12.75">
      <c r="A93" s="29" t="s">
        <v>251</v>
      </c>
      <c r="B93" s="269">
        <f t="shared" si="17"/>
        <v>151121</v>
      </c>
      <c r="C93" s="269">
        <f>'C&amp;I'!C65</f>
        <v>6364</v>
      </c>
      <c r="D93" s="269">
        <f>'C&amp;I'!D65</f>
        <v>26750</v>
      </c>
      <c r="E93" s="269">
        <f>'C&amp;I'!E65</f>
        <v>38155</v>
      </c>
      <c r="F93" s="269">
        <f>'C&amp;I'!F65</f>
        <v>43470</v>
      </c>
      <c r="G93" s="269">
        <f aca="true" t="shared" si="19" ref="G93:L93">SUM(G84:G92)</f>
        <v>36382</v>
      </c>
      <c r="H93" s="269">
        <f t="shared" si="19"/>
        <v>26301</v>
      </c>
      <c r="I93" s="269">
        <f t="shared" si="19"/>
        <v>17502</v>
      </c>
      <c r="J93" s="269">
        <f t="shared" si="19"/>
        <v>16468</v>
      </c>
      <c r="K93" s="269">
        <f t="shared" si="19"/>
        <v>18781</v>
      </c>
      <c r="L93" s="269">
        <f t="shared" si="19"/>
        <v>24415</v>
      </c>
      <c r="M93" s="269">
        <f>SUM(M84:M92)</f>
        <v>85424</v>
      </c>
      <c r="N93" s="269">
        <f>SUM(N84:N92)</f>
        <v>52248</v>
      </c>
      <c r="O93" s="269">
        <f t="shared" si="18"/>
        <v>392260</v>
      </c>
    </row>
    <row r="94" spans="1:15" ht="12.75">
      <c r="A94" s="48" t="s">
        <v>129</v>
      </c>
      <c r="B94" s="269">
        <f>SUM(C94:G94)</f>
        <v>282564</v>
      </c>
      <c r="C94" s="269">
        <f>C93+C82+C79</f>
        <v>18168</v>
      </c>
      <c r="D94" s="269">
        <f aca="true" t="shared" si="20" ref="D94:J94">D93+D82+D79</f>
        <v>44617</v>
      </c>
      <c r="E94" s="269">
        <f t="shared" si="20"/>
        <v>67564</v>
      </c>
      <c r="F94" s="269">
        <f t="shared" si="20"/>
        <v>78754</v>
      </c>
      <c r="G94" s="269">
        <f t="shared" si="20"/>
        <v>73461</v>
      </c>
      <c r="H94" s="269">
        <f t="shared" si="20"/>
        <v>51449</v>
      </c>
      <c r="I94" s="269">
        <f t="shared" si="20"/>
        <v>48860</v>
      </c>
      <c r="J94" s="269">
        <f t="shared" si="20"/>
        <v>40666</v>
      </c>
      <c r="K94" s="269">
        <f>K93+K82+K79</f>
        <v>46349</v>
      </c>
      <c r="L94" s="269">
        <f>L93+L82+L79</f>
        <v>62520.600000000006</v>
      </c>
      <c r="M94" s="269">
        <f>M93+M82+M79</f>
        <v>129665.8</v>
      </c>
      <c r="N94" s="269">
        <f>N93+N82+N79</f>
        <v>118792.90000000001</v>
      </c>
      <c r="O94" s="269">
        <f t="shared" si="18"/>
        <v>780867.3</v>
      </c>
    </row>
    <row r="95" spans="1:15" ht="12.75">
      <c r="A95" s="67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26"/>
    </row>
    <row r="96" spans="1:15" ht="12.75">
      <c r="A96" s="67" t="s">
        <v>205</v>
      </c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26"/>
    </row>
    <row r="97" spans="1:15" ht="12.75">
      <c r="A97" s="187" t="s">
        <v>411</v>
      </c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>
        <f>'P4P '!K84</f>
        <v>2000</v>
      </c>
      <c r="O97" s="268"/>
    </row>
    <row r="98" spans="1:15" ht="12.75">
      <c r="A98" s="349" t="s">
        <v>147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>
        <f>CHP!N85</f>
        <v>0</v>
      </c>
      <c r="O98" s="268"/>
    </row>
    <row r="99" spans="1:15" ht="12.75">
      <c r="A99" s="48" t="s">
        <v>1</v>
      </c>
      <c r="B99" s="269">
        <f>SUM(C99:G99)</f>
        <v>140</v>
      </c>
      <c r="C99" s="269">
        <f>CHP!C85</f>
        <v>0</v>
      </c>
      <c r="D99" s="269">
        <f>CHP!D85</f>
        <v>0</v>
      </c>
      <c r="E99" s="269">
        <f>CHP!E85</f>
        <v>0</v>
      </c>
      <c r="F99" s="269">
        <f>CHP!F85</f>
        <v>0</v>
      </c>
      <c r="G99" s="269">
        <f>CHP!G85</f>
        <v>140</v>
      </c>
      <c r="H99" s="269">
        <f>CHP!H85</f>
        <v>3175</v>
      </c>
      <c r="I99" s="269">
        <f>CHP!I85</f>
        <v>4925</v>
      </c>
      <c r="J99" s="269">
        <f>CHP!J85</f>
        <v>1276</v>
      </c>
      <c r="K99" s="269">
        <f>CHP!K85</f>
        <v>4700</v>
      </c>
      <c r="L99" s="269">
        <f>CHP!L85</f>
        <v>5535</v>
      </c>
      <c r="M99" s="269">
        <f>CHP!M85</f>
        <v>0</v>
      </c>
      <c r="N99" s="269">
        <f>SUM(N97:N98)</f>
        <v>2000</v>
      </c>
      <c r="O99" s="269">
        <f>SUM(C99:N99)</f>
        <v>21751</v>
      </c>
    </row>
    <row r="100" spans="1:15" ht="12.75">
      <c r="A100" s="67" t="s">
        <v>103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1:15" ht="12.75">
      <c r="A101" s="48" t="s">
        <v>131</v>
      </c>
      <c r="B101" s="269">
        <f>SUM(C101:G101)</f>
        <v>768888</v>
      </c>
      <c r="C101" s="154">
        <f>'Appliance Cycling'!B14</f>
        <v>204971</v>
      </c>
      <c r="D101" s="154">
        <f>'Appliance Cycling'!C14</f>
        <v>196222</v>
      </c>
      <c r="E101" s="154">
        <f>'Appliance Cycling'!D14</f>
        <v>194531</v>
      </c>
      <c r="F101" s="154">
        <f>'Appliance Cycling'!E14</f>
        <v>173164</v>
      </c>
      <c r="G101" s="69"/>
      <c r="H101" s="69"/>
      <c r="I101" s="69"/>
      <c r="J101" s="69"/>
      <c r="K101" s="69"/>
      <c r="L101" s="69"/>
      <c r="M101" s="69"/>
      <c r="N101" s="69"/>
      <c r="O101" s="69"/>
    </row>
    <row r="103" spans="1:15" ht="12.75">
      <c r="A103" s="76" t="s">
        <v>105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1:15" ht="12.75">
      <c r="A104" s="76"/>
      <c r="B104" s="89" t="s">
        <v>29</v>
      </c>
      <c r="C104" s="89" t="s">
        <v>29</v>
      </c>
      <c r="D104" s="89" t="s">
        <v>29</v>
      </c>
      <c r="E104" s="89" t="s">
        <v>29</v>
      </c>
      <c r="F104" s="89" t="s">
        <v>29</v>
      </c>
      <c r="G104" s="89" t="s">
        <v>29</v>
      </c>
      <c r="H104" s="89" t="s">
        <v>29</v>
      </c>
      <c r="I104" s="153" t="s">
        <v>29</v>
      </c>
      <c r="J104" s="153" t="s">
        <v>29</v>
      </c>
      <c r="K104" s="153" t="s">
        <v>29</v>
      </c>
      <c r="L104" s="153" t="s">
        <v>29</v>
      </c>
      <c r="M104" s="153" t="s">
        <v>29</v>
      </c>
      <c r="N104" s="153" t="s">
        <v>29</v>
      </c>
      <c r="O104" s="89" t="s">
        <v>29</v>
      </c>
    </row>
    <row r="105" spans="1:15" ht="12.75">
      <c r="A105" s="85" t="s">
        <v>91</v>
      </c>
      <c r="B105" s="267">
        <f aca="true" t="shared" si="21" ref="B105:B111">SUM(C105:G105)</f>
        <v>33281</v>
      </c>
      <c r="C105" s="267">
        <f>CORE!C20</f>
        <v>11</v>
      </c>
      <c r="D105" s="267">
        <f>CORE!D20</f>
        <v>2896</v>
      </c>
      <c r="E105" s="267">
        <f>CORE!E20</f>
        <v>7239</v>
      </c>
      <c r="F105" s="267">
        <f>CORE!F20</f>
        <v>6515</v>
      </c>
      <c r="G105" s="267">
        <f>CORE!G20</f>
        <v>16620</v>
      </c>
      <c r="H105" s="267">
        <f>CORE!H20</f>
        <v>22470</v>
      </c>
      <c r="I105" s="267">
        <f>CORE!I20</f>
        <v>24369</v>
      </c>
      <c r="J105" s="267">
        <f>CORE!J20</f>
        <v>17726</v>
      </c>
      <c r="K105" s="267">
        <f>CORE!K20</f>
        <v>15432</v>
      </c>
      <c r="L105" s="267">
        <f>CORE!L20</f>
        <v>18181</v>
      </c>
      <c r="M105" s="267">
        <f>CORE!M20</f>
        <v>6961</v>
      </c>
      <c r="N105" s="267">
        <f>CORE!N20</f>
        <v>3632</v>
      </c>
      <c r="O105" s="267">
        <f aca="true" t="shared" si="22" ref="O105:O111">SUM(C105:N105)</f>
        <v>142052</v>
      </c>
    </row>
    <row r="106" spans="1:15" ht="12.75">
      <c r="A106" s="85" t="s">
        <v>188</v>
      </c>
      <c r="B106" s="267">
        <f t="shared" si="21"/>
        <v>0</v>
      </c>
      <c r="C106" s="267"/>
      <c r="D106" s="267"/>
      <c r="E106" s="267"/>
      <c r="F106" s="267"/>
      <c r="G106" s="267"/>
      <c r="H106" s="267">
        <f>'Clean Power Choice'!C11</f>
        <v>22189</v>
      </c>
      <c r="I106" s="267">
        <f>'Clean Power Choice'!D11</f>
        <v>74091</v>
      </c>
      <c r="J106" s="267">
        <f>'Clean Power Choice'!E11</f>
        <v>89220.72</v>
      </c>
      <c r="K106" s="267">
        <f>'Clean Power Choice'!F11</f>
        <v>101256</v>
      </c>
      <c r="L106" s="267">
        <f>'Clean Power Choice'!G11</f>
        <v>74988</v>
      </c>
      <c r="M106" s="267">
        <f>'Clean Power Choice'!H11</f>
        <v>0</v>
      </c>
      <c r="N106" s="267">
        <f>'Clean Power Choice'!I11</f>
        <v>0</v>
      </c>
      <c r="O106" s="267">
        <f t="shared" si="22"/>
        <v>361744.72</v>
      </c>
    </row>
    <row r="107" spans="1:15" ht="12.75">
      <c r="A107" s="55" t="s">
        <v>247</v>
      </c>
      <c r="B107" s="267">
        <f t="shared" si="21"/>
        <v>0</v>
      </c>
      <c r="C107" s="267"/>
      <c r="D107" s="267"/>
      <c r="E107" s="267"/>
      <c r="F107" s="267"/>
      <c r="G107" s="267"/>
      <c r="H107" s="267"/>
      <c r="I107" s="267"/>
      <c r="J107" s="267"/>
      <c r="K107" s="267">
        <f>REIP!B18</f>
        <v>2578</v>
      </c>
      <c r="L107" s="267">
        <f>REIP!C18</f>
        <v>19353</v>
      </c>
      <c r="M107" s="267">
        <f>REIP!D18</f>
        <v>21411</v>
      </c>
      <c r="N107" s="267">
        <f>REIP!E18</f>
        <v>2702</v>
      </c>
      <c r="O107" s="267">
        <f t="shared" si="22"/>
        <v>46044</v>
      </c>
    </row>
    <row r="108" spans="1:15" ht="12.75">
      <c r="A108" s="55" t="s">
        <v>306</v>
      </c>
      <c r="B108" s="267">
        <f t="shared" si="21"/>
        <v>0</v>
      </c>
      <c r="C108" s="267"/>
      <c r="D108" s="267"/>
      <c r="E108" s="267"/>
      <c r="F108" s="267"/>
      <c r="G108" s="267"/>
      <c r="H108" s="267"/>
      <c r="I108" s="267"/>
      <c r="J108" s="267"/>
      <c r="K108" s="267">
        <f>'RE Grid Connected'!B18</f>
        <v>0</v>
      </c>
      <c r="L108" s="267">
        <f>'RE Grid Connected'!C18</f>
        <v>0</v>
      </c>
      <c r="M108" s="267">
        <f>'RE Grid Connected'!D18</f>
        <v>0</v>
      </c>
      <c r="N108" s="267">
        <f>'RE Grid Connected'!E18</f>
        <v>0</v>
      </c>
      <c r="O108" s="267">
        <f t="shared" si="22"/>
        <v>0</v>
      </c>
    </row>
    <row r="109" spans="1:15" ht="12.75">
      <c r="A109" s="85" t="s">
        <v>138</v>
      </c>
      <c r="B109" s="267">
        <f t="shared" si="21"/>
        <v>12516</v>
      </c>
      <c r="C109" s="267"/>
      <c r="D109" s="267"/>
      <c r="E109" s="267"/>
      <c r="F109" s="267"/>
      <c r="G109" s="267">
        <f>'RE Grants and Financing'!F29</f>
        <v>12516</v>
      </c>
      <c r="H109" s="267">
        <f>'RE Grants and Financing'!G29</f>
        <v>0</v>
      </c>
      <c r="I109" s="267">
        <f>'RE Grants and Financing'!H29</f>
        <v>41753</v>
      </c>
      <c r="J109" s="267">
        <f>'RE Grants and Financing'!I29</f>
        <v>71902</v>
      </c>
      <c r="K109" s="267">
        <f>'RE Grants and Financing'!J29</f>
        <v>8712</v>
      </c>
      <c r="L109" s="267">
        <f>'RE Grants and Financing'!K29</f>
        <v>40137</v>
      </c>
      <c r="M109" s="267"/>
      <c r="N109" s="267"/>
      <c r="O109" s="267">
        <f t="shared" si="22"/>
        <v>175020</v>
      </c>
    </row>
    <row r="110" spans="1:15" ht="12.75">
      <c r="A110" s="85" t="s">
        <v>203</v>
      </c>
      <c r="B110" s="267">
        <f t="shared" si="21"/>
        <v>0</v>
      </c>
      <c r="C110" s="267"/>
      <c r="D110" s="267"/>
      <c r="E110" s="267"/>
      <c r="F110" s="267"/>
      <c r="G110" s="267"/>
      <c r="H110" s="267"/>
      <c r="I110" s="267">
        <f>REC!B14</f>
        <v>16</v>
      </c>
      <c r="J110" s="267">
        <f>REC!C14</f>
        <v>10120</v>
      </c>
      <c r="K110" s="267">
        <f>REC!D14</f>
        <v>41123</v>
      </c>
      <c r="L110" s="267">
        <f>REC!E14</f>
        <v>174920</v>
      </c>
      <c r="M110" s="267">
        <f>REC!F14</f>
        <v>353694</v>
      </c>
      <c r="N110" s="267">
        <f>REC!G14</f>
        <v>634302</v>
      </c>
      <c r="O110" s="267">
        <f t="shared" si="22"/>
        <v>1214175</v>
      </c>
    </row>
    <row r="111" spans="1:15" ht="12.75">
      <c r="A111" s="74" t="s">
        <v>1</v>
      </c>
      <c r="B111" s="269">
        <f t="shared" si="21"/>
        <v>45797</v>
      </c>
      <c r="C111" s="269">
        <f aca="true" t="shared" si="23" ref="C111:H111">SUM(C105:C109)</f>
        <v>11</v>
      </c>
      <c r="D111" s="269">
        <f t="shared" si="23"/>
        <v>2896</v>
      </c>
      <c r="E111" s="269">
        <f t="shared" si="23"/>
        <v>7239</v>
      </c>
      <c r="F111" s="269">
        <f t="shared" si="23"/>
        <v>6515</v>
      </c>
      <c r="G111" s="269">
        <f t="shared" si="23"/>
        <v>29136</v>
      </c>
      <c r="H111" s="269">
        <f t="shared" si="23"/>
        <v>44659</v>
      </c>
      <c r="I111" s="269">
        <f aca="true" t="shared" si="24" ref="I111:N111">SUM(I105:I110)</f>
        <v>140229</v>
      </c>
      <c r="J111" s="269">
        <f t="shared" si="24"/>
        <v>188968.72</v>
      </c>
      <c r="K111" s="269">
        <f t="shared" si="24"/>
        <v>169101</v>
      </c>
      <c r="L111" s="269">
        <f t="shared" si="24"/>
        <v>327579</v>
      </c>
      <c r="M111" s="269">
        <f t="shared" si="24"/>
        <v>382066</v>
      </c>
      <c r="N111" s="269">
        <f t="shared" si="24"/>
        <v>640636</v>
      </c>
      <c r="O111" s="269">
        <f t="shared" si="22"/>
        <v>1939035.72</v>
      </c>
    </row>
    <row r="113" spans="1:15" ht="12.75">
      <c r="A113" s="76" t="s">
        <v>109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</row>
    <row r="114" spans="1:15" ht="12.75">
      <c r="A114" s="76"/>
      <c r="B114" s="89"/>
      <c r="C114" s="89" t="s">
        <v>11</v>
      </c>
      <c r="D114" s="89" t="s">
        <v>11</v>
      </c>
      <c r="E114" s="89" t="s">
        <v>11</v>
      </c>
      <c r="F114" s="89" t="s">
        <v>11</v>
      </c>
      <c r="G114" s="89" t="s">
        <v>11</v>
      </c>
      <c r="H114" s="89" t="s">
        <v>11</v>
      </c>
      <c r="I114" s="89" t="s">
        <v>11</v>
      </c>
      <c r="J114" s="89" t="s">
        <v>11</v>
      </c>
      <c r="K114" s="89" t="s">
        <v>11</v>
      </c>
      <c r="L114" s="89" t="s">
        <v>11</v>
      </c>
      <c r="M114" s="89" t="s">
        <v>11</v>
      </c>
      <c r="N114" s="89" t="s">
        <v>11</v>
      </c>
      <c r="O114" s="89" t="s">
        <v>11</v>
      </c>
    </row>
    <row r="115" spans="1:15" ht="12.75">
      <c r="A115" s="85" t="s">
        <v>91</v>
      </c>
      <c r="B115" s="267">
        <f aca="true" t="shared" si="25" ref="B115:B121">SUM(C115:G115)</f>
        <v>12923</v>
      </c>
      <c r="C115" s="267">
        <f>CORE!C24</f>
        <v>8</v>
      </c>
      <c r="D115" s="267">
        <f>CORE!D24</f>
        <v>1142</v>
      </c>
      <c r="E115" s="267">
        <f>CORE!E24</f>
        <v>1743</v>
      </c>
      <c r="F115" s="267">
        <f>CORE!F24</f>
        <v>2644</v>
      </c>
      <c r="G115" s="267">
        <f>CORE!G24</f>
        <v>7386</v>
      </c>
      <c r="H115" s="267">
        <f>CORE!H24</f>
        <v>18725</v>
      </c>
      <c r="I115" s="267">
        <f>CORE!I24</f>
        <v>20307</v>
      </c>
      <c r="J115" s="267">
        <f>CORE!J24</f>
        <v>14772</v>
      </c>
      <c r="K115" s="267">
        <f>CORE!K24</f>
        <v>12860</v>
      </c>
      <c r="L115" s="267">
        <f>CORE!L24</f>
        <v>15151</v>
      </c>
      <c r="M115" s="267">
        <f>CORE!M24</f>
        <v>5800</v>
      </c>
      <c r="N115" s="267">
        <f>CORE!N24</f>
        <v>2314</v>
      </c>
      <c r="O115" s="267">
        <f aca="true" t="shared" si="26" ref="O115:O121">SUM(C115:N115)</f>
        <v>102852</v>
      </c>
    </row>
    <row r="116" spans="1:15" ht="12.75">
      <c r="A116" s="85" t="s">
        <v>188</v>
      </c>
      <c r="B116" s="267">
        <f t="shared" si="25"/>
        <v>0</v>
      </c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>
        <f t="shared" si="26"/>
        <v>0</v>
      </c>
    </row>
    <row r="117" spans="1:15" ht="12.75">
      <c r="A117" s="85" t="s">
        <v>247</v>
      </c>
      <c r="B117" s="267">
        <f t="shared" si="25"/>
        <v>0</v>
      </c>
      <c r="C117" s="267"/>
      <c r="D117" s="267"/>
      <c r="E117" s="267"/>
      <c r="F117" s="267"/>
      <c r="G117" s="267"/>
      <c r="H117" s="267"/>
      <c r="I117" s="267"/>
      <c r="J117" s="267"/>
      <c r="K117" s="267">
        <f>REIP!B22</f>
        <v>2149</v>
      </c>
      <c r="L117" s="267">
        <f>REIP!C22</f>
        <v>16127</v>
      </c>
      <c r="M117" s="267">
        <f>REIP!D22</f>
        <v>17842</v>
      </c>
      <c r="N117" s="267">
        <f>REIP!E22</f>
        <v>2251</v>
      </c>
      <c r="O117" s="267">
        <f t="shared" si="26"/>
        <v>38369</v>
      </c>
    </row>
    <row r="118" spans="1:15" ht="12.75">
      <c r="A118" s="55" t="s">
        <v>306</v>
      </c>
      <c r="B118" s="267">
        <f t="shared" si="25"/>
        <v>0</v>
      </c>
      <c r="C118" s="267"/>
      <c r="D118" s="267"/>
      <c r="E118" s="267"/>
      <c r="F118" s="267"/>
      <c r="G118" s="267"/>
      <c r="H118" s="267"/>
      <c r="I118" s="267"/>
      <c r="J118" s="267"/>
      <c r="K118" s="267">
        <f>'RE Grid Connected'!B22</f>
        <v>0</v>
      </c>
      <c r="L118" s="267">
        <f>'RE Grid Connected'!C22</f>
        <v>0</v>
      </c>
      <c r="M118" s="267">
        <f>'RE Grid Connected'!D22</f>
        <v>0</v>
      </c>
      <c r="N118" s="267">
        <f>'RE Grid Connected'!E22</f>
        <v>0</v>
      </c>
      <c r="O118" s="267">
        <f t="shared" si="26"/>
        <v>0</v>
      </c>
    </row>
    <row r="119" spans="1:15" ht="12.75">
      <c r="A119" s="85" t="s">
        <v>138</v>
      </c>
      <c r="B119" s="267">
        <f t="shared" si="25"/>
        <v>1600</v>
      </c>
      <c r="C119" s="267">
        <v>0</v>
      </c>
      <c r="D119" s="267">
        <v>0</v>
      </c>
      <c r="E119" s="267">
        <v>0</v>
      </c>
      <c r="F119" s="267">
        <v>0</v>
      </c>
      <c r="G119" s="267">
        <f>'RE Grants and Financing'!F41</f>
        <v>1600</v>
      </c>
      <c r="H119" s="267">
        <f>'RE Grants and Financing'!G41</f>
        <v>0</v>
      </c>
      <c r="I119" s="267">
        <f>'RE Grants and Financing'!H41</f>
        <v>8600</v>
      </c>
      <c r="J119" s="267">
        <f>'RE Grants and Financing'!I41</f>
        <v>9600</v>
      </c>
      <c r="K119" s="267">
        <f>'RE Grants and Financing'!J41</f>
        <v>1500</v>
      </c>
      <c r="L119" s="267">
        <f>'RE Grants and Financing'!K41</f>
        <v>6200</v>
      </c>
      <c r="M119" s="267"/>
      <c r="N119" s="267"/>
      <c r="O119" s="267">
        <f t="shared" si="26"/>
        <v>27500</v>
      </c>
    </row>
    <row r="120" spans="1:15" ht="12.75">
      <c r="A120" s="85" t="s">
        <v>203</v>
      </c>
      <c r="B120" s="267">
        <f t="shared" si="25"/>
        <v>0</v>
      </c>
      <c r="C120" s="267"/>
      <c r="D120" s="267"/>
      <c r="E120" s="267"/>
      <c r="F120" s="267"/>
      <c r="G120" s="267"/>
      <c r="H120" s="267"/>
      <c r="I120" s="267">
        <f>REC!B18</f>
        <v>13</v>
      </c>
      <c r="J120" s="267">
        <f>REC!C18</f>
        <v>8433</v>
      </c>
      <c r="K120" s="267">
        <f>REC!D18</f>
        <v>34269</v>
      </c>
      <c r="L120" s="267">
        <f>REC!E18</f>
        <v>145766</v>
      </c>
      <c r="M120" s="267">
        <f>REC!F18</f>
        <v>294745</v>
      </c>
      <c r="N120" s="267">
        <f>REC!G18</f>
        <v>528585</v>
      </c>
      <c r="O120" s="267">
        <f t="shared" si="26"/>
        <v>1011811</v>
      </c>
    </row>
    <row r="121" spans="1:16" ht="12.75">
      <c r="A121" s="74" t="s">
        <v>1</v>
      </c>
      <c r="B121" s="269">
        <f t="shared" si="25"/>
        <v>14523</v>
      </c>
      <c r="C121" s="269">
        <f>SUM(C115:C120)</f>
        <v>8</v>
      </c>
      <c r="D121" s="269">
        <f aca="true" t="shared" si="27" ref="D121:I121">SUM(D115:D120)</f>
        <v>1142</v>
      </c>
      <c r="E121" s="269">
        <f t="shared" si="27"/>
        <v>1743</v>
      </c>
      <c r="F121" s="269">
        <f t="shared" si="27"/>
        <v>2644</v>
      </c>
      <c r="G121" s="269">
        <f t="shared" si="27"/>
        <v>8986</v>
      </c>
      <c r="H121" s="269">
        <f t="shared" si="27"/>
        <v>18725</v>
      </c>
      <c r="I121" s="269">
        <f t="shared" si="27"/>
        <v>28920</v>
      </c>
      <c r="J121" s="269">
        <f>SUM(J115:J120)</f>
        <v>32805</v>
      </c>
      <c r="K121" s="269">
        <f>SUM(K115:K120)</f>
        <v>50778</v>
      </c>
      <c r="L121" s="269">
        <f>SUM(L115:L120)</f>
        <v>183244</v>
      </c>
      <c r="M121" s="269">
        <f>SUM(M115:M120)</f>
        <v>318387</v>
      </c>
      <c r="N121" s="269">
        <f>SUM(N115:N120)</f>
        <v>533150</v>
      </c>
      <c r="O121" s="269">
        <f t="shared" si="26"/>
        <v>1180532</v>
      </c>
      <c r="P121" s="142"/>
    </row>
    <row r="122" ht="12.75">
      <c r="A122" s="140" t="str">
        <f>A63</f>
        <v>* These columns/years have been hidden in this worksheet for viewing &amp; printing purposes</v>
      </c>
    </row>
    <row r="124" spans="1:15" ht="15.75">
      <c r="A124" s="342" t="s">
        <v>140</v>
      </c>
      <c r="O124" s="107"/>
    </row>
    <row r="125" spans="1:15" ht="25.5">
      <c r="A125" s="161" t="s">
        <v>104</v>
      </c>
      <c r="B125" s="227" t="str">
        <f>B3</f>
        <v>Summary 
2001 to 2005*</v>
      </c>
      <c r="C125" s="107">
        <v>2001</v>
      </c>
      <c r="D125" s="107">
        <v>2002</v>
      </c>
      <c r="E125" s="107">
        <v>2003</v>
      </c>
      <c r="F125" s="107">
        <v>2004</v>
      </c>
      <c r="G125" s="107">
        <v>2005</v>
      </c>
      <c r="H125" s="107">
        <v>2006</v>
      </c>
      <c r="I125" s="107">
        <v>2007</v>
      </c>
      <c r="J125" s="107">
        <v>2008</v>
      </c>
      <c r="K125" s="107">
        <v>2009</v>
      </c>
      <c r="L125" s="107">
        <v>2010</v>
      </c>
      <c r="M125" s="107">
        <v>2011</v>
      </c>
      <c r="N125" s="227" t="str">
        <f>N3</f>
        <v>(18 month)1
2012-2013</v>
      </c>
      <c r="O125" s="107"/>
    </row>
    <row r="126" spans="1:15" ht="12.75">
      <c r="A126" s="161" t="s">
        <v>7</v>
      </c>
      <c r="B126" s="153"/>
      <c r="C126" s="153" t="s">
        <v>29</v>
      </c>
      <c r="D126" s="153" t="s">
        <v>29</v>
      </c>
      <c r="E126" s="153" t="s">
        <v>29</v>
      </c>
      <c r="F126" s="153" t="s">
        <v>29</v>
      </c>
      <c r="G126" s="153" t="s">
        <v>29</v>
      </c>
      <c r="H126" s="153" t="s">
        <v>29</v>
      </c>
      <c r="I126" s="153" t="s">
        <v>29</v>
      </c>
      <c r="J126" s="153" t="s">
        <v>29</v>
      </c>
      <c r="K126" s="153" t="s">
        <v>29</v>
      </c>
      <c r="L126" s="153" t="s">
        <v>29</v>
      </c>
      <c r="M126" s="153" t="s">
        <v>29</v>
      </c>
      <c r="N126" s="153" t="s">
        <v>29</v>
      </c>
      <c r="O126" s="89"/>
    </row>
    <row r="127" spans="1:15" ht="12.75">
      <c r="A127" s="245" t="s">
        <v>82</v>
      </c>
      <c r="B127" s="267">
        <f aca="true" t="shared" si="28" ref="B127:B134">SUM(C127:G127)</f>
        <v>81601</v>
      </c>
      <c r="C127" s="267">
        <f>RNC!C33</f>
        <v>6574</v>
      </c>
      <c r="D127" s="267">
        <f>RNC!D33</f>
        <v>30773</v>
      </c>
      <c r="E127" s="267">
        <f>RNC!E33</f>
        <v>22039</v>
      </c>
      <c r="F127" s="267">
        <f>RNC!F33</f>
        <v>3954</v>
      </c>
      <c r="G127" s="267">
        <f>RNC!G33</f>
        <v>18261</v>
      </c>
      <c r="H127" s="267">
        <f>RNC!H33</f>
        <v>19356</v>
      </c>
      <c r="I127" s="267">
        <f>RNC!I33</f>
        <v>8253</v>
      </c>
      <c r="J127" s="267">
        <f>RNC!J33</f>
        <v>11187</v>
      </c>
      <c r="K127" s="267">
        <f>RNC!K33</f>
        <v>4608</v>
      </c>
      <c r="L127" s="267">
        <f>RNC!L33</f>
        <v>3884</v>
      </c>
      <c r="M127" s="267">
        <f>RNC!M33</f>
        <v>2082</v>
      </c>
      <c r="N127" s="267">
        <f>RNC!N33</f>
        <v>12799</v>
      </c>
      <c r="O127" s="144"/>
    </row>
    <row r="128" spans="1:15" ht="12.75">
      <c r="A128" s="245" t="s">
        <v>362</v>
      </c>
      <c r="B128" s="267">
        <f t="shared" si="28"/>
        <v>484514</v>
      </c>
      <c r="C128" s="267">
        <f>'C&amp;I'!C88</f>
        <v>62505</v>
      </c>
      <c r="D128" s="267">
        <f>'C&amp;I'!D88</f>
        <v>51226</v>
      </c>
      <c r="E128" s="267">
        <f>'C&amp;I'!E88</f>
        <v>162510</v>
      </c>
      <c r="F128" s="267">
        <f>'C&amp;I'!F88</f>
        <v>112183</v>
      </c>
      <c r="G128" s="267">
        <f>'C&amp;I'!G88</f>
        <v>96090</v>
      </c>
      <c r="H128" s="267">
        <f>'C&amp;I'!H88</f>
        <v>45739</v>
      </c>
      <c r="I128" s="267">
        <f>'C&amp;I'!I88</f>
        <v>171585</v>
      </c>
      <c r="J128" s="267">
        <f>'C&amp;I'!J88</f>
        <v>59275</v>
      </c>
      <c r="K128" s="267">
        <f>'C&amp;I'!K88</f>
        <v>122090</v>
      </c>
      <c r="L128" s="267">
        <f>'C&amp;I'!L88</f>
        <v>98440</v>
      </c>
      <c r="M128" s="267">
        <f>'C&amp;I'!M88</f>
        <v>143696</v>
      </c>
      <c r="N128" s="267">
        <f>'C&amp;I'!N88</f>
        <v>130457</v>
      </c>
      <c r="O128" s="144"/>
    </row>
    <row r="129" spans="1:15" ht="12.75">
      <c r="A129" s="187" t="s">
        <v>287</v>
      </c>
      <c r="B129" s="267">
        <f t="shared" si="28"/>
        <v>0</v>
      </c>
      <c r="C129" s="267"/>
      <c r="D129" s="267"/>
      <c r="E129" s="267"/>
      <c r="F129" s="267"/>
      <c r="G129" s="267"/>
      <c r="H129" s="267"/>
      <c r="I129" s="267"/>
      <c r="J129" s="267"/>
      <c r="K129" s="267"/>
      <c r="L129" s="267">
        <f>'P4P '!I52</f>
        <v>0</v>
      </c>
      <c r="M129" s="267">
        <f>'P4P '!J52</f>
        <v>50830</v>
      </c>
      <c r="N129" s="267">
        <f>'P4P '!K50</f>
        <v>48001</v>
      </c>
      <c r="O129" s="144"/>
    </row>
    <row r="130" spans="1:15" ht="12.75">
      <c r="A130" s="187" t="s">
        <v>411</v>
      </c>
      <c r="B130" s="267">
        <f t="shared" si="28"/>
        <v>0</v>
      </c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>
        <f>'P4P '!K51</f>
        <v>0</v>
      </c>
      <c r="O130" s="144"/>
    </row>
    <row r="131" spans="1:15" ht="12.75">
      <c r="A131" s="187" t="s">
        <v>288</v>
      </c>
      <c r="B131" s="267">
        <f t="shared" si="28"/>
        <v>0</v>
      </c>
      <c r="C131" s="267"/>
      <c r="D131" s="267"/>
      <c r="E131" s="267"/>
      <c r="F131" s="267"/>
      <c r="G131" s="267"/>
      <c r="H131" s="267"/>
      <c r="I131" s="267"/>
      <c r="J131" s="267"/>
      <c r="K131" s="267"/>
      <c r="L131" s="267">
        <f>'P4P NC'!B40</f>
        <v>0</v>
      </c>
      <c r="M131" s="267">
        <f>'P4P NC'!C40</f>
        <v>6352</v>
      </c>
      <c r="N131" s="267">
        <f>'P4P NC'!D40</f>
        <v>2147</v>
      </c>
      <c r="O131" s="144"/>
    </row>
    <row r="132" spans="1:15" ht="12.75">
      <c r="A132" s="187" t="s">
        <v>229</v>
      </c>
      <c r="B132" s="267">
        <f t="shared" si="28"/>
        <v>0</v>
      </c>
      <c r="C132" s="267"/>
      <c r="D132" s="267"/>
      <c r="E132" s="267"/>
      <c r="F132" s="267"/>
      <c r="G132" s="267"/>
      <c r="H132" s="267"/>
      <c r="I132" s="267"/>
      <c r="J132" s="267"/>
      <c r="K132" s="267"/>
      <c r="L132" s="267">
        <f>'Direct Install'!D37</f>
        <v>15949</v>
      </c>
      <c r="M132" s="267">
        <f>'Direct Install'!E37</f>
        <v>27009</v>
      </c>
      <c r="N132" s="267">
        <f>'Direct Install'!F37</f>
        <v>21602</v>
      </c>
      <c r="O132" s="144"/>
    </row>
    <row r="133" spans="1:15" ht="12.75">
      <c r="A133" s="187" t="s">
        <v>412</v>
      </c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>
        <f>LEUP!C37</f>
        <v>17110</v>
      </c>
      <c r="O133" s="144"/>
    </row>
    <row r="134" spans="1:15" ht="12.75">
      <c r="A134" s="29" t="s">
        <v>107</v>
      </c>
      <c r="B134" s="269">
        <f t="shared" si="28"/>
        <v>566115</v>
      </c>
      <c r="C134" s="269">
        <f>SUM(C127:C132)</f>
        <v>69079</v>
      </c>
      <c r="D134" s="269">
        <f>SUM(D127:D132)</f>
        <v>81999</v>
      </c>
      <c r="E134" s="269">
        <f>SUM(E127:E132)</f>
        <v>184549</v>
      </c>
      <c r="F134" s="269">
        <f>SUM(F127:F132)</f>
        <v>116137</v>
      </c>
      <c r="G134" s="269">
        <f>SUM(G127:G132)</f>
        <v>114351</v>
      </c>
      <c r="H134" s="269">
        <f aca="true" t="shared" si="29" ref="H134:N134">SUM(H127:H133)</f>
        <v>65095</v>
      </c>
      <c r="I134" s="269">
        <f t="shared" si="29"/>
        <v>179838</v>
      </c>
      <c r="J134" s="269">
        <f t="shared" si="29"/>
        <v>70462</v>
      </c>
      <c r="K134" s="269">
        <f t="shared" si="29"/>
        <v>126698</v>
      </c>
      <c r="L134" s="269">
        <f t="shared" si="29"/>
        <v>118273</v>
      </c>
      <c r="M134" s="269">
        <f t="shared" si="29"/>
        <v>229969</v>
      </c>
      <c r="N134" s="269">
        <f t="shared" si="29"/>
        <v>232116</v>
      </c>
      <c r="O134" s="144"/>
    </row>
    <row r="135" spans="1:15" ht="12.75">
      <c r="A135" s="34"/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</row>
    <row r="136" spans="1:16" ht="12.75">
      <c r="A136" s="76" t="s">
        <v>12</v>
      </c>
      <c r="B136" s="153"/>
      <c r="C136" s="58" t="s">
        <v>158</v>
      </c>
      <c r="D136" s="58" t="s">
        <v>158</v>
      </c>
      <c r="E136" s="58" t="s">
        <v>158</v>
      </c>
      <c r="F136" s="58" t="s">
        <v>158</v>
      </c>
      <c r="G136" s="58" t="s">
        <v>158</v>
      </c>
      <c r="H136" s="58" t="s">
        <v>158</v>
      </c>
      <c r="I136" s="153" t="s">
        <v>13</v>
      </c>
      <c r="J136" s="153" t="s">
        <v>13</v>
      </c>
      <c r="K136" s="153" t="s">
        <v>13</v>
      </c>
      <c r="L136" s="153" t="s">
        <v>13</v>
      </c>
      <c r="M136" s="153" t="s">
        <v>13</v>
      </c>
      <c r="N136" s="153" t="s">
        <v>13</v>
      </c>
      <c r="O136" s="58"/>
      <c r="P136" s="75"/>
    </row>
    <row r="137" spans="1:16" ht="12.75">
      <c r="A137" s="245" t="s">
        <v>82</v>
      </c>
      <c r="B137" s="271">
        <f aca="true" t="shared" si="30" ref="B137:B145">SUM(C137:G137)</f>
        <v>2005176</v>
      </c>
      <c r="C137" s="271">
        <f>RNC!C40</f>
        <v>100752</v>
      </c>
      <c r="D137" s="271">
        <f>RNC!D40</f>
        <v>616850</v>
      </c>
      <c r="E137" s="271">
        <f>RNC!E40</f>
        <v>606325</v>
      </c>
      <c r="F137" s="271">
        <f>RNC!F40</f>
        <v>130804</v>
      </c>
      <c r="G137" s="271">
        <f>RNC!G40</f>
        <v>550445</v>
      </c>
      <c r="H137" s="271">
        <f>RNC!H40</f>
        <v>631039</v>
      </c>
      <c r="I137" s="271">
        <f>RNC!I40</f>
        <v>155595</v>
      </c>
      <c r="J137" s="271">
        <f>RNC!J40</f>
        <v>312728</v>
      </c>
      <c r="K137" s="271">
        <f>RNC!K40</f>
        <v>241849</v>
      </c>
      <c r="L137" s="271">
        <f>RNC!L40</f>
        <v>190865</v>
      </c>
      <c r="M137" s="271">
        <f>RNC!M40</f>
        <v>74876</v>
      </c>
      <c r="N137" s="271">
        <f>RNC!N40</f>
        <v>224799</v>
      </c>
      <c r="O137" s="99"/>
      <c r="P137" s="75"/>
    </row>
    <row r="138" spans="1:16" ht="12.75">
      <c r="A138" s="245" t="s">
        <v>89</v>
      </c>
      <c r="B138" s="271">
        <f t="shared" si="30"/>
        <v>380387</v>
      </c>
      <c r="C138" s="271">
        <f>'C&amp;I'!C106</f>
        <v>0</v>
      </c>
      <c r="D138" s="271">
        <f>'C&amp;I'!D106</f>
        <v>31802</v>
      </c>
      <c r="E138" s="271">
        <f>'C&amp;I'!E106</f>
        <v>27617</v>
      </c>
      <c r="F138" s="271">
        <f>'C&amp;I'!F106</f>
        <v>153518</v>
      </c>
      <c r="G138" s="271">
        <f>'C&amp;I'!G106</f>
        <v>167450</v>
      </c>
      <c r="H138" s="271">
        <f>'C&amp;I'!H106</f>
        <v>58760</v>
      </c>
      <c r="I138" s="271">
        <f>'C&amp;I'!I106</f>
        <v>57759</v>
      </c>
      <c r="J138" s="271">
        <f>'C&amp;I'!J106</f>
        <v>218136</v>
      </c>
      <c r="K138" s="271">
        <f>'C&amp;I'!K106</f>
        <v>266738</v>
      </c>
      <c r="L138" s="271">
        <f>'C&amp;I'!L106</f>
        <v>83168</v>
      </c>
      <c r="M138" s="271">
        <f>'C&amp;I'!M106</f>
        <v>256360</v>
      </c>
      <c r="N138" s="271">
        <f>'C&amp;I'!N106</f>
        <v>85490</v>
      </c>
      <c r="O138" s="99"/>
      <c r="P138" s="75"/>
    </row>
    <row r="139" spans="1:16" ht="12.75">
      <c r="A139" s="187" t="s">
        <v>287</v>
      </c>
      <c r="B139" s="271">
        <f t="shared" si="30"/>
        <v>0</v>
      </c>
      <c r="C139" s="271"/>
      <c r="D139" s="271"/>
      <c r="E139" s="271"/>
      <c r="F139" s="271"/>
      <c r="G139" s="271"/>
      <c r="H139" s="271"/>
      <c r="I139" s="271"/>
      <c r="J139" s="271"/>
      <c r="K139" s="271"/>
      <c r="L139" s="271">
        <f>'P4P '!I68</f>
        <v>105152</v>
      </c>
      <c r="M139" s="271">
        <f>'P4P '!J68</f>
        <v>270852</v>
      </c>
      <c r="N139" s="271">
        <f>'P4P '!K66</f>
        <v>291973</v>
      </c>
      <c r="O139" s="99"/>
      <c r="P139" s="75"/>
    </row>
    <row r="140" spans="1:16" ht="12.75">
      <c r="A140" s="187" t="s">
        <v>411</v>
      </c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>
        <f>'P4P '!K67</f>
        <v>35318</v>
      </c>
      <c r="O140" s="99"/>
      <c r="P140" s="75"/>
    </row>
    <row r="141" spans="1:16" ht="12.75">
      <c r="A141" s="187" t="s">
        <v>288</v>
      </c>
      <c r="B141" s="271">
        <f t="shared" si="30"/>
        <v>0</v>
      </c>
      <c r="C141" s="271"/>
      <c r="D141" s="271"/>
      <c r="E141" s="271"/>
      <c r="F141" s="271"/>
      <c r="G141" s="271"/>
      <c r="H141" s="271"/>
      <c r="I141" s="271"/>
      <c r="J141" s="271"/>
      <c r="K141" s="271"/>
      <c r="L141" s="271">
        <f>'P4P NC'!B50</f>
        <v>0</v>
      </c>
      <c r="M141" s="271">
        <f>'P4P NC'!C50</f>
        <v>7716</v>
      </c>
      <c r="N141" s="271">
        <f>'P4P NC'!D50</f>
        <v>9247</v>
      </c>
      <c r="O141" s="99"/>
      <c r="P141" s="75"/>
    </row>
    <row r="142" spans="1:16" ht="12.75">
      <c r="A142" s="187" t="s">
        <v>229</v>
      </c>
      <c r="B142" s="271">
        <f t="shared" si="30"/>
        <v>0</v>
      </c>
      <c r="C142" s="271"/>
      <c r="D142" s="271"/>
      <c r="E142" s="271"/>
      <c r="F142" s="271"/>
      <c r="G142" s="271"/>
      <c r="H142" s="271"/>
      <c r="I142" s="271"/>
      <c r="J142" s="271"/>
      <c r="K142" s="271"/>
      <c r="L142" s="271">
        <f>'Direct Install'!D47</f>
        <v>5011</v>
      </c>
      <c r="M142" s="271">
        <f>'Direct Install'!E47</f>
        <v>59801</v>
      </c>
      <c r="N142" s="271">
        <f>'Direct Install'!F47</f>
        <v>63986</v>
      </c>
      <c r="O142" s="99"/>
      <c r="P142" s="75"/>
    </row>
    <row r="143" spans="1:16" ht="12.75">
      <c r="A143" s="187" t="s">
        <v>412</v>
      </c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>
        <f>LEUP!C47</f>
        <v>125717</v>
      </c>
      <c r="O143" s="99"/>
      <c r="P143" s="75"/>
    </row>
    <row r="144" spans="1:16" ht="12.75">
      <c r="A144" s="245" t="s">
        <v>206</v>
      </c>
      <c r="B144" s="271">
        <f t="shared" si="30"/>
        <v>0</v>
      </c>
      <c r="C144" s="271"/>
      <c r="D144" s="271"/>
      <c r="E144" s="271"/>
      <c r="F144" s="271"/>
      <c r="G144" s="271"/>
      <c r="H144" s="271"/>
      <c r="I144" s="271">
        <f>CHP!I63</f>
        <v>603845</v>
      </c>
      <c r="J144" s="271">
        <f>CHP!J63</f>
        <v>1254210</v>
      </c>
      <c r="K144" s="271">
        <f>CHP!K63</f>
        <v>962446</v>
      </c>
      <c r="L144" s="271">
        <f>CHP!L63</f>
        <v>235419</v>
      </c>
      <c r="M144" s="271">
        <f>CHP!M63</f>
        <v>5202</v>
      </c>
      <c r="N144" s="271">
        <f>CHP!N63</f>
        <v>624278</v>
      </c>
      <c r="O144" s="99"/>
      <c r="P144" s="75"/>
    </row>
    <row r="145" spans="1:16" ht="12.75">
      <c r="A145" s="29" t="s">
        <v>216</v>
      </c>
      <c r="B145" s="282">
        <f t="shared" si="30"/>
        <v>2385563</v>
      </c>
      <c r="C145" s="282">
        <f>SUM(C137:C144)</f>
        <v>100752</v>
      </c>
      <c r="D145" s="282">
        <f aca="true" t="shared" si="31" ref="D145:J145">SUM(D137:D144)</f>
        <v>648652</v>
      </c>
      <c r="E145" s="282">
        <f t="shared" si="31"/>
        <v>633942</v>
      </c>
      <c r="F145" s="282">
        <f t="shared" si="31"/>
        <v>284322</v>
      </c>
      <c r="G145" s="282">
        <f t="shared" si="31"/>
        <v>717895</v>
      </c>
      <c r="H145" s="282">
        <f t="shared" si="31"/>
        <v>689799</v>
      </c>
      <c r="I145" s="282">
        <f t="shared" si="31"/>
        <v>817199</v>
      </c>
      <c r="J145" s="282">
        <f t="shared" si="31"/>
        <v>1785074</v>
      </c>
      <c r="K145" s="282">
        <f>SUM(K137:K144)</f>
        <v>1471033</v>
      </c>
      <c r="L145" s="282">
        <f>SUM(L137:L144)</f>
        <v>619615</v>
      </c>
      <c r="M145" s="282">
        <f>SUM(M137:M144)</f>
        <v>674807</v>
      </c>
      <c r="N145" s="282">
        <f>SUM(N137:N144)</f>
        <v>1460808</v>
      </c>
      <c r="O145" s="99"/>
      <c r="P145" s="99"/>
    </row>
    <row r="146" spans="1:16" ht="12.75">
      <c r="A146" s="34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75"/>
    </row>
    <row r="147" spans="1:16" ht="12.75">
      <c r="A147" s="34" t="s">
        <v>421</v>
      </c>
      <c r="B147" s="89"/>
      <c r="C147" s="89" t="s">
        <v>11</v>
      </c>
      <c r="D147" s="89" t="s">
        <v>11</v>
      </c>
      <c r="E147" s="89" t="s">
        <v>11</v>
      </c>
      <c r="F147" s="89" t="s">
        <v>11</v>
      </c>
      <c r="G147" s="89" t="s">
        <v>11</v>
      </c>
      <c r="H147" s="89" t="s">
        <v>11</v>
      </c>
      <c r="I147" s="89" t="s">
        <v>11</v>
      </c>
      <c r="J147" s="89" t="s">
        <v>11</v>
      </c>
      <c r="K147" s="89" t="s">
        <v>11</v>
      </c>
      <c r="L147" s="89" t="s">
        <v>11</v>
      </c>
      <c r="M147" s="89" t="s">
        <v>11</v>
      </c>
      <c r="N147" s="89" t="s">
        <v>11</v>
      </c>
      <c r="O147" s="99"/>
      <c r="P147" s="75"/>
    </row>
    <row r="148" spans="1:16" ht="12.75">
      <c r="A148" s="245" t="s">
        <v>82</v>
      </c>
      <c r="B148" s="271">
        <f aca="true" t="shared" si="32" ref="B148:B155">SUM(C148:G148)</f>
        <v>130568</v>
      </c>
      <c r="C148" s="271">
        <f>RNC!C37</f>
        <v>6547</v>
      </c>
      <c r="D148" s="271">
        <f>RNC!D37</f>
        <v>31455</v>
      </c>
      <c r="E148" s="271">
        <f>RNC!E37</f>
        <v>39030</v>
      </c>
      <c r="F148" s="271">
        <f>RNC!F37</f>
        <v>10985</v>
      </c>
      <c r="G148" s="271">
        <f>RNC!G37</f>
        <v>42551</v>
      </c>
      <c r="H148" s="271">
        <f>RNC!H37</f>
        <v>54027</v>
      </c>
      <c r="I148" s="271">
        <f>RNC!I37</f>
        <v>18869</v>
      </c>
      <c r="J148" s="271">
        <f>RNC!J37</f>
        <v>24815</v>
      </c>
      <c r="K148" s="271">
        <f>RNC!K37</f>
        <v>10221</v>
      </c>
      <c r="L148" s="271">
        <f>RNC!L37</f>
        <v>8616</v>
      </c>
      <c r="M148" s="271">
        <f>RNC!M37</f>
        <v>4619</v>
      </c>
      <c r="N148" s="271">
        <f>RNC!N37</f>
        <v>13715</v>
      </c>
      <c r="O148" s="99"/>
      <c r="P148" s="75"/>
    </row>
    <row r="149" spans="1:16" ht="12.75">
      <c r="A149" s="245" t="s">
        <v>89</v>
      </c>
      <c r="B149" s="271">
        <f t="shared" si="32"/>
        <v>22225</v>
      </c>
      <c r="C149" s="271">
        <f>'C&amp;I'!C94</f>
        <v>0</v>
      </c>
      <c r="D149" s="271">
        <f>'C&amp;I'!D94</f>
        <v>0</v>
      </c>
      <c r="E149" s="271">
        <f>'C&amp;I'!E94</f>
        <v>0</v>
      </c>
      <c r="F149" s="271">
        <f>'C&amp;I'!F94</f>
        <v>0</v>
      </c>
      <c r="G149" s="271">
        <f>'C&amp;I'!G94</f>
        <v>22225</v>
      </c>
      <c r="H149" s="271">
        <f>'C&amp;I'!H94</f>
        <v>10038</v>
      </c>
      <c r="I149" s="271">
        <f>'C&amp;I'!I94</f>
        <v>24173</v>
      </c>
      <c r="J149" s="271">
        <f>'C&amp;I'!J94</f>
        <v>18996</v>
      </c>
      <c r="K149" s="271">
        <f>'C&amp;I'!K94</f>
        <v>25536</v>
      </c>
      <c r="L149" s="271">
        <f>'C&amp;I'!L94</f>
        <v>19714</v>
      </c>
      <c r="M149" s="271">
        <f>'C&amp;I'!M94</f>
        <v>121819</v>
      </c>
      <c r="N149" s="271">
        <f>'C&amp;I'!N94</f>
        <v>32583</v>
      </c>
      <c r="O149" s="99"/>
      <c r="P149" s="75"/>
    </row>
    <row r="150" spans="1:16" ht="12.75">
      <c r="A150" s="187" t="s">
        <v>287</v>
      </c>
      <c r="B150" s="271">
        <f t="shared" si="32"/>
        <v>0</v>
      </c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>
        <f>'P4P '!J62</f>
        <v>10469</v>
      </c>
      <c r="N150" s="271">
        <f>'P4P '!K60</f>
        <v>9585</v>
      </c>
      <c r="O150" s="99"/>
      <c r="P150" s="75"/>
    </row>
    <row r="151" spans="1:16" ht="12.75">
      <c r="A151" s="187" t="s">
        <v>411</v>
      </c>
      <c r="B151" s="271">
        <f t="shared" si="32"/>
        <v>0</v>
      </c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>
        <f>'P4P '!K61</f>
        <v>1795</v>
      </c>
      <c r="O151" s="99"/>
      <c r="P151" s="75"/>
    </row>
    <row r="152" spans="1:16" ht="12.75">
      <c r="A152" s="187" t="s">
        <v>288</v>
      </c>
      <c r="B152" s="271">
        <f t="shared" si="32"/>
        <v>0</v>
      </c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>
        <f>'P4P NC'!C46</f>
        <v>1288</v>
      </c>
      <c r="N152" s="271">
        <f>'P4P NC'!D46</f>
        <v>200</v>
      </c>
      <c r="O152" s="99"/>
      <c r="P152" s="75"/>
    </row>
    <row r="153" spans="1:16" ht="12.75">
      <c r="A153" s="187" t="s">
        <v>229</v>
      </c>
      <c r="B153" s="271">
        <f t="shared" si="32"/>
        <v>0</v>
      </c>
      <c r="C153" s="271"/>
      <c r="D153" s="271"/>
      <c r="E153" s="271"/>
      <c r="F153" s="271"/>
      <c r="G153" s="271"/>
      <c r="H153" s="271"/>
      <c r="I153" s="271"/>
      <c r="J153" s="271"/>
      <c r="K153" s="271"/>
      <c r="L153" s="271">
        <f>'Direct Install'!D43</f>
        <v>3753</v>
      </c>
      <c r="M153" s="271">
        <f>'Direct Install'!E43</f>
        <v>6497</v>
      </c>
      <c r="N153" s="271">
        <f>'Direct Install'!F43</f>
        <v>5416</v>
      </c>
      <c r="O153" s="99"/>
      <c r="P153" s="75"/>
    </row>
    <row r="154" spans="1:16" ht="12.75">
      <c r="A154" s="187" t="s">
        <v>412</v>
      </c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>
        <f>LEUP!C43</f>
        <v>4418</v>
      </c>
      <c r="O154" s="99"/>
      <c r="P154" s="75"/>
    </row>
    <row r="155" spans="1:16" ht="12.75">
      <c r="A155" s="29" t="s">
        <v>329</v>
      </c>
      <c r="B155" s="282">
        <f t="shared" si="32"/>
        <v>152793</v>
      </c>
      <c r="C155" s="282">
        <f>SUM(C148:C153)</f>
        <v>6547</v>
      </c>
      <c r="D155" s="282">
        <f aca="true" t="shared" si="33" ref="D155:L155">SUM(D148:D153)</f>
        <v>31455</v>
      </c>
      <c r="E155" s="282">
        <f t="shared" si="33"/>
        <v>39030</v>
      </c>
      <c r="F155" s="282">
        <f t="shared" si="33"/>
        <v>10985</v>
      </c>
      <c r="G155" s="282">
        <f t="shared" si="33"/>
        <v>64776</v>
      </c>
      <c r="H155" s="282">
        <f t="shared" si="33"/>
        <v>64065</v>
      </c>
      <c r="I155" s="282">
        <f t="shared" si="33"/>
        <v>43042</v>
      </c>
      <c r="J155" s="282">
        <f t="shared" si="33"/>
        <v>43811</v>
      </c>
      <c r="K155" s="282">
        <f t="shared" si="33"/>
        <v>35757</v>
      </c>
      <c r="L155" s="282">
        <f t="shared" si="33"/>
        <v>32083</v>
      </c>
      <c r="M155" s="282">
        <f>SUM(M148:M153)</f>
        <v>144692</v>
      </c>
      <c r="N155" s="282">
        <f>SUM(N148:N153)</f>
        <v>63294</v>
      </c>
      <c r="O155" s="99"/>
      <c r="P155" s="75"/>
    </row>
    <row r="156" spans="1:16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67" t="s">
        <v>418</v>
      </c>
      <c r="B157" s="153"/>
      <c r="C157" s="153" t="s">
        <v>29</v>
      </c>
      <c r="D157" s="153" t="s">
        <v>29</v>
      </c>
      <c r="E157" s="153" t="s">
        <v>29</v>
      </c>
      <c r="F157" s="153" t="s">
        <v>29</v>
      </c>
      <c r="G157" s="153" t="s">
        <v>29</v>
      </c>
      <c r="H157" s="153" t="s">
        <v>29</v>
      </c>
      <c r="I157" s="153" t="s">
        <v>29</v>
      </c>
      <c r="J157" s="153" t="s">
        <v>29</v>
      </c>
      <c r="K157" s="153" t="s">
        <v>29</v>
      </c>
      <c r="L157" s="153" t="s">
        <v>29</v>
      </c>
      <c r="M157" s="153" t="s">
        <v>29</v>
      </c>
      <c r="N157" s="153" t="s">
        <v>29</v>
      </c>
      <c r="O157" s="75"/>
      <c r="P157" s="75"/>
    </row>
    <row r="158" spans="1:16" ht="12.75">
      <c r="A158" s="187" t="s">
        <v>411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>
        <f>'P4P '!K88</f>
        <v>7952</v>
      </c>
      <c r="O158" s="316"/>
      <c r="P158" s="75"/>
    </row>
    <row r="159" spans="1:16" ht="12.75">
      <c r="A159" s="349" t="s">
        <v>147</v>
      </c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>
        <f>CHP!N91</f>
        <v>135618</v>
      </c>
      <c r="O159" s="316"/>
      <c r="P159" s="75"/>
    </row>
    <row r="160" spans="1:16" ht="12.75">
      <c r="A160" s="48" t="s">
        <v>1</v>
      </c>
      <c r="B160" s="282">
        <f>SUM(C160:G160)</f>
        <v>0</v>
      </c>
      <c r="C160" s="282"/>
      <c r="D160" s="282"/>
      <c r="E160" s="282"/>
      <c r="F160" s="282"/>
      <c r="G160" s="282"/>
      <c r="H160" s="282">
        <f>CHP!H91</f>
        <v>729628</v>
      </c>
      <c r="I160" s="282">
        <f>CHP!I91</f>
        <v>105252</v>
      </c>
      <c r="J160" s="282">
        <f>CHP!J91</f>
        <v>90800</v>
      </c>
      <c r="K160" s="282">
        <f>CHP!K91</f>
        <v>123895</v>
      </c>
      <c r="L160" s="282">
        <f>CHP!L91</f>
        <v>41718</v>
      </c>
      <c r="M160" s="282">
        <f>CHP!M91</f>
        <v>2455</v>
      </c>
      <c r="N160" s="282">
        <f>SUM(N158:N159)</f>
        <v>143570</v>
      </c>
      <c r="O160" s="75"/>
      <c r="P160" s="75"/>
    </row>
    <row r="161" spans="1:16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67" t="s">
        <v>419</v>
      </c>
      <c r="B162" s="89"/>
      <c r="C162" s="89" t="s">
        <v>11</v>
      </c>
      <c r="D162" s="89" t="s">
        <v>11</v>
      </c>
      <c r="E162" s="89" t="s">
        <v>11</v>
      </c>
      <c r="F162" s="89" t="s">
        <v>11</v>
      </c>
      <c r="G162" s="89" t="s">
        <v>11</v>
      </c>
      <c r="H162" s="89" t="s">
        <v>11</v>
      </c>
      <c r="I162" s="89" t="s">
        <v>11</v>
      </c>
      <c r="J162" s="89" t="s">
        <v>11</v>
      </c>
      <c r="K162" s="89" t="s">
        <v>11</v>
      </c>
      <c r="L162" s="89" t="s">
        <v>11</v>
      </c>
      <c r="M162" s="89" t="s">
        <v>11</v>
      </c>
      <c r="N162" s="89" t="s">
        <v>11</v>
      </c>
      <c r="O162" s="75"/>
      <c r="P162" s="75"/>
    </row>
    <row r="163" spans="1:16" ht="12.75">
      <c r="A163" s="187" t="s">
        <v>411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>
        <f>'P4P '!K94</f>
        <v>1795</v>
      </c>
      <c r="O163" s="316"/>
      <c r="P163" s="75"/>
    </row>
    <row r="164" spans="1:16" ht="12.75">
      <c r="A164" s="349" t="s">
        <v>147</v>
      </c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>
        <f>CHP!N101</f>
        <v>17004</v>
      </c>
      <c r="O164" s="316"/>
      <c r="P164" s="75"/>
    </row>
    <row r="165" spans="1:16" ht="12.75">
      <c r="A165" s="48" t="s">
        <v>1</v>
      </c>
      <c r="B165" s="269">
        <f>SUM(C165:G165)</f>
        <v>2668</v>
      </c>
      <c r="C165" s="269"/>
      <c r="D165" s="269"/>
      <c r="E165" s="269"/>
      <c r="F165" s="269"/>
      <c r="G165" s="269">
        <f>CHP!G101</f>
        <v>2668</v>
      </c>
      <c r="H165" s="269">
        <f>CHP!H101</f>
        <v>0</v>
      </c>
      <c r="I165" s="269">
        <f>CHP!I101</f>
        <v>13685</v>
      </c>
      <c r="J165" s="269">
        <f>CHP!J101</f>
        <v>11365</v>
      </c>
      <c r="K165" s="269">
        <f>CHP!K101</f>
        <v>16367</v>
      </c>
      <c r="L165" s="269">
        <f>CHP!L101</f>
        <v>5970</v>
      </c>
      <c r="M165" s="269">
        <f>CHP!M101</f>
        <v>300</v>
      </c>
      <c r="N165" s="269">
        <f>SUM(N163:N164)</f>
        <v>18799</v>
      </c>
      <c r="O165" s="75"/>
      <c r="P165" s="75"/>
    </row>
    <row r="166" spans="1:16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5" ht="12.75">
      <c r="A167" s="350" t="s">
        <v>159</v>
      </c>
      <c r="B167" s="153"/>
      <c r="C167" s="153" t="s">
        <v>29</v>
      </c>
      <c r="D167" s="153" t="s">
        <v>29</v>
      </c>
      <c r="E167" s="153" t="s">
        <v>29</v>
      </c>
      <c r="F167" s="153" t="s">
        <v>29</v>
      </c>
      <c r="G167" s="153" t="s">
        <v>29</v>
      </c>
      <c r="H167" s="153" t="s">
        <v>29</v>
      </c>
      <c r="I167" s="153" t="s">
        <v>29</v>
      </c>
      <c r="J167" s="153" t="s">
        <v>29</v>
      </c>
      <c r="K167" s="153" t="s">
        <v>29</v>
      </c>
      <c r="L167" s="153" t="s">
        <v>29</v>
      </c>
      <c r="M167" s="153" t="s">
        <v>29</v>
      </c>
      <c r="N167" s="153" t="s">
        <v>29</v>
      </c>
      <c r="O167" s="89"/>
    </row>
    <row r="168" spans="1:15" ht="12.75">
      <c r="A168" s="85" t="s">
        <v>91</v>
      </c>
      <c r="B168" s="271">
        <f aca="true" t="shared" si="34" ref="B168:B174">SUM(C168:G168)</f>
        <v>83601</v>
      </c>
      <c r="C168" s="271"/>
      <c r="D168" s="271"/>
      <c r="E168" s="271"/>
      <c r="F168" s="271"/>
      <c r="G168" s="271">
        <f>CORE!G32</f>
        <v>83601</v>
      </c>
      <c r="H168" s="271">
        <f>CORE!H32</f>
        <v>35316</v>
      </c>
      <c r="I168" s="271">
        <f>CORE!I32</f>
        <v>25757</v>
      </c>
      <c r="J168" s="271">
        <f>CORE!J32</f>
        <v>64262</v>
      </c>
      <c r="K168" s="271">
        <f>CORE!K32</f>
        <v>48452</v>
      </c>
      <c r="L168" s="271">
        <f>CORE!L32</f>
        <v>16435</v>
      </c>
      <c r="M168" s="271">
        <f>CORE!M32</f>
        <v>5239</v>
      </c>
      <c r="N168" s="271">
        <f>CORE!N32</f>
        <v>0</v>
      </c>
      <c r="O168" s="75"/>
    </row>
    <row r="169" spans="1:15" ht="12.75">
      <c r="A169" s="85" t="s">
        <v>247</v>
      </c>
      <c r="B169" s="271">
        <f t="shared" si="34"/>
        <v>0</v>
      </c>
      <c r="C169" s="271"/>
      <c r="D169" s="271"/>
      <c r="E169" s="271"/>
      <c r="F169" s="271"/>
      <c r="G169" s="271"/>
      <c r="H169" s="271"/>
      <c r="I169" s="271"/>
      <c r="J169" s="271"/>
      <c r="K169" s="271">
        <f>REIP!B30</f>
        <v>25440</v>
      </c>
      <c r="L169" s="271">
        <f>REIP!C30</f>
        <v>33278</v>
      </c>
      <c r="M169" s="271">
        <f>REIP!D30</f>
        <v>7043</v>
      </c>
      <c r="N169" s="271">
        <f>REIP!E30</f>
        <v>24821</v>
      </c>
      <c r="O169" s="75"/>
    </row>
    <row r="170" spans="1:15" ht="12.75">
      <c r="A170" s="85" t="s">
        <v>203</v>
      </c>
      <c r="B170" s="271">
        <f t="shared" si="34"/>
        <v>0</v>
      </c>
      <c r="C170" s="271"/>
      <c r="D170" s="271"/>
      <c r="E170" s="271"/>
      <c r="F170" s="271"/>
      <c r="G170" s="271"/>
      <c r="H170" s="271"/>
      <c r="I170" s="271"/>
      <c r="J170" s="271"/>
      <c r="K170" s="271">
        <f>REC!D22</f>
        <v>65002</v>
      </c>
      <c r="L170" s="271">
        <f>REC!E22</f>
        <v>212449</v>
      </c>
      <c r="M170" s="271">
        <f>REC!F22</f>
        <v>694020</v>
      </c>
      <c r="N170" s="271">
        <f>REC!G22</f>
        <v>695273</v>
      </c>
      <c r="O170" s="75"/>
    </row>
    <row r="171" spans="1:15" ht="12.75">
      <c r="A171" s="85" t="s">
        <v>248</v>
      </c>
      <c r="B171" s="271">
        <f t="shared" si="34"/>
        <v>0</v>
      </c>
      <c r="C171" s="271"/>
      <c r="D171" s="271"/>
      <c r="E171" s="271"/>
      <c r="F171" s="271"/>
      <c r="G171" s="271"/>
      <c r="H171" s="271"/>
      <c r="I171" s="271"/>
      <c r="J171" s="271"/>
      <c r="K171" s="271">
        <v>0</v>
      </c>
      <c r="L171" s="271">
        <v>0</v>
      </c>
      <c r="M171" s="271">
        <v>0</v>
      </c>
      <c r="N171" s="271">
        <v>0</v>
      </c>
      <c r="O171" s="75"/>
    </row>
    <row r="172" spans="1:15" ht="12.75">
      <c r="A172" s="55" t="s">
        <v>306</v>
      </c>
      <c r="B172" s="271">
        <f t="shared" si="34"/>
        <v>0</v>
      </c>
      <c r="C172" s="271"/>
      <c r="D172" s="271"/>
      <c r="E172" s="271"/>
      <c r="F172" s="271"/>
      <c r="G172" s="271"/>
      <c r="H172" s="271"/>
      <c r="I172" s="271"/>
      <c r="J172" s="271"/>
      <c r="K172" s="271">
        <f>'RE Grid Connected'!B27</f>
        <v>0</v>
      </c>
      <c r="L172" s="271">
        <f>'RE Grid Connected'!C27</f>
        <v>34156</v>
      </c>
      <c r="M172" s="271">
        <f>'RE Grid Connected'!D27</f>
        <v>23926</v>
      </c>
      <c r="N172" s="271">
        <f>'RE Grid Connected'!E27</f>
        <v>13924</v>
      </c>
      <c r="O172" s="75"/>
    </row>
    <row r="173" spans="1:15" ht="12.75">
      <c r="A173" s="85" t="s">
        <v>138</v>
      </c>
      <c r="B173" s="271">
        <f t="shared" si="34"/>
        <v>12516</v>
      </c>
      <c r="C173" s="271"/>
      <c r="D173" s="271"/>
      <c r="E173" s="271"/>
      <c r="F173" s="271"/>
      <c r="G173" s="271">
        <f>'RE Grants and Financing'!F29</f>
        <v>12516</v>
      </c>
      <c r="H173" s="271">
        <f>'RE Grants and Financing'!G45</f>
        <v>39593</v>
      </c>
      <c r="I173" s="271">
        <f>'RE Grants and Financing'!H45</f>
        <v>54712</v>
      </c>
      <c r="J173" s="271">
        <f>'RE Grants and Financing'!I45</f>
        <v>8712</v>
      </c>
      <c r="K173" s="271">
        <v>0</v>
      </c>
      <c r="L173" s="271">
        <v>0</v>
      </c>
      <c r="M173" s="271">
        <v>0</v>
      </c>
      <c r="N173" s="271">
        <v>0</v>
      </c>
      <c r="O173" s="75"/>
    </row>
    <row r="174" spans="1:15" ht="12.75">
      <c r="A174" s="74" t="s">
        <v>1</v>
      </c>
      <c r="B174" s="282">
        <f t="shared" si="34"/>
        <v>96117</v>
      </c>
      <c r="C174" s="282"/>
      <c r="D174" s="282"/>
      <c r="E174" s="282"/>
      <c r="F174" s="282"/>
      <c r="G174" s="282">
        <f aca="true" t="shared" si="35" ref="G174:L174">SUM(G168:G173)</f>
        <v>96117</v>
      </c>
      <c r="H174" s="282">
        <f t="shared" si="35"/>
        <v>74909</v>
      </c>
      <c r="I174" s="282">
        <f t="shared" si="35"/>
        <v>80469</v>
      </c>
      <c r="J174" s="282">
        <f t="shared" si="35"/>
        <v>72974</v>
      </c>
      <c r="K174" s="282">
        <f t="shared" si="35"/>
        <v>138894</v>
      </c>
      <c r="L174" s="282">
        <f t="shared" si="35"/>
        <v>296318</v>
      </c>
      <c r="M174" s="282">
        <f>SUM(M168:M173)</f>
        <v>730228</v>
      </c>
      <c r="N174" s="282">
        <f>SUM(N168:N173)</f>
        <v>734018</v>
      </c>
      <c r="O174" s="75"/>
    </row>
    <row r="175" ht="12.75">
      <c r="O175" s="75"/>
    </row>
    <row r="176" spans="1:15" ht="12.75">
      <c r="A176" s="76" t="s">
        <v>109</v>
      </c>
      <c r="B176" s="89"/>
      <c r="C176" s="89" t="s">
        <v>11</v>
      </c>
      <c r="D176" s="89" t="s">
        <v>11</v>
      </c>
      <c r="E176" s="89" t="s">
        <v>11</v>
      </c>
      <c r="F176" s="89" t="s">
        <v>11</v>
      </c>
      <c r="G176" s="89" t="s">
        <v>11</v>
      </c>
      <c r="H176" s="89" t="s">
        <v>11</v>
      </c>
      <c r="I176" s="89" t="s">
        <v>11</v>
      </c>
      <c r="J176" s="89" t="s">
        <v>11</v>
      </c>
      <c r="K176" s="89" t="s">
        <v>11</v>
      </c>
      <c r="L176" s="89" t="s">
        <v>11</v>
      </c>
      <c r="M176" s="89" t="s">
        <v>11</v>
      </c>
      <c r="N176" s="89" t="s">
        <v>11</v>
      </c>
      <c r="O176" s="89"/>
    </row>
    <row r="177" spans="1:15" ht="12.75">
      <c r="A177" s="85" t="s">
        <v>91</v>
      </c>
      <c r="B177" s="267">
        <f aca="true" t="shared" si="36" ref="B177:B182">SUM(C177:G177)</f>
        <v>38148</v>
      </c>
      <c r="C177" s="267"/>
      <c r="D177" s="267"/>
      <c r="E177" s="267"/>
      <c r="F177" s="267"/>
      <c r="G177" s="267">
        <f>CORE!G36</f>
        <v>38148</v>
      </c>
      <c r="H177" s="267">
        <f>CORE!H36</f>
        <v>29430</v>
      </c>
      <c r="I177" s="267">
        <f>CORE!I36</f>
        <v>21464</v>
      </c>
      <c r="J177" s="267">
        <f>CORE!J36</f>
        <v>53552</v>
      </c>
      <c r="K177" s="267">
        <f>CORE!K36</f>
        <v>40376</v>
      </c>
      <c r="L177" s="267">
        <f>CORE!L36</f>
        <v>13696</v>
      </c>
      <c r="M177" s="267">
        <f>CORE!M36</f>
        <v>4366</v>
      </c>
      <c r="N177" s="267">
        <f>CORE!N36</f>
        <v>0</v>
      </c>
      <c r="O177" s="144"/>
    </row>
    <row r="178" spans="1:15" ht="12.75">
      <c r="A178" s="85" t="s">
        <v>247</v>
      </c>
      <c r="B178" s="271">
        <f t="shared" si="36"/>
        <v>0</v>
      </c>
      <c r="C178" s="267"/>
      <c r="D178" s="267"/>
      <c r="E178" s="267"/>
      <c r="F178" s="267"/>
      <c r="G178" s="267"/>
      <c r="H178" s="267"/>
      <c r="I178" s="267"/>
      <c r="J178" s="267"/>
      <c r="K178" s="271">
        <f>REIP!B34</f>
        <v>21200</v>
      </c>
      <c r="L178" s="271">
        <f>REIP!C34</f>
        <v>27731</v>
      </c>
      <c r="M178" s="271">
        <f>REIP!D34</f>
        <v>5869</v>
      </c>
      <c r="N178" s="271">
        <f>REIP!E34</f>
        <v>3652</v>
      </c>
      <c r="O178" s="144"/>
    </row>
    <row r="179" spans="1:15" ht="12.75">
      <c r="A179" s="85" t="s">
        <v>203</v>
      </c>
      <c r="B179" s="267">
        <f t="shared" si="36"/>
        <v>0</v>
      </c>
      <c r="C179" s="267"/>
      <c r="D179" s="267"/>
      <c r="E179" s="267"/>
      <c r="F179" s="267"/>
      <c r="G179" s="267"/>
      <c r="H179" s="267"/>
      <c r="I179" s="267"/>
      <c r="J179" s="267"/>
      <c r="K179" s="267">
        <f>REC!D26</f>
        <v>54168</v>
      </c>
      <c r="L179" s="267">
        <f>REC!E26</f>
        <v>177040</v>
      </c>
      <c r="M179" s="267">
        <f>REC!F26</f>
        <v>578350</v>
      </c>
      <c r="N179" s="267">
        <f>REC!G26</f>
        <v>579394</v>
      </c>
      <c r="O179" s="144"/>
    </row>
    <row r="180" spans="1:15" ht="12.75">
      <c r="A180" s="55" t="s">
        <v>306</v>
      </c>
      <c r="B180" s="267">
        <f t="shared" si="36"/>
        <v>0</v>
      </c>
      <c r="C180" s="267"/>
      <c r="D180" s="267"/>
      <c r="E180" s="267"/>
      <c r="F180" s="267"/>
      <c r="G180" s="267"/>
      <c r="H180" s="267"/>
      <c r="I180" s="267"/>
      <c r="J180" s="267"/>
      <c r="K180" s="267">
        <f>'RE Grid Connected'!B31</f>
        <v>0</v>
      </c>
      <c r="L180" s="267">
        <f>'RE Grid Connected'!C31</f>
        <v>8000</v>
      </c>
      <c r="M180" s="267">
        <f>'RE Grid Connected'!D31</f>
        <v>6500</v>
      </c>
      <c r="N180" s="267">
        <f>'RE Grid Connected'!E31</f>
        <v>2000</v>
      </c>
      <c r="O180" s="144"/>
    </row>
    <row r="181" spans="1:15" ht="12.75">
      <c r="A181" s="85" t="s">
        <v>138</v>
      </c>
      <c r="B181" s="267">
        <f t="shared" si="36"/>
        <v>1600</v>
      </c>
      <c r="C181" s="267"/>
      <c r="D181" s="267"/>
      <c r="E181" s="267"/>
      <c r="F181" s="267"/>
      <c r="G181" s="267">
        <f>'RE Grants and Financing'!F41</f>
        <v>1600</v>
      </c>
      <c r="H181" s="267">
        <f>'RE Grants and Financing'!G48</f>
        <v>6150</v>
      </c>
      <c r="I181" s="267">
        <f>'RE Grants and Financing'!H48</f>
        <v>7700</v>
      </c>
      <c r="J181" s="267">
        <f>'RE Grants and Financing'!I48</f>
        <v>1500</v>
      </c>
      <c r="K181" s="267">
        <f>'RE Grants and Financing'!J48</f>
        <v>0</v>
      </c>
      <c r="L181" s="267">
        <f>'RE Grants and Financing'!K48</f>
        <v>0</v>
      </c>
      <c r="M181" s="267">
        <f>'RE Grants and Financing'!L48</f>
        <v>0</v>
      </c>
      <c r="N181" s="267">
        <f>'RE Grants and Financing'!M48</f>
        <v>0</v>
      </c>
      <c r="O181" s="144"/>
    </row>
    <row r="182" spans="1:15" ht="12.75">
      <c r="A182" s="74" t="s">
        <v>1</v>
      </c>
      <c r="B182" s="269">
        <f t="shared" si="36"/>
        <v>39748</v>
      </c>
      <c r="C182" s="269"/>
      <c r="D182" s="269"/>
      <c r="E182" s="269"/>
      <c r="F182" s="269"/>
      <c r="G182" s="269">
        <f aca="true" t="shared" si="37" ref="G182:L182">SUM(G177:G181)</f>
        <v>39748</v>
      </c>
      <c r="H182" s="269">
        <f t="shared" si="37"/>
        <v>35580</v>
      </c>
      <c r="I182" s="269">
        <f t="shared" si="37"/>
        <v>29164</v>
      </c>
      <c r="J182" s="269">
        <f t="shared" si="37"/>
        <v>55052</v>
      </c>
      <c r="K182" s="269">
        <f t="shared" si="37"/>
        <v>115744</v>
      </c>
      <c r="L182" s="269">
        <f t="shared" si="37"/>
        <v>226467</v>
      </c>
      <c r="M182" s="269">
        <f>SUM(M177:M181)</f>
        <v>595085</v>
      </c>
      <c r="N182" s="269">
        <f>SUM(N177:N181)</f>
        <v>585046</v>
      </c>
      <c r="O182" s="144"/>
    </row>
    <row r="183" ht="12.75">
      <c r="A183" s="140" t="str">
        <f>A63</f>
        <v>* These columns/years have been hidden in this worksheet for viewing &amp; printing purposes</v>
      </c>
    </row>
    <row r="185" ht="14.25">
      <c r="A185" s="88" t="s">
        <v>438</v>
      </c>
    </row>
  </sheetData>
  <sheetProtection/>
  <mergeCells count="1">
    <mergeCell ref="A1:O1"/>
  </mergeCells>
  <printOptions/>
  <pageMargins left="0.55" right="0.57" top="0.39" bottom="0.51" header="0.37" footer="0.23"/>
  <pageSetup horizontalDpi="600" verticalDpi="600" orientation="landscape" scale="68" r:id="rId1"/>
  <headerFooter scaleWithDoc="0" alignWithMargins="0">
    <oddFooter>&amp;L&amp;8New Jersey's Clean Energy Program
Results by Program Year&amp;C&amp;8&amp;A&amp;R&amp;8printed &amp;D at &amp;T</oddFooter>
  </headerFooter>
  <rowBreaks count="2" manualBreakCount="2">
    <brk id="63" max="14" man="1"/>
    <brk id="1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T113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7" width="10.7109375" style="0" hidden="1" customWidth="1"/>
    <col min="8" max="13" width="12.57421875" style="0" customWidth="1"/>
    <col min="14" max="14" width="12.57421875" style="140" customWidth="1"/>
    <col min="15" max="15" width="12.57421875" style="0" customWidth="1"/>
    <col min="16" max="16" width="10.140625" style="0" bestFit="1" customWidth="1"/>
  </cols>
  <sheetData>
    <row r="1" spans="1:15" ht="15.75">
      <c r="A1" s="380" t="s">
        <v>408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27">
      <c r="A2" s="1" t="s">
        <v>10</v>
      </c>
      <c r="B2" s="82" t="s">
        <v>354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5">
        <v>2009</v>
      </c>
      <c r="L2" s="25">
        <v>2010</v>
      </c>
      <c r="M2" s="25">
        <v>2011</v>
      </c>
      <c r="N2" s="221" t="s">
        <v>439</v>
      </c>
      <c r="O2" s="82" t="s">
        <v>426</v>
      </c>
    </row>
    <row r="3" spans="1:15" ht="12.75">
      <c r="A3" s="1" t="s">
        <v>7</v>
      </c>
      <c r="B3" s="26" t="s">
        <v>29</v>
      </c>
      <c r="C3" s="26" t="s">
        <v>29</v>
      </c>
      <c r="D3" s="26" t="s">
        <v>29</v>
      </c>
      <c r="E3" s="26" t="s">
        <v>29</v>
      </c>
      <c r="F3" s="26" t="s">
        <v>29</v>
      </c>
      <c r="G3" s="26" t="s">
        <v>29</v>
      </c>
      <c r="H3" s="26" t="s">
        <v>29</v>
      </c>
      <c r="I3" s="26" t="s">
        <v>29</v>
      </c>
      <c r="J3" s="26" t="s">
        <v>29</v>
      </c>
      <c r="K3" s="26" t="s">
        <v>29</v>
      </c>
      <c r="L3" s="26" t="s">
        <v>29</v>
      </c>
      <c r="M3" s="26" t="s">
        <v>29</v>
      </c>
      <c r="N3" s="153" t="s">
        <v>29</v>
      </c>
      <c r="O3" s="26" t="s">
        <v>29</v>
      </c>
    </row>
    <row r="4" spans="1:15" ht="12.75">
      <c r="A4" s="220" t="s">
        <v>81</v>
      </c>
      <c r="B4" s="265">
        <f>SUM(C4:G4)</f>
        <v>1095661</v>
      </c>
      <c r="C4" s="265">
        <f>'Res HVAC'!C25</f>
        <v>183354</v>
      </c>
      <c r="D4" s="265">
        <f>'Res HVAC'!D25</f>
        <v>235546</v>
      </c>
      <c r="E4" s="265">
        <f>'Res HVAC'!E25</f>
        <v>219320</v>
      </c>
      <c r="F4" s="265">
        <f>'Res HVAC'!F25</f>
        <v>232484</v>
      </c>
      <c r="G4" s="265">
        <f>'Res HVAC'!G25</f>
        <v>224957</v>
      </c>
      <c r="H4" s="265">
        <f>'Res HVAC'!H25</f>
        <v>173181</v>
      </c>
      <c r="I4" s="265">
        <f>'Res HVAC'!I25</f>
        <v>199843</v>
      </c>
      <c r="J4" s="265">
        <f>'Res HVAC'!J25</f>
        <v>83068</v>
      </c>
      <c r="K4" s="265">
        <f>'Res HVAC'!K25</f>
        <v>83807</v>
      </c>
      <c r="L4" s="265">
        <f>'Res HVAC'!L25</f>
        <v>135866</v>
      </c>
      <c r="M4" s="265">
        <f>'Res HVAC'!M25</f>
        <v>210355</v>
      </c>
      <c r="N4" s="267">
        <f>'Res HVAC'!N25</f>
        <v>227057</v>
      </c>
      <c r="O4" s="265">
        <f>SUM(C4:N4)</f>
        <v>2208838</v>
      </c>
    </row>
    <row r="5" spans="1:15" ht="12.75">
      <c r="A5" s="220" t="s">
        <v>82</v>
      </c>
      <c r="B5" s="265">
        <f aca="true" t="shared" si="0" ref="B5:B16">SUM(C5:G5)</f>
        <v>376554</v>
      </c>
      <c r="C5" s="265">
        <f>RNC!C23</f>
        <v>2376</v>
      </c>
      <c r="D5" s="265">
        <f>RNC!D23</f>
        <v>65231</v>
      </c>
      <c r="E5" s="265">
        <f>RNC!E23</f>
        <v>95460</v>
      </c>
      <c r="F5" s="265">
        <f>RNC!F23</f>
        <v>91026</v>
      </c>
      <c r="G5" s="265">
        <f>RNC!G23</f>
        <v>122461</v>
      </c>
      <c r="H5" s="265">
        <f>RNC!H23</f>
        <v>93829</v>
      </c>
      <c r="I5" s="265">
        <f>RNC!I23</f>
        <v>107137</v>
      </c>
      <c r="J5" s="265">
        <f>RNC!J23</f>
        <v>66860</v>
      </c>
      <c r="K5" s="265">
        <f>RNC!K23</f>
        <v>53040</v>
      </c>
      <c r="L5" s="265">
        <f>RNC!L23</f>
        <v>87580</v>
      </c>
      <c r="M5" s="265">
        <f>RNC!M23</f>
        <v>91240</v>
      </c>
      <c r="N5" s="267">
        <f>RNC!N23</f>
        <v>105487</v>
      </c>
      <c r="O5" s="265">
        <f>SUM(C5:N5)</f>
        <v>981727</v>
      </c>
    </row>
    <row r="6" spans="1:15" ht="12.75">
      <c r="A6" s="220" t="s">
        <v>83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7"/>
      <c r="N6" s="267"/>
      <c r="O6" s="265"/>
    </row>
    <row r="7" spans="1:20" ht="12.75">
      <c r="A7" s="243" t="s">
        <v>394</v>
      </c>
      <c r="B7" s="265">
        <f t="shared" si="0"/>
        <v>37299</v>
      </c>
      <c r="C7" s="265">
        <f>'Energy Star'!C62</f>
        <v>0</v>
      </c>
      <c r="D7" s="265">
        <f>'Energy Star'!D62</f>
        <v>0</v>
      </c>
      <c r="E7" s="265">
        <f>'Energy Star'!E62</f>
        <v>14318</v>
      </c>
      <c r="F7" s="265">
        <f>'Energy Star'!F62</f>
        <v>13773</v>
      </c>
      <c r="G7" s="265">
        <f>'Energy Star'!G62</f>
        <v>9208</v>
      </c>
      <c r="H7" s="265">
        <f>'Energy Star'!H62</f>
        <v>5418</v>
      </c>
      <c r="I7" s="265">
        <f>'Energy Star'!I62</f>
        <v>7672</v>
      </c>
      <c r="J7" s="265">
        <f>'Energy Star'!J62</f>
        <v>7722</v>
      </c>
      <c r="K7" s="265">
        <f>'Energy Star'!K62</f>
        <v>4246</v>
      </c>
      <c r="L7" s="265">
        <f>'Energy Star'!L62</f>
        <v>6386</v>
      </c>
      <c r="M7" s="267">
        <f>'Energy Star'!M62</f>
        <v>129.7</v>
      </c>
      <c r="N7" s="267"/>
      <c r="O7" s="265">
        <f aca="true" t="shared" si="1" ref="O7:O15">SUM(C7:N7)</f>
        <v>68872.7</v>
      </c>
      <c r="P7" s="140"/>
      <c r="Q7" s="140"/>
      <c r="R7" s="140"/>
      <c r="S7" s="140"/>
      <c r="T7" s="140"/>
    </row>
    <row r="8" spans="1:20" ht="12.75">
      <c r="A8" s="243" t="s">
        <v>213</v>
      </c>
      <c r="B8" s="265">
        <f t="shared" si="0"/>
        <v>1677956</v>
      </c>
      <c r="C8" s="265">
        <f>'Energy Star'!C61</f>
        <v>0</v>
      </c>
      <c r="D8" s="265">
        <f>'Energy Star'!D61</f>
        <v>0</v>
      </c>
      <c r="E8" s="265">
        <f>'Energy Star'!E61</f>
        <v>359018</v>
      </c>
      <c r="F8" s="265">
        <f>'Energy Star'!F61</f>
        <v>790151</v>
      </c>
      <c r="G8" s="265">
        <f>'Energy Star'!G61</f>
        <v>528787</v>
      </c>
      <c r="H8" s="265">
        <f>'Energy Star'!H61</f>
        <v>0</v>
      </c>
      <c r="I8" s="265">
        <f>'Energy Star'!I61</f>
        <v>742908</v>
      </c>
      <c r="J8" s="265">
        <f>'Energy Star'!J61</f>
        <v>1368138</v>
      </c>
      <c r="K8" s="265">
        <f>'Energy Star'!K61</f>
        <v>2217915</v>
      </c>
      <c r="L8" s="265">
        <f>'Energy Star'!L61</f>
        <v>1131306</v>
      </c>
      <c r="M8" s="267">
        <f>'Energy Star'!M61</f>
        <v>1461053.1</v>
      </c>
      <c r="N8" s="267">
        <f>'Energy Star'!N61</f>
        <v>2241371.2</v>
      </c>
      <c r="O8" s="265">
        <f t="shared" si="1"/>
        <v>10840647.3</v>
      </c>
      <c r="P8" s="142"/>
      <c r="Q8" s="140"/>
      <c r="R8" s="140"/>
      <c r="S8" s="140"/>
      <c r="T8" s="140"/>
    </row>
    <row r="9" spans="1:16" ht="12.75">
      <c r="A9" s="244" t="s">
        <v>395</v>
      </c>
      <c r="B9" s="265">
        <f t="shared" si="0"/>
        <v>0</v>
      </c>
      <c r="C9" s="265"/>
      <c r="D9" s="265"/>
      <c r="E9" s="265"/>
      <c r="F9" s="265"/>
      <c r="G9" s="265"/>
      <c r="H9" s="265"/>
      <c r="I9" s="265"/>
      <c r="J9" s="265">
        <f>'Energy Star'!J63</f>
        <v>42549</v>
      </c>
      <c r="K9" s="265">
        <f>'Energy Star'!K63</f>
        <v>64961</v>
      </c>
      <c r="L9" s="265">
        <f>'Energy Star'!L63</f>
        <v>74979</v>
      </c>
      <c r="M9" s="267">
        <f>'Energy Star'!M63</f>
        <v>75176.9</v>
      </c>
      <c r="N9" s="267">
        <f>'Energy Star'!N63</f>
        <v>70273.70000000001</v>
      </c>
      <c r="O9" s="265">
        <f t="shared" si="1"/>
        <v>327939.6</v>
      </c>
      <c r="P9" s="23"/>
    </row>
    <row r="10" spans="1:16" ht="12.75">
      <c r="A10" s="244" t="s">
        <v>396</v>
      </c>
      <c r="B10" s="265">
        <f t="shared" si="0"/>
        <v>0</v>
      </c>
      <c r="C10" s="265"/>
      <c r="D10" s="265"/>
      <c r="E10" s="265"/>
      <c r="F10" s="265"/>
      <c r="G10" s="265"/>
      <c r="H10" s="265"/>
      <c r="I10" s="265"/>
      <c r="J10" s="265">
        <f>'Energy Star'!J64</f>
        <v>3820</v>
      </c>
      <c r="K10" s="265">
        <f>'Energy Star'!K64</f>
        <v>6261</v>
      </c>
      <c r="L10" s="265">
        <f>'Energy Star'!L64</f>
        <v>4554</v>
      </c>
      <c r="M10" s="267">
        <f>'Energy Star'!M64</f>
        <v>307.7</v>
      </c>
      <c r="N10" s="267"/>
      <c r="O10" s="265">
        <f t="shared" si="1"/>
        <v>14942.7</v>
      </c>
      <c r="P10" s="23"/>
    </row>
    <row r="11" spans="1:16" ht="12.75">
      <c r="A11" s="244" t="s">
        <v>397</v>
      </c>
      <c r="B11" s="265">
        <f t="shared" si="0"/>
        <v>0</v>
      </c>
      <c r="C11" s="265"/>
      <c r="D11" s="265"/>
      <c r="E11" s="265"/>
      <c r="F11" s="265"/>
      <c r="G11" s="265"/>
      <c r="H11" s="265"/>
      <c r="I11" s="265"/>
      <c r="J11" s="265"/>
      <c r="K11" s="265">
        <f>'Energy Star'!K65</f>
        <v>44319</v>
      </c>
      <c r="L11" s="265">
        <f>'Energy Star'!L65</f>
        <v>123909.4</v>
      </c>
      <c r="M11" s="267">
        <f>'Energy Star'!M65</f>
        <v>124487.2</v>
      </c>
      <c r="N11" s="267">
        <f>'Energy Star'!N65</f>
        <v>141268.3</v>
      </c>
      <c r="O11" s="265">
        <f t="shared" si="1"/>
        <v>433983.89999999997</v>
      </c>
      <c r="P11" s="23"/>
    </row>
    <row r="12" spans="1:16" ht="12.75">
      <c r="A12" s="244" t="s">
        <v>398</v>
      </c>
      <c r="B12" s="265">
        <f t="shared" si="0"/>
        <v>0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>
        <f>'Energy Star'!L66</f>
        <v>30564.8</v>
      </c>
      <c r="M12" s="267">
        <f>'Energy Star'!M66</f>
        <v>35317.7</v>
      </c>
      <c r="N12" s="267">
        <f>'Energy Star'!N66</f>
        <v>32329.3</v>
      </c>
      <c r="O12" s="265">
        <f t="shared" si="1"/>
        <v>98211.8</v>
      </c>
      <c r="P12" s="23"/>
    </row>
    <row r="13" spans="1:16" ht="12.75">
      <c r="A13" s="244" t="s">
        <v>399</v>
      </c>
      <c r="B13" s="265">
        <f t="shared" si="0"/>
        <v>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7">
        <f>'Energy Star'!M67</f>
        <v>8769.9</v>
      </c>
      <c r="N13" s="267">
        <f>'Energy Star'!N67</f>
        <v>643.7</v>
      </c>
      <c r="O13" s="265">
        <f t="shared" si="1"/>
        <v>9413.6</v>
      </c>
      <c r="P13" s="23"/>
    </row>
    <row r="14" spans="1:16" ht="12.75">
      <c r="A14" s="244" t="s">
        <v>400</v>
      </c>
      <c r="B14" s="265">
        <f t="shared" si="0"/>
        <v>0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7">
        <f>'Energy Star'!M68</f>
        <v>1535.1</v>
      </c>
      <c r="N14" s="267"/>
      <c r="O14" s="265">
        <f t="shared" si="1"/>
        <v>1535.1</v>
      </c>
      <c r="P14" s="23"/>
    </row>
    <row r="15" spans="1:16" ht="12.75">
      <c r="A15" s="220" t="s">
        <v>197</v>
      </c>
      <c r="B15" s="265">
        <f t="shared" si="0"/>
        <v>0</v>
      </c>
      <c r="C15" s="265"/>
      <c r="D15" s="265"/>
      <c r="E15" s="265"/>
      <c r="F15" s="265"/>
      <c r="G15" s="265"/>
      <c r="H15" s="265">
        <f>'Home Perf'!B28</f>
        <v>26</v>
      </c>
      <c r="I15" s="265">
        <f>'Home Perf'!C28</f>
        <v>442</v>
      </c>
      <c r="J15" s="265">
        <f>'Home Perf'!D28</f>
        <v>1456</v>
      </c>
      <c r="K15" s="265">
        <f>'Home Perf'!E28</f>
        <v>18378</v>
      </c>
      <c r="L15" s="265">
        <f>'Home Perf'!F28</f>
        <v>20889</v>
      </c>
      <c r="M15" s="267">
        <f>'Home Perf'!G28</f>
        <v>38314</v>
      </c>
      <c r="N15" s="267">
        <f>'Home Perf'!H28</f>
        <v>56224</v>
      </c>
      <c r="O15" s="265">
        <f t="shared" si="1"/>
        <v>135729</v>
      </c>
      <c r="P15" s="23"/>
    </row>
    <row r="16" spans="1:16" ht="12.75">
      <c r="A16" s="29" t="s">
        <v>88</v>
      </c>
      <c r="B16" s="278">
        <f t="shared" si="0"/>
        <v>3187470</v>
      </c>
      <c r="C16" s="278">
        <f aca="true" t="shared" si="2" ref="C16:N16">SUM(C4:C15)</f>
        <v>185730</v>
      </c>
      <c r="D16" s="278">
        <f t="shared" si="2"/>
        <v>300777</v>
      </c>
      <c r="E16" s="278">
        <f t="shared" si="2"/>
        <v>688116</v>
      </c>
      <c r="F16" s="278">
        <f t="shared" si="2"/>
        <v>1127434</v>
      </c>
      <c r="G16" s="278">
        <f t="shared" si="2"/>
        <v>885413</v>
      </c>
      <c r="H16" s="278">
        <f t="shared" si="2"/>
        <v>272454</v>
      </c>
      <c r="I16" s="278">
        <f t="shared" si="2"/>
        <v>1058002</v>
      </c>
      <c r="J16" s="278">
        <f t="shared" si="2"/>
        <v>1573613</v>
      </c>
      <c r="K16" s="278">
        <f t="shared" si="2"/>
        <v>2492927</v>
      </c>
      <c r="L16" s="278">
        <f t="shared" si="2"/>
        <v>1616034.2</v>
      </c>
      <c r="M16" s="278">
        <f t="shared" si="2"/>
        <v>2046686.2999999998</v>
      </c>
      <c r="N16" s="269">
        <f t="shared" si="2"/>
        <v>2874654.2</v>
      </c>
      <c r="O16" s="278">
        <f>SUM(C16:N16)</f>
        <v>15121840.7</v>
      </c>
      <c r="P16" s="23"/>
    </row>
    <row r="17" spans="1:16" ht="12.75">
      <c r="A17" s="3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57"/>
      <c r="O17" s="81"/>
      <c r="P17" s="23"/>
    </row>
    <row r="18" spans="1:16" ht="12.75">
      <c r="A18" s="67" t="s">
        <v>87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57"/>
      <c r="O18" s="81"/>
      <c r="P18" s="23"/>
    </row>
    <row r="19" spans="1:16" ht="12.75">
      <c r="A19" s="245" t="s">
        <v>2</v>
      </c>
      <c r="B19" s="278">
        <f aca="true" t="shared" si="3" ref="B19:B33">SUM(C19:G19)</f>
        <v>550945</v>
      </c>
      <c r="C19" s="278">
        <f>'Low-income'!C31</f>
        <v>147716</v>
      </c>
      <c r="D19" s="278">
        <f>'Low-income'!D31</f>
        <v>83203</v>
      </c>
      <c r="E19" s="278">
        <f>'Low-income'!E31</f>
        <v>106522</v>
      </c>
      <c r="F19" s="278">
        <f>'Low-income'!F31</f>
        <v>119538</v>
      </c>
      <c r="G19" s="278">
        <f>'Low-income'!G31</f>
        <v>93966</v>
      </c>
      <c r="H19" s="278">
        <f>'Low-income'!H31</f>
        <v>177208</v>
      </c>
      <c r="I19" s="278">
        <f>'Low-income'!I31</f>
        <v>191930</v>
      </c>
      <c r="J19" s="278">
        <f>'Low-income'!J31</f>
        <v>66525</v>
      </c>
      <c r="K19" s="278">
        <f>'Low-income'!K31</f>
        <v>68712</v>
      </c>
      <c r="L19" s="278">
        <f>'Low-income'!L31</f>
        <v>64804</v>
      </c>
      <c r="M19" s="278">
        <f>'Low-income'!M31</f>
        <v>89465</v>
      </c>
      <c r="N19" s="269">
        <f>'Low-income'!N31</f>
        <v>103693</v>
      </c>
      <c r="O19" s="278">
        <f>SUM(C19:N19)</f>
        <v>1313282</v>
      </c>
      <c r="P19" s="23"/>
    </row>
    <row r="20" spans="1:16" ht="12.75">
      <c r="A20" s="246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337"/>
      <c r="O20" s="223"/>
      <c r="P20" s="23"/>
    </row>
    <row r="21" spans="1:16" ht="12.75">
      <c r="A21" s="242" t="s">
        <v>58</v>
      </c>
      <c r="B21" s="265">
        <f t="shared" si="3"/>
        <v>207769</v>
      </c>
      <c r="C21" s="265"/>
      <c r="D21" s="265"/>
      <c r="E21" s="265"/>
      <c r="F21" s="265"/>
      <c r="G21" s="265">
        <f>'C&amp;I'!G56</f>
        <v>207769</v>
      </c>
      <c r="H21" s="265">
        <f>'C&amp;I'!H56</f>
        <v>260265</v>
      </c>
      <c r="I21" s="265">
        <f>'C&amp;I'!I56</f>
        <v>101184</v>
      </c>
      <c r="J21" s="265">
        <f>'C&amp;I'!J56</f>
        <v>109975</v>
      </c>
      <c r="K21" s="265">
        <f>'C&amp;I'!K56</f>
        <v>225004</v>
      </c>
      <c r="L21" s="265">
        <f>'C&amp;I'!L56</f>
        <v>108815</v>
      </c>
      <c r="M21" s="265">
        <f>'C&amp;I'!M56</f>
        <v>264120</v>
      </c>
      <c r="N21" s="267">
        <f>'C&amp;I'!N56</f>
        <v>115970</v>
      </c>
      <c r="O21" s="265">
        <f aca="true" t="shared" si="4" ref="O21:O33">SUM(C21:N21)</f>
        <v>1393102</v>
      </c>
      <c r="P21" s="23"/>
    </row>
    <row r="22" spans="1:16" ht="12.75">
      <c r="A22" s="188" t="s">
        <v>61</v>
      </c>
      <c r="B22" s="265">
        <f t="shared" si="3"/>
        <v>1812265</v>
      </c>
      <c r="C22" s="265"/>
      <c r="D22" s="265"/>
      <c r="E22" s="265"/>
      <c r="F22" s="265"/>
      <c r="G22" s="265">
        <f>'C&amp;I'!G57</f>
        <v>1812265</v>
      </c>
      <c r="H22" s="265">
        <f>'C&amp;I'!H57</f>
        <v>1172904</v>
      </c>
      <c r="I22" s="265">
        <f>'C&amp;I'!I57</f>
        <v>1252717</v>
      </c>
      <c r="J22" s="265">
        <f>'C&amp;I'!J57</f>
        <v>1349840</v>
      </c>
      <c r="K22" s="265">
        <f>'C&amp;I'!K57</f>
        <v>1141755</v>
      </c>
      <c r="L22" s="265">
        <f>'C&amp;I'!L57</f>
        <v>1516908</v>
      </c>
      <c r="M22" s="265">
        <f>'C&amp;I'!M57</f>
        <v>1642577</v>
      </c>
      <c r="N22" s="267">
        <f>'C&amp;I'!N57</f>
        <v>2379957</v>
      </c>
      <c r="O22" s="265">
        <f t="shared" si="4"/>
        <v>12268923</v>
      </c>
      <c r="P22" s="23"/>
    </row>
    <row r="23" spans="1:16" ht="12.75">
      <c r="A23" s="188" t="s">
        <v>384</v>
      </c>
      <c r="B23" s="265">
        <f t="shared" si="3"/>
        <v>203738</v>
      </c>
      <c r="C23" s="265"/>
      <c r="D23" s="265"/>
      <c r="E23" s="265"/>
      <c r="F23" s="265"/>
      <c r="G23" s="265">
        <f>'C&amp;I'!G58</f>
        <v>203738</v>
      </c>
      <c r="H23" s="265">
        <f>'C&amp;I'!H58</f>
        <v>42480</v>
      </c>
      <c r="I23" s="265">
        <f>'C&amp;I'!I58</f>
        <v>31536</v>
      </c>
      <c r="J23" s="265">
        <f>'C&amp;I'!J58</f>
        <v>46637</v>
      </c>
      <c r="K23" s="265">
        <f>'C&amp;I'!K58</f>
        <v>43977</v>
      </c>
      <c r="L23" s="265"/>
      <c r="M23" s="265"/>
      <c r="N23" s="267"/>
      <c r="O23" s="265">
        <f t="shared" si="4"/>
        <v>368368</v>
      </c>
      <c r="P23" s="23"/>
    </row>
    <row r="24" spans="1:16" ht="12.75">
      <c r="A24" s="188" t="s">
        <v>287</v>
      </c>
      <c r="B24" s="265">
        <f t="shared" si="3"/>
        <v>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>
        <f>'P4P '!I29</f>
        <v>8757</v>
      </c>
      <c r="M24" s="267">
        <f>'P4P '!J29</f>
        <v>216562</v>
      </c>
      <c r="N24" s="267">
        <f>'P4P '!K27</f>
        <v>485339</v>
      </c>
      <c r="O24" s="265">
        <f t="shared" si="4"/>
        <v>710658</v>
      </c>
      <c r="P24" s="23"/>
    </row>
    <row r="25" spans="1:16" ht="12.75">
      <c r="A25" s="188" t="s">
        <v>411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7"/>
      <c r="N25" s="267">
        <f>'P4P '!K28</f>
        <v>0</v>
      </c>
      <c r="O25" s="265">
        <f t="shared" si="4"/>
        <v>0</v>
      </c>
      <c r="P25" s="23"/>
    </row>
    <row r="26" spans="1:16" ht="12.75">
      <c r="A26" s="188" t="s">
        <v>288</v>
      </c>
      <c r="B26" s="265">
        <f t="shared" si="3"/>
        <v>0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>
        <f>'P4P NC'!B25</f>
        <v>0</v>
      </c>
      <c r="M26" s="267">
        <f>'P4P NC'!C25</f>
        <v>0</v>
      </c>
      <c r="N26" s="267">
        <f>'P4P NC'!D25</f>
        <v>0</v>
      </c>
      <c r="O26" s="265">
        <f t="shared" si="4"/>
        <v>0</v>
      </c>
      <c r="P26" s="23"/>
    </row>
    <row r="27" spans="1:16" ht="12.75">
      <c r="A27" s="188" t="s">
        <v>229</v>
      </c>
      <c r="B27" s="265">
        <f t="shared" si="3"/>
        <v>0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>
        <f>'Direct Install'!D22</f>
        <v>75032</v>
      </c>
      <c r="M27" s="265">
        <f>'Direct Install'!E22</f>
        <v>621575</v>
      </c>
      <c r="N27" s="267">
        <f>'Direct Install'!F22</f>
        <v>869610</v>
      </c>
      <c r="O27" s="265">
        <f t="shared" si="4"/>
        <v>1566217</v>
      </c>
      <c r="P27" s="23"/>
    </row>
    <row r="28" spans="1:16" ht="12.75">
      <c r="A28" s="188" t="s">
        <v>412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7">
        <f>LEUP!C22</f>
        <v>1247</v>
      </c>
      <c r="O28" s="265"/>
      <c r="P28" s="23"/>
    </row>
    <row r="29" spans="1:16" ht="12.75">
      <c r="A29" s="188" t="s">
        <v>59</v>
      </c>
      <c r="B29" s="265">
        <f t="shared" si="3"/>
        <v>0</v>
      </c>
      <c r="C29" s="265"/>
      <c r="D29" s="265"/>
      <c r="E29" s="265"/>
      <c r="F29" s="265"/>
      <c r="G29" s="265"/>
      <c r="H29" s="265"/>
      <c r="I29" s="265"/>
      <c r="J29" s="265">
        <f>CHP!J31</f>
        <v>2119</v>
      </c>
      <c r="K29" s="265">
        <f>CHP!K31</f>
        <v>0</v>
      </c>
      <c r="L29" s="265">
        <f>CHP!L31</f>
        <v>24001</v>
      </c>
      <c r="M29" s="265">
        <f>CHP!M31</f>
        <v>0</v>
      </c>
      <c r="N29" s="267">
        <f>CHP!N31</f>
        <v>0</v>
      </c>
      <c r="O29" s="265">
        <f t="shared" si="4"/>
        <v>26120</v>
      </c>
      <c r="P29" s="23"/>
    </row>
    <row r="30" spans="1:15" ht="12.75">
      <c r="A30" s="59" t="s">
        <v>370</v>
      </c>
      <c r="B30" s="278">
        <f t="shared" si="3"/>
        <v>10858893</v>
      </c>
      <c r="C30" s="278">
        <f>'C&amp;I'!C59</f>
        <v>464149</v>
      </c>
      <c r="D30" s="278">
        <f>'C&amp;I'!D59</f>
        <v>2164648</v>
      </c>
      <c r="E30" s="278">
        <f>'C&amp;I'!E59</f>
        <v>2944525</v>
      </c>
      <c r="F30" s="278">
        <f>'C&amp;I'!F59</f>
        <v>3061799</v>
      </c>
      <c r="G30" s="278">
        <f aca="true" t="shared" si="5" ref="G30:L30">SUM(G21:G29)</f>
        <v>2223772</v>
      </c>
      <c r="H30" s="278">
        <f t="shared" si="5"/>
        <v>1475649</v>
      </c>
      <c r="I30" s="278">
        <f t="shared" si="5"/>
        <v>1385437</v>
      </c>
      <c r="J30" s="278">
        <f t="shared" si="5"/>
        <v>1508571</v>
      </c>
      <c r="K30" s="278">
        <f t="shared" si="5"/>
        <v>1410736</v>
      </c>
      <c r="L30" s="278">
        <f t="shared" si="5"/>
        <v>1733513</v>
      </c>
      <c r="M30" s="278">
        <f>SUM(M21:M29)</f>
        <v>2744834</v>
      </c>
      <c r="N30" s="269">
        <f>SUM(N21:N29)</f>
        <v>3852123</v>
      </c>
      <c r="O30" s="278">
        <f t="shared" si="4"/>
        <v>24969756</v>
      </c>
    </row>
    <row r="31" spans="1:15" ht="12.75">
      <c r="A31" s="220" t="s">
        <v>154</v>
      </c>
      <c r="B31" s="265">
        <f t="shared" si="3"/>
        <v>279403</v>
      </c>
      <c r="C31" s="265"/>
      <c r="D31" s="265"/>
      <c r="E31" s="265"/>
      <c r="F31" s="265"/>
      <c r="G31" s="265">
        <v>279403</v>
      </c>
      <c r="H31" s="265">
        <f>'Cool Cities'!E21</f>
        <v>10479</v>
      </c>
      <c r="I31" s="265">
        <f>'Cool Cities'!F21</f>
        <v>10334</v>
      </c>
      <c r="J31" s="265">
        <f>'Cool Cities'!G21</f>
        <v>11570</v>
      </c>
      <c r="K31" s="265">
        <f>'Cool Cities'!H21</f>
        <v>14106</v>
      </c>
      <c r="L31" s="265"/>
      <c r="M31" s="265"/>
      <c r="N31" s="267"/>
      <c r="O31" s="265">
        <f t="shared" si="4"/>
        <v>325892</v>
      </c>
    </row>
    <row r="32" spans="1:15" ht="12.75">
      <c r="A32" s="59" t="s">
        <v>160</v>
      </c>
      <c r="B32" s="278">
        <f t="shared" si="3"/>
        <v>11138296</v>
      </c>
      <c r="C32" s="278">
        <f aca="true" t="shared" si="6" ref="C32:H32">C31+C30</f>
        <v>464149</v>
      </c>
      <c r="D32" s="278">
        <f t="shared" si="6"/>
        <v>2164648</v>
      </c>
      <c r="E32" s="278">
        <f t="shared" si="6"/>
        <v>2944525</v>
      </c>
      <c r="F32" s="278">
        <f t="shared" si="6"/>
        <v>3061799</v>
      </c>
      <c r="G32" s="278">
        <f t="shared" si="6"/>
        <v>2503175</v>
      </c>
      <c r="H32" s="278">
        <f t="shared" si="6"/>
        <v>1486128</v>
      </c>
      <c r="I32" s="278">
        <f aca="true" t="shared" si="7" ref="I32:N32">I31+I30</f>
        <v>1395771</v>
      </c>
      <c r="J32" s="278">
        <f t="shared" si="7"/>
        <v>1520141</v>
      </c>
      <c r="K32" s="278">
        <f t="shared" si="7"/>
        <v>1424842</v>
      </c>
      <c r="L32" s="278">
        <f t="shared" si="7"/>
        <v>1733513</v>
      </c>
      <c r="M32" s="278">
        <f t="shared" si="7"/>
        <v>2744834</v>
      </c>
      <c r="N32" s="269">
        <f t="shared" si="7"/>
        <v>3852123</v>
      </c>
      <c r="O32" s="278">
        <f t="shared" si="4"/>
        <v>25295648</v>
      </c>
    </row>
    <row r="33" spans="1:16" ht="12.75">
      <c r="A33" s="29" t="s">
        <v>90</v>
      </c>
      <c r="B33" s="278">
        <f t="shared" si="3"/>
        <v>14876711</v>
      </c>
      <c r="C33" s="278">
        <f aca="true" t="shared" si="8" ref="C33:N33">C32+C19+C16</f>
        <v>797595</v>
      </c>
      <c r="D33" s="278">
        <f t="shared" si="8"/>
        <v>2548628</v>
      </c>
      <c r="E33" s="278">
        <f t="shared" si="8"/>
        <v>3739163</v>
      </c>
      <c r="F33" s="278">
        <f t="shared" si="8"/>
        <v>4308771</v>
      </c>
      <c r="G33" s="278">
        <f t="shared" si="8"/>
        <v>3482554</v>
      </c>
      <c r="H33" s="278">
        <f t="shared" si="8"/>
        <v>1935790</v>
      </c>
      <c r="I33" s="278">
        <f t="shared" si="8"/>
        <v>2645703</v>
      </c>
      <c r="J33" s="278">
        <f t="shared" si="8"/>
        <v>3160279</v>
      </c>
      <c r="K33" s="278">
        <f t="shared" si="8"/>
        <v>3986481</v>
      </c>
      <c r="L33" s="278">
        <f t="shared" si="8"/>
        <v>3414351.2</v>
      </c>
      <c r="M33" s="278">
        <f t="shared" si="8"/>
        <v>4880985.3</v>
      </c>
      <c r="N33" s="269">
        <f t="shared" si="8"/>
        <v>6830470.2</v>
      </c>
      <c r="O33" s="278">
        <f t="shared" si="4"/>
        <v>41730770.7</v>
      </c>
      <c r="P33" s="23"/>
    </row>
    <row r="34" spans="2:14" ht="12.75">
      <c r="B34" s="3"/>
      <c r="I34" s="3"/>
      <c r="J34" s="3"/>
      <c r="K34" s="3"/>
      <c r="L34" s="3"/>
      <c r="M34" s="3"/>
      <c r="N34" s="146"/>
    </row>
    <row r="35" spans="1:15" ht="12.75">
      <c r="A35" s="34" t="s">
        <v>12</v>
      </c>
      <c r="B35" s="26" t="s">
        <v>13</v>
      </c>
      <c r="C35" s="26" t="s">
        <v>13</v>
      </c>
      <c r="D35" s="26" t="s">
        <v>13</v>
      </c>
      <c r="E35" s="26" t="s">
        <v>13</v>
      </c>
      <c r="F35" s="26" t="s">
        <v>13</v>
      </c>
      <c r="G35" s="26" t="s">
        <v>13</v>
      </c>
      <c r="H35" s="26" t="s">
        <v>13</v>
      </c>
      <c r="I35" s="26" t="s">
        <v>13</v>
      </c>
      <c r="J35" s="26" t="s">
        <v>13</v>
      </c>
      <c r="K35" s="26" t="s">
        <v>13</v>
      </c>
      <c r="L35" s="26" t="s">
        <v>13</v>
      </c>
      <c r="M35" s="26" t="s">
        <v>13</v>
      </c>
      <c r="N35" s="153" t="s">
        <v>13</v>
      </c>
      <c r="O35" s="26" t="s">
        <v>13</v>
      </c>
    </row>
    <row r="36" spans="1:16" ht="12.75">
      <c r="A36" s="220" t="s">
        <v>81</v>
      </c>
      <c r="B36" s="265">
        <f>SUM(C36:G36)</f>
        <v>12328739</v>
      </c>
      <c r="C36" s="265">
        <f>'Res HVAC'!C32</f>
        <v>2344252</v>
      </c>
      <c r="D36" s="265">
        <f>'Res HVAC'!D32</f>
        <v>2886917</v>
      </c>
      <c r="E36" s="265">
        <f>'Res HVAC'!E32</f>
        <v>2172633</v>
      </c>
      <c r="F36" s="265">
        <f>'Res HVAC'!F32</f>
        <v>2431125</v>
      </c>
      <c r="G36" s="265">
        <f>'Res HVAC'!G32</f>
        <v>2493812</v>
      </c>
      <c r="H36" s="265">
        <f>'Res HVAC'!H32</f>
        <v>3095022</v>
      </c>
      <c r="I36" s="265">
        <f>'Res HVAC'!I32</f>
        <v>3830587</v>
      </c>
      <c r="J36" s="265">
        <f>'Res HVAC'!J32</f>
        <v>3285309</v>
      </c>
      <c r="K36" s="265">
        <f>'Res HVAC'!K32</f>
        <v>3952255</v>
      </c>
      <c r="L36" s="265">
        <f>'Res HVAC'!L32</f>
        <v>5096054</v>
      </c>
      <c r="M36" s="265">
        <f>'Res HVAC'!M32</f>
        <v>6779179</v>
      </c>
      <c r="N36" s="267">
        <f>'Res HVAC'!N32</f>
        <v>6728822</v>
      </c>
      <c r="O36" s="265">
        <f>SUM(C36:N36)</f>
        <v>45095967</v>
      </c>
      <c r="P36" s="23"/>
    </row>
    <row r="37" spans="1:15" ht="12.75">
      <c r="A37" s="220" t="s">
        <v>82</v>
      </c>
      <c r="B37" s="265">
        <f>SUM(C37:G37)</f>
        <v>12883376</v>
      </c>
      <c r="C37" s="265">
        <f>RNC!C30</f>
        <v>7120</v>
      </c>
      <c r="D37" s="265">
        <f>RNC!D30</f>
        <v>1672762</v>
      </c>
      <c r="E37" s="265">
        <f>RNC!E30</f>
        <v>2738286</v>
      </c>
      <c r="F37" s="265">
        <f>RNC!F30</f>
        <v>3673856</v>
      </c>
      <c r="G37" s="265">
        <f>RNC!G30</f>
        <v>4791352</v>
      </c>
      <c r="H37" s="265">
        <f>RNC!H30</f>
        <v>2191094</v>
      </c>
      <c r="I37" s="265">
        <f>RNC!I30</f>
        <v>1937986</v>
      </c>
      <c r="J37" s="265">
        <f>RNC!J30</f>
        <v>2184460</v>
      </c>
      <c r="K37" s="265">
        <f>RNC!K30</f>
        <v>1535940</v>
      </c>
      <c r="L37" s="265">
        <f>RNC!L30</f>
        <v>1583560</v>
      </c>
      <c r="M37" s="265">
        <f>RNC!M30</f>
        <v>1214660</v>
      </c>
      <c r="N37" s="267">
        <f>RNC!N30</f>
        <v>1487097</v>
      </c>
      <c r="O37" s="265">
        <f>SUM(C37:N37)</f>
        <v>25018173</v>
      </c>
    </row>
    <row r="38" spans="1:15" ht="12.75">
      <c r="A38" s="220" t="s">
        <v>83</v>
      </c>
      <c r="B38" s="265">
        <f>SUM(C38:G38)</f>
        <v>0</v>
      </c>
      <c r="C38" s="265">
        <v>0</v>
      </c>
      <c r="D38" s="265">
        <v>0</v>
      </c>
      <c r="E38" s="265">
        <v>0</v>
      </c>
      <c r="F38" s="265">
        <v>0</v>
      </c>
      <c r="G38" s="265">
        <v>0</v>
      </c>
      <c r="H38" s="265">
        <v>0</v>
      </c>
      <c r="I38" s="265">
        <f>'Energy Star'!I93</f>
        <v>19430</v>
      </c>
      <c r="J38" s="265">
        <f>'Energy Star'!J93</f>
        <v>300087</v>
      </c>
      <c r="K38" s="265">
        <f>'Energy Star'!K93</f>
        <v>456858</v>
      </c>
      <c r="L38" s="265">
        <f>'Energy Star'!L93</f>
        <v>530793</v>
      </c>
      <c r="M38" s="265">
        <f>'Energy Star'!M93</f>
        <v>538665</v>
      </c>
      <c r="N38" s="267">
        <f>'Energy Star'!N93</f>
        <v>495126</v>
      </c>
      <c r="O38" s="265">
        <f>SUM(C38:N38)</f>
        <v>2340959</v>
      </c>
    </row>
    <row r="39" spans="1:15" ht="12.75">
      <c r="A39" s="220" t="s">
        <v>197</v>
      </c>
      <c r="B39" s="265">
        <f>SUM(C39:G39)</f>
        <v>0</v>
      </c>
      <c r="C39" s="265"/>
      <c r="D39" s="265"/>
      <c r="E39" s="265"/>
      <c r="F39" s="265"/>
      <c r="G39" s="265"/>
      <c r="H39" s="265">
        <f>'Home Perf'!B38</f>
        <v>2152</v>
      </c>
      <c r="I39" s="265">
        <f>'Home Perf'!C38</f>
        <v>19299</v>
      </c>
      <c r="J39" s="265">
        <f>'Home Perf'!D38</f>
        <v>88013</v>
      </c>
      <c r="K39" s="265">
        <f>'Home Perf'!E38</f>
        <v>537652</v>
      </c>
      <c r="L39" s="265">
        <f>'Home Perf'!F38</f>
        <v>1635192</v>
      </c>
      <c r="M39" s="265">
        <f>'Home Perf'!G38</f>
        <v>2058386.84</v>
      </c>
      <c r="N39" s="267">
        <f>'Home Perf'!H38</f>
        <v>2972663</v>
      </c>
      <c r="O39" s="265">
        <f>SUM(C39:N39)</f>
        <v>7313357.84</v>
      </c>
    </row>
    <row r="40" spans="1:16" ht="12.75">
      <c r="A40" s="29" t="s">
        <v>88</v>
      </c>
      <c r="B40" s="278">
        <f>SUM(C40:G40)</f>
        <v>25212115</v>
      </c>
      <c r="C40" s="278">
        <f aca="true" t="shared" si="9" ref="C40:K40">SUM(C36:C39)</f>
        <v>2351372</v>
      </c>
      <c r="D40" s="278">
        <f t="shared" si="9"/>
        <v>4559679</v>
      </c>
      <c r="E40" s="278">
        <f t="shared" si="9"/>
        <v>4910919</v>
      </c>
      <c r="F40" s="278">
        <f t="shared" si="9"/>
        <v>6104981</v>
      </c>
      <c r="G40" s="278">
        <f t="shared" si="9"/>
        <v>7285164</v>
      </c>
      <c r="H40" s="278">
        <f t="shared" si="9"/>
        <v>5288268</v>
      </c>
      <c r="I40" s="278">
        <f t="shared" si="9"/>
        <v>5807302</v>
      </c>
      <c r="J40" s="278">
        <f t="shared" si="9"/>
        <v>5857869</v>
      </c>
      <c r="K40" s="278">
        <f t="shared" si="9"/>
        <v>6482705</v>
      </c>
      <c r="L40" s="278">
        <f>SUM(L36:L39)</f>
        <v>8845599</v>
      </c>
      <c r="M40" s="278">
        <f>SUM(M36:M39)</f>
        <v>10590890.84</v>
      </c>
      <c r="N40" s="269">
        <f>SUM(N36:N39)</f>
        <v>11683708</v>
      </c>
      <c r="O40" s="278">
        <f>SUM(C40:N40)</f>
        <v>79768456.84</v>
      </c>
      <c r="P40" s="23"/>
    </row>
    <row r="41" spans="1:16" ht="12.75">
      <c r="A41" s="34"/>
      <c r="B41" s="81"/>
      <c r="C41" s="80"/>
      <c r="D41" s="80"/>
      <c r="E41" s="80"/>
      <c r="F41" s="80"/>
      <c r="G41" s="80"/>
      <c r="H41" s="80"/>
      <c r="I41" s="81"/>
      <c r="J41" s="81"/>
      <c r="K41" s="81"/>
      <c r="L41" s="81"/>
      <c r="M41" s="81"/>
      <c r="N41" s="157"/>
      <c r="O41" s="81"/>
      <c r="P41" s="23"/>
    </row>
    <row r="42" spans="1:16" ht="12.75">
      <c r="A42" s="67" t="s">
        <v>87</v>
      </c>
      <c r="B42" s="81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1"/>
      <c r="N42" s="157"/>
      <c r="O42" s="81"/>
      <c r="P42" s="23"/>
    </row>
    <row r="43" spans="1:17" ht="12.75">
      <c r="A43" s="245" t="s">
        <v>2</v>
      </c>
      <c r="B43" s="278">
        <f aca="true" t="shared" si="10" ref="B43:B55">SUM(C43:G43)</f>
        <v>6729837</v>
      </c>
      <c r="C43" s="278">
        <f>'Low-income'!C38</f>
        <v>1835511</v>
      </c>
      <c r="D43" s="278">
        <f>'Low-income'!D38</f>
        <v>1470460</v>
      </c>
      <c r="E43" s="278">
        <f>'Low-income'!E38</f>
        <v>1284711</v>
      </c>
      <c r="F43" s="278">
        <f>'Low-income'!F38</f>
        <v>1183165</v>
      </c>
      <c r="G43" s="278">
        <f>'Low-income'!G38</f>
        <v>955990</v>
      </c>
      <c r="H43" s="278">
        <f>'Low-income'!H38</f>
        <v>703101</v>
      </c>
      <c r="I43" s="278">
        <f>'Low-income'!I38</f>
        <v>932511</v>
      </c>
      <c r="J43" s="278">
        <f>'Low-income'!J38</f>
        <v>1054201</v>
      </c>
      <c r="K43" s="278">
        <f>'Low-income'!K38</f>
        <v>1105591</v>
      </c>
      <c r="L43" s="269">
        <f>'Low-income'!L38</f>
        <v>883182</v>
      </c>
      <c r="M43" s="269">
        <f>'Low-income'!M38</f>
        <v>1264890</v>
      </c>
      <c r="N43" s="269">
        <f>'Low-income'!N38</f>
        <v>1111649</v>
      </c>
      <c r="O43" s="269">
        <f>SUM(C43:N43)</f>
        <v>13784962</v>
      </c>
      <c r="P43" s="142"/>
      <c r="Q43" s="140"/>
    </row>
    <row r="44" spans="1:17" ht="12.75">
      <c r="A44" s="246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83"/>
      <c r="M44" s="283"/>
      <c r="N44" s="283"/>
      <c r="O44" s="283"/>
      <c r="P44" s="142"/>
      <c r="Q44" s="140"/>
    </row>
    <row r="45" spans="1:17" ht="12.75">
      <c r="A45" s="242" t="s">
        <v>58</v>
      </c>
      <c r="B45" s="265">
        <f t="shared" si="10"/>
        <v>242356</v>
      </c>
      <c r="C45" s="265"/>
      <c r="D45" s="265"/>
      <c r="E45" s="265"/>
      <c r="F45" s="265"/>
      <c r="G45" s="265">
        <f>'C&amp;I'!G75</f>
        <v>242356</v>
      </c>
      <c r="H45" s="265">
        <f>'C&amp;I'!H75</f>
        <v>44603</v>
      </c>
      <c r="I45" s="265">
        <f>'C&amp;I'!I75</f>
        <v>99355</v>
      </c>
      <c r="J45" s="265">
        <f>'C&amp;I'!J75</f>
        <v>230222</v>
      </c>
      <c r="K45" s="265">
        <f>'C&amp;I'!K75</f>
        <v>13529</v>
      </c>
      <c r="L45" s="267">
        <f>'C&amp;I'!L75</f>
        <v>1891984</v>
      </c>
      <c r="M45" s="267">
        <f>'C&amp;I'!M75</f>
        <v>67666</v>
      </c>
      <c r="N45" s="267">
        <f>'C&amp;I'!N75</f>
        <v>68120</v>
      </c>
      <c r="O45" s="267">
        <f aca="true" t="shared" si="11" ref="O45:O55">SUM(C45:N45)</f>
        <v>2657835</v>
      </c>
      <c r="P45" s="142"/>
      <c r="Q45" s="140"/>
    </row>
    <row r="46" spans="1:17" ht="12.75">
      <c r="A46" s="188" t="s">
        <v>61</v>
      </c>
      <c r="B46" s="265">
        <f t="shared" si="10"/>
        <v>3162275</v>
      </c>
      <c r="C46" s="265"/>
      <c r="D46" s="265"/>
      <c r="E46" s="265"/>
      <c r="F46" s="265"/>
      <c r="G46" s="265">
        <f>'C&amp;I'!G76</f>
        <v>3162275</v>
      </c>
      <c r="H46" s="265">
        <f>'C&amp;I'!H76</f>
        <v>2681281</v>
      </c>
      <c r="I46" s="265">
        <f>'C&amp;I'!I76</f>
        <v>535493</v>
      </c>
      <c r="J46" s="265">
        <f>'C&amp;I'!J76</f>
        <v>675862</v>
      </c>
      <c r="K46" s="265">
        <f>'C&amp;I'!K76</f>
        <v>628140</v>
      </c>
      <c r="L46" s="267">
        <f>'C&amp;I'!L76</f>
        <v>2723921</v>
      </c>
      <c r="M46" s="267">
        <f>'C&amp;I'!M76</f>
        <v>1026019</v>
      </c>
      <c r="N46" s="267">
        <f>'C&amp;I'!N76</f>
        <v>2541686</v>
      </c>
      <c r="O46" s="267">
        <f t="shared" si="11"/>
        <v>13974677</v>
      </c>
      <c r="P46" s="142"/>
      <c r="Q46" s="140"/>
    </row>
    <row r="47" spans="1:17" ht="12.75">
      <c r="A47" s="188" t="s">
        <v>384</v>
      </c>
      <c r="B47" s="265">
        <f t="shared" si="10"/>
        <v>31615</v>
      </c>
      <c r="C47" s="265"/>
      <c r="D47" s="265"/>
      <c r="E47" s="265"/>
      <c r="F47" s="265"/>
      <c r="G47" s="265">
        <f>'C&amp;I'!G77</f>
        <v>31615</v>
      </c>
      <c r="H47" s="265">
        <f>'C&amp;I'!H77</f>
        <v>419977</v>
      </c>
      <c r="I47" s="265">
        <f>'C&amp;I'!I77</f>
        <v>44563</v>
      </c>
      <c r="J47" s="265">
        <f>'C&amp;I'!J77</f>
        <v>127836</v>
      </c>
      <c r="K47" s="265">
        <f>'C&amp;I'!K77</f>
        <v>175841</v>
      </c>
      <c r="L47" s="267"/>
      <c r="M47" s="267"/>
      <c r="N47" s="267"/>
      <c r="O47" s="267">
        <f t="shared" si="11"/>
        <v>799832</v>
      </c>
      <c r="P47" s="151"/>
      <c r="Q47" s="140"/>
    </row>
    <row r="48" spans="1:17" ht="12.75">
      <c r="A48" s="188" t="s">
        <v>287</v>
      </c>
      <c r="B48" s="265">
        <f t="shared" si="10"/>
        <v>0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7">
        <f>'P4P '!I45</f>
        <v>0</v>
      </c>
      <c r="M48" s="267">
        <f>'P4P '!J45</f>
        <v>527074</v>
      </c>
      <c r="N48" s="267">
        <f>'P4P '!K43</f>
        <v>2224850</v>
      </c>
      <c r="O48" s="267">
        <f t="shared" si="11"/>
        <v>2751924</v>
      </c>
      <c r="P48" s="142"/>
      <c r="Q48" s="140"/>
    </row>
    <row r="49" spans="1:17" ht="12.75">
      <c r="A49" s="188" t="s">
        <v>411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7"/>
      <c r="M49" s="267"/>
      <c r="N49" s="267">
        <f>'P4P '!K44</f>
        <v>999324</v>
      </c>
      <c r="O49" s="267">
        <f t="shared" si="11"/>
        <v>999324</v>
      </c>
      <c r="P49" s="142"/>
      <c r="Q49" s="140"/>
    </row>
    <row r="50" spans="1:17" ht="12.75">
      <c r="A50" s="188" t="s">
        <v>288</v>
      </c>
      <c r="B50" s="265">
        <f t="shared" si="10"/>
        <v>0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7">
        <f>'P4P NC'!B35</f>
        <v>0</v>
      </c>
      <c r="M50" s="267">
        <f>'P4P NC'!C35</f>
        <v>0</v>
      </c>
      <c r="N50" s="267">
        <f>'P4P NC'!D35</f>
        <v>0</v>
      </c>
      <c r="O50" s="267">
        <f t="shared" si="11"/>
        <v>0</v>
      </c>
      <c r="P50" s="142"/>
      <c r="Q50" s="140"/>
    </row>
    <row r="51" spans="1:17" ht="12.75">
      <c r="A51" s="188" t="s">
        <v>229</v>
      </c>
      <c r="B51" s="265">
        <f t="shared" si="10"/>
        <v>0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7">
        <f>'Direct Install'!D32</f>
        <v>67968</v>
      </c>
      <c r="M51" s="267">
        <f>'Direct Install'!E32</f>
        <v>1016634</v>
      </c>
      <c r="N51" s="267">
        <f>'Direct Install'!F32</f>
        <v>1198392</v>
      </c>
      <c r="O51" s="267">
        <f t="shared" si="11"/>
        <v>2282994</v>
      </c>
      <c r="P51" s="142"/>
      <c r="Q51" s="140"/>
    </row>
    <row r="52" spans="1:17" ht="12.75">
      <c r="A52" s="188" t="s">
        <v>412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7"/>
      <c r="M52" s="267"/>
      <c r="N52" s="267">
        <f>LEUP!C32</f>
        <v>2615671</v>
      </c>
      <c r="O52" s="267"/>
      <c r="P52" s="142"/>
      <c r="Q52" s="140"/>
    </row>
    <row r="53" spans="1:17" ht="12.75">
      <c r="A53" s="188" t="s">
        <v>206</v>
      </c>
      <c r="B53" s="266">
        <f t="shared" si="10"/>
        <v>0</v>
      </c>
      <c r="C53" s="278"/>
      <c r="D53" s="278"/>
      <c r="E53" s="278"/>
      <c r="F53" s="278"/>
      <c r="G53" s="278"/>
      <c r="H53" s="278"/>
      <c r="I53" s="266">
        <f>CHP!I57</f>
        <v>6313260</v>
      </c>
      <c r="J53" s="266">
        <f>CHP!J57</f>
        <v>625236</v>
      </c>
      <c r="K53" s="266">
        <f>CHP!K57</f>
        <v>2118252</v>
      </c>
      <c r="L53" s="268">
        <f>CHP!L57</f>
        <v>2063074</v>
      </c>
      <c r="M53" s="268">
        <f>CHP!M57</f>
        <v>0</v>
      </c>
      <c r="N53" s="268">
        <f>CHP!N57</f>
        <v>0</v>
      </c>
      <c r="O53" s="267">
        <f t="shared" si="11"/>
        <v>11119822</v>
      </c>
      <c r="P53" s="142"/>
      <c r="Q53" s="140"/>
    </row>
    <row r="54" spans="1:17" ht="12.75">
      <c r="A54" s="59" t="s">
        <v>381</v>
      </c>
      <c r="B54" s="278">
        <f t="shared" si="10"/>
        <v>6885363</v>
      </c>
      <c r="C54" s="278">
        <f>'C&amp;I'!C78</f>
        <v>616099</v>
      </c>
      <c r="D54" s="278">
        <f>'C&amp;I'!D78</f>
        <v>502563</v>
      </c>
      <c r="E54" s="278">
        <f>'C&amp;I'!E78</f>
        <v>1510800</v>
      </c>
      <c r="F54" s="278">
        <f>'C&amp;I'!F78</f>
        <v>819655</v>
      </c>
      <c r="G54" s="278">
        <f aca="true" t="shared" si="12" ref="G54:L54">SUM(G45:G53)</f>
        <v>3436246</v>
      </c>
      <c r="H54" s="278">
        <f t="shared" si="12"/>
        <v>3145861</v>
      </c>
      <c r="I54" s="278">
        <f t="shared" si="12"/>
        <v>6992671</v>
      </c>
      <c r="J54" s="278">
        <f t="shared" si="12"/>
        <v>1659156</v>
      </c>
      <c r="K54" s="278">
        <f t="shared" si="12"/>
        <v>2935762</v>
      </c>
      <c r="L54" s="269">
        <f t="shared" si="12"/>
        <v>6746947</v>
      </c>
      <c r="M54" s="269">
        <f>SUM(M45:M53)</f>
        <v>2637393</v>
      </c>
      <c r="N54" s="269">
        <f>SUM(N45:N53)</f>
        <v>9648043</v>
      </c>
      <c r="O54" s="269">
        <f t="shared" si="11"/>
        <v>40651196</v>
      </c>
      <c r="P54" s="142"/>
      <c r="Q54" s="140"/>
    </row>
    <row r="55" spans="1:17" ht="12.75">
      <c r="A55" s="29" t="s">
        <v>90</v>
      </c>
      <c r="B55" s="278">
        <f t="shared" si="10"/>
        <v>38827315</v>
      </c>
      <c r="C55" s="278">
        <f>C54+C43+C40</f>
        <v>4802982</v>
      </c>
      <c r="D55" s="278">
        <f aca="true" t="shared" si="13" ref="D55:L55">D54+D43+D40</f>
        <v>6532702</v>
      </c>
      <c r="E55" s="278">
        <f t="shared" si="13"/>
        <v>7706430</v>
      </c>
      <c r="F55" s="278">
        <f t="shared" si="13"/>
        <v>8107801</v>
      </c>
      <c r="G55" s="278">
        <f t="shared" si="13"/>
        <v>11677400</v>
      </c>
      <c r="H55" s="278">
        <f t="shared" si="13"/>
        <v>9137230</v>
      </c>
      <c r="I55" s="278">
        <f t="shared" si="13"/>
        <v>13732484</v>
      </c>
      <c r="J55" s="278">
        <f t="shared" si="13"/>
        <v>8571226</v>
      </c>
      <c r="K55" s="278">
        <f t="shared" si="13"/>
        <v>10524058</v>
      </c>
      <c r="L55" s="269">
        <f t="shared" si="13"/>
        <v>16475728</v>
      </c>
      <c r="M55" s="269">
        <f>M54+M43+M40</f>
        <v>14493173.84</v>
      </c>
      <c r="N55" s="269">
        <f>N54+N43+N40</f>
        <v>22443400</v>
      </c>
      <c r="O55" s="269">
        <f t="shared" si="11"/>
        <v>134204614.84</v>
      </c>
      <c r="P55" s="157"/>
      <c r="Q55" s="140"/>
    </row>
    <row r="56" spans="1:17" ht="12.75">
      <c r="A56" s="2" t="s">
        <v>356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158"/>
      <c r="M56" s="158"/>
      <c r="N56" s="158"/>
      <c r="O56" s="158"/>
      <c r="P56" s="140"/>
      <c r="Q56" s="140"/>
    </row>
    <row r="57" spans="2:17" ht="25.5">
      <c r="B57" s="82" t="str">
        <f>B2</f>
        <v>Summary 
2001 to 2005*</v>
      </c>
      <c r="C57" s="25">
        <v>2001</v>
      </c>
      <c r="D57" s="25">
        <v>2002</v>
      </c>
      <c r="E57" s="25">
        <v>2003</v>
      </c>
      <c r="F57" s="25">
        <v>2004</v>
      </c>
      <c r="G57" s="25">
        <v>2005</v>
      </c>
      <c r="H57" s="25">
        <v>2006</v>
      </c>
      <c r="I57" s="25">
        <v>2007</v>
      </c>
      <c r="J57" s="25">
        <v>2008</v>
      </c>
      <c r="K57" s="25">
        <v>2009</v>
      </c>
      <c r="L57" s="152">
        <v>2010</v>
      </c>
      <c r="M57" s="152">
        <v>2011</v>
      </c>
      <c r="N57" s="221" t="str">
        <f>N2</f>
        <v>(18 month)1
2012-2013</v>
      </c>
      <c r="O57" s="221" t="str">
        <f>O2</f>
        <v> Total 
2001-2013</v>
      </c>
      <c r="P57" s="140"/>
      <c r="Q57" s="140"/>
    </row>
    <row r="58" spans="1:17" ht="12.75">
      <c r="A58" s="30" t="s">
        <v>110</v>
      </c>
      <c r="B58" s="44"/>
      <c r="C58" s="35"/>
      <c r="D58" s="35"/>
      <c r="E58" s="35"/>
      <c r="F58" s="35"/>
      <c r="G58" s="35"/>
      <c r="H58" s="35"/>
      <c r="I58" s="44"/>
      <c r="J58" s="44"/>
      <c r="K58" s="44"/>
      <c r="L58" s="58"/>
      <c r="M58" s="58"/>
      <c r="N58" s="58"/>
      <c r="O58" s="144"/>
      <c r="P58" s="140"/>
      <c r="Q58" s="140"/>
    </row>
    <row r="59" spans="1:17" ht="12.75">
      <c r="A59" s="30"/>
      <c r="B59" s="26" t="s">
        <v>29</v>
      </c>
      <c r="C59" s="45" t="s">
        <v>29</v>
      </c>
      <c r="D59" s="45" t="s">
        <v>29</v>
      </c>
      <c r="E59" s="45" t="s">
        <v>29</v>
      </c>
      <c r="F59" s="45" t="s">
        <v>29</v>
      </c>
      <c r="G59" s="45" t="s">
        <v>29</v>
      </c>
      <c r="H59" s="45" t="s">
        <v>29</v>
      </c>
      <c r="I59" s="26" t="s">
        <v>29</v>
      </c>
      <c r="J59" s="26" t="s">
        <v>29</v>
      </c>
      <c r="K59" s="26" t="s">
        <v>29</v>
      </c>
      <c r="L59" s="153" t="s">
        <v>29</v>
      </c>
      <c r="M59" s="153" t="s">
        <v>29</v>
      </c>
      <c r="N59" s="153" t="s">
        <v>29</v>
      </c>
      <c r="O59" s="89" t="s">
        <v>29</v>
      </c>
      <c r="P59" s="140"/>
      <c r="Q59" s="140"/>
    </row>
    <row r="60" spans="1:17" ht="12.75">
      <c r="A60" s="188" t="s">
        <v>111</v>
      </c>
      <c r="B60" s="265">
        <f aca="true" t="shared" si="14" ref="B60:B65">SUM(C60:G60)</f>
        <v>600659</v>
      </c>
      <c r="C60" s="265">
        <f>CORE!C21</f>
        <v>173</v>
      </c>
      <c r="D60" s="265">
        <f>CORE!D21</f>
        <v>56330</v>
      </c>
      <c r="E60" s="265">
        <f>CORE!E21</f>
        <v>109981</v>
      </c>
      <c r="F60" s="265">
        <f>CORE!F21</f>
        <v>82996</v>
      </c>
      <c r="G60" s="265">
        <f>CORE!G21</f>
        <v>351179</v>
      </c>
      <c r="H60" s="265">
        <f>CORE!H21</f>
        <v>449400</v>
      </c>
      <c r="I60" s="265">
        <f>CORE!I21</f>
        <v>487379</v>
      </c>
      <c r="J60" s="265">
        <f>CORE!J21</f>
        <v>354528</v>
      </c>
      <c r="K60" s="265">
        <f>CORE!K21</f>
        <v>308648</v>
      </c>
      <c r="L60" s="267">
        <f>CORE!L21</f>
        <v>363625</v>
      </c>
      <c r="M60" s="267">
        <f>CORE!M21</f>
        <v>139211</v>
      </c>
      <c r="N60" s="267">
        <f>CORE!N21</f>
        <v>72638</v>
      </c>
      <c r="O60" s="268">
        <f aca="true" t="shared" si="15" ref="O60:O65">SUM(C60:N60)</f>
        <v>2776088</v>
      </c>
      <c r="P60" s="142"/>
      <c r="Q60" s="140"/>
    </row>
    <row r="61" spans="1:17" ht="12.75">
      <c r="A61" s="239" t="s">
        <v>249</v>
      </c>
      <c r="B61" s="265">
        <f t="shared" si="14"/>
        <v>0</v>
      </c>
      <c r="C61" s="265"/>
      <c r="D61" s="265"/>
      <c r="E61" s="265"/>
      <c r="F61" s="265"/>
      <c r="G61" s="265"/>
      <c r="H61" s="265"/>
      <c r="I61" s="265"/>
      <c r="J61" s="265"/>
      <c r="K61" s="265">
        <f>REIP!B19</f>
        <v>51565</v>
      </c>
      <c r="L61" s="267">
        <f>REIP!C19</f>
        <v>387059</v>
      </c>
      <c r="M61" s="267">
        <f>REIP!D19</f>
        <v>428211</v>
      </c>
      <c r="N61" s="267">
        <f>REIP!E19</f>
        <v>54040</v>
      </c>
      <c r="O61" s="268">
        <f t="shared" si="15"/>
        <v>920875</v>
      </c>
      <c r="P61" s="142"/>
      <c r="Q61" s="140"/>
    </row>
    <row r="62" spans="1:17" ht="12.75">
      <c r="A62" s="239" t="s">
        <v>401</v>
      </c>
      <c r="B62" s="265">
        <f t="shared" si="14"/>
        <v>0</v>
      </c>
      <c r="C62" s="265"/>
      <c r="D62" s="265"/>
      <c r="E62" s="265"/>
      <c r="F62" s="265"/>
      <c r="G62" s="265"/>
      <c r="H62" s="265"/>
      <c r="I62" s="265">
        <f>REC!B15</f>
        <v>312</v>
      </c>
      <c r="J62" s="265">
        <f>REC!C15</f>
        <v>202392</v>
      </c>
      <c r="K62" s="265">
        <f>REC!D15</f>
        <v>822467</v>
      </c>
      <c r="L62" s="267">
        <f>REC!E15</f>
        <v>3498394</v>
      </c>
      <c r="M62" s="267">
        <f>REC!F15</f>
        <v>7073890</v>
      </c>
      <c r="N62" s="267">
        <f>REC!G15</f>
        <v>12686040</v>
      </c>
      <c r="O62" s="268">
        <f t="shared" si="15"/>
        <v>24283495</v>
      </c>
      <c r="P62" s="142"/>
      <c r="Q62" s="140"/>
    </row>
    <row r="63" spans="1:17" ht="12.75">
      <c r="A63" s="188" t="s">
        <v>305</v>
      </c>
      <c r="B63" s="265">
        <f t="shared" si="14"/>
        <v>0</v>
      </c>
      <c r="C63" s="265"/>
      <c r="D63" s="265"/>
      <c r="E63" s="265"/>
      <c r="F63" s="265"/>
      <c r="G63" s="265"/>
      <c r="H63" s="265"/>
      <c r="I63" s="265"/>
      <c r="J63" s="265"/>
      <c r="K63" s="265">
        <f>'RE Grid Connected'!B19</f>
        <v>0</v>
      </c>
      <c r="L63" s="267">
        <f>'RE Grid Connected'!C19</f>
        <v>0</v>
      </c>
      <c r="M63" s="267">
        <f>'RE Grid Connected'!D19</f>
        <v>0</v>
      </c>
      <c r="N63" s="267">
        <f>'RE Grid Connected'!E19</f>
        <v>0</v>
      </c>
      <c r="O63" s="268">
        <f t="shared" si="15"/>
        <v>0</v>
      </c>
      <c r="P63" s="142"/>
      <c r="Q63" s="140"/>
    </row>
    <row r="64" spans="1:17" ht="12.75">
      <c r="A64" s="239" t="s">
        <v>388</v>
      </c>
      <c r="B64" s="265">
        <f t="shared" si="14"/>
        <v>187740</v>
      </c>
      <c r="C64" s="265">
        <v>0</v>
      </c>
      <c r="D64" s="265">
        <v>0</v>
      </c>
      <c r="E64" s="265">
        <v>0</v>
      </c>
      <c r="F64" s="265">
        <f>'RE Grants and Financing'!E35</f>
        <v>0</v>
      </c>
      <c r="G64" s="265">
        <f>'RE Grants and Financing'!F35</f>
        <v>187740</v>
      </c>
      <c r="H64" s="265">
        <f>'RE Grants and Financing'!G35</f>
        <v>0</v>
      </c>
      <c r="I64" s="265">
        <f>'RE Grants and Financing'!H35</f>
        <v>478464</v>
      </c>
      <c r="J64" s="265">
        <f>'RE Grants and Financing'!I35</f>
        <v>1438040</v>
      </c>
      <c r="K64" s="265">
        <f>'RE Grants and Financing'!J35</f>
        <v>174240</v>
      </c>
      <c r="L64" s="267">
        <f>'RE Grants and Financing'!K35</f>
        <v>602055</v>
      </c>
      <c r="M64" s="267"/>
      <c r="N64" s="267"/>
      <c r="O64" s="268">
        <f t="shared" si="15"/>
        <v>2880539</v>
      </c>
      <c r="P64" s="151"/>
      <c r="Q64" s="140"/>
    </row>
    <row r="65" spans="1:17" ht="12.75">
      <c r="A65" s="14" t="s">
        <v>1</v>
      </c>
      <c r="B65" s="278">
        <f t="shared" si="14"/>
        <v>788399</v>
      </c>
      <c r="C65" s="278">
        <f aca="true" t="shared" si="16" ref="C65:H65">SUM(C60:C64)</f>
        <v>173</v>
      </c>
      <c r="D65" s="278">
        <f t="shared" si="16"/>
        <v>56330</v>
      </c>
      <c r="E65" s="278">
        <f t="shared" si="16"/>
        <v>109981</v>
      </c>
      <c r="F65" s="278">
        <f t="shared" si="16"/>
        <v>82996</v>
      </c>
      <c r="G65" s="278">
        <f t="shared" si="16"/>
        <v>538919</v>
      </c>
      <c r="H65" s="278">
        <f t="shared" si="16"/>
        <v>449400</v>
      </c>
      <c r="I65" s="278">
        <f aca="true" t="shared" si="17" ref="I65:N65">SUM(I60:I64)</f>
        <v>966155</v>
      </c>
      <c r="J65" s="278">
        <f t="shared" si="17"/>
        <v>1994960</v>
      </c>
      <c r="K65" s="278">
        <f t="shared" si="17"/>
        <v>1356920</v>
      </c>
      <c r="L65" s="269">
        <f t="shared" si="17"/>
        <v>4851133</v>
      </c>
      <c r="M65" s="269">
        <f t="shared" si="17"/>
        <v>7641312</v>
      </c>
      <c r="N65" s="269">
        <f t="shared" si="17"/>
        <v>12812718</v>
      </c>
      <c r="O65" s="269">
        <f t="shared" si="15"/>
        <v>30860997</v>
      </c>
      <c r="P65" s="142"/>
      <c r="Q65" s="140"/>
    </row>
    <row r="66" spans="1:17" ht="12.75">
      <c r="A66" s="3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144"/>
      <c r="M66" s="144"/>
      <c r="N66" s="144"/>
      <c r="O66" s="144"/>
      <c r="P66" s="142"/>
      <c r="Q66" s="140"/>
    </row>
    <row r="67" spans="1:17" ht="12.75">
      <c r="A67" s="30" t="s">
        <v>183</v>
      </c>
      <c r="B67" s="124"/>
      <c r="C67" s="124" t="s">
        <v>29</v>
      </c>
      <c r="D67" s="124" t="s">
        <v>29</v>
      </c>
      <c r="E67" s="124" t="s">
        <v>29</v>
      </c>
      <c r="F67" s="124" t="s">
        <v>29</v>
      </c>
      <c r="G67" s="124" t="s">
        <v>29</v>
      </c>
      <c r="H67" s="45" t="s">
        <v>29</v>
      </c>
      <c r="I67" s="45" t="s">
        <v>29</v>
      </c>
      <c r="J67" s="45" t="s">
        <v>29</v>
      </c>
      <c r="K67" s="45" t="s">
        <v>29</v>
      </c>
      <c r="L67" s="153" t="s">
        <v>29</v>
      </c>
      <c r="M67" s="153" t="s">
        <v>29</v>
      </c>
      <c r="N67" s="153" t="s">
        <v>29</v>
      </c>
      <c r="O67" s="89" t="s">
        <v>29</v>
      </c>
      <c r="P67" s="142"/>
      <c r="Q67" s="140"/>
    </row>
    <row r="68" spans="1:17" ht="12.75">
      <c r="A68" s="188" t="s">
        <v>411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6"/>
      <c r="M68" s="336"/>
      <c r="N68" s="268">
        <f>'P4P '!K81</f>
        <v>210240</v>
      </c>
      <c r="O68" s="336"/>
      <c r="P68" s="142"/>
      <c r="Q68" s="140"/>
    </row>
    <row r="69" spans="1:17" ht="12.75">
      <c r="A69" s="188" t="s">
        <v>59</v>
      </c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6"/>
      <c r="M69" s="336"/>
      <c r="N69" s="268">
        <f>CHP!N80</f>
        <v>0</v>
      </c>
      <c r="O69" s="336"/>
      <c r="P69" s="142"/>
      <c r="Q69" s="140"/>
    </row>
    <row r="70" spans="1:16" ht="12.75">
      <c r="A70" s="16" t="s">
        <v>420</v>
      </c>
      <c r="B70" s="278">
        <f>SUM(C70:G70)</f>
        <v>11498</v>
      </c>
      <c r="C70" s="278">
        <f>CHP!C80</f>
        <v>0</v>
      </c>
      <c r="D70" s="278">
        <f>CHP!D80</f>
        <v>0</v>
      </c>
      <c r="E70" s="278">
        <f>CHP!E80</f>
        <v>0</v>
      </c>
      <c r="F70" s="278">
        <f>CHP!F80</f>
        <v>0</v>
      </c>
      <c r="G70" s="278">
        <f>CHP!G80</f>
        <v>11498</v>
      </c>
      <c r="H70" s="278">
        <f>CHP!H80</f>
        <v>112759</v>
      </c>
      <c r="I70" s="278">
        <f>CHP!I80</f>
        <v>1225505</v>
      </c>
      <c r="J70" s="278">
        <f>CHP!J80</f>
        <v>109364</v>
      </c>
      <c r="K70" s="278">
        <f>CHP!K80</f>
        <v>423802</v>
      </c>
      <c r="L70" s="278">
        <f>CHP!L80</f>
        <v>524075</v>
      </c>
      <c r="M70" s="278">
        <f>CHP!M80</f>
        <v>0</v>
      </c>
      <c r="N70" s="269">
        <f>SUM(N68:N69)</f>
        <v>210240</v>
      </c>
      <c r="O70" s="278">
        <f>SUM(C70:N70)</f>
        <v>2617243</v>
      </c>
      <c r="P70" s="23"/>
    </row>
    <row r="71" spans="1:15" ht="12.75">
      <c r="A71" s="30"/>
      <c r="B71" s="44"/>
      <c r="C71" s="35"/>
      <c r="D71" s="35"/>
      <c r="E71" s="35"/>
      <c r="F71" s="35"/>
      <c r="G71" s="35"/>
      <c r="H71" s="35"/>
      <c r="I71" s="44"/>
      <c r="J71" s="44"/>
      <c r="K71" s="44"/>
      <c r="L71" s="44"/>
      <c r="M71" s="44"/>
      <c r="N71" s="58"/>
      <c r="O71" s="35"/>
    </row>
    <row r="72" spans="1:14" ht="26.25">
      <c r="A72" s="56" t="s">
        <v>140</v>
      </c>
      <c r="B72" s="82" t="str">
        <f>B2</f>
        <v>Summary 
2001 to 2005*</v>
      </c>
      <c r="C72" s="25">
        <v>2001</v>
      </c>
      <c r="D72" s="25">
        <v>2002</v>
      </c>
      <c r="E72" s="25">
        <v>2003</v>
      </c>
      <c r="F72" s="25">
        <v>2004</v>
      </c>
      <c r="G72" s="25">
        <v>2005</v>
      </c>
      <c r="H72" s="25">
        <v>2006</v>
      </c>
      <c r="I72" s="25">
        <v>2007</v>
      </c>
      <c r="J72" s="25">
        <v>2008</v>
      </c>
      <c r="K72" s="25">
        <v>2009</v>
      </c>
      <c r="L72" s="25">
        <v>2010</v>
      </c>
      <c r="M72" s="25">
        <v>2011</v>
      </c>
      <c r="N72" s="221" t="str">
        <f>N2</f>
        <v>(18 month)1
2012-2013</v>
      </c>
    </row>
    <row r="73" spans="1:15" ht="12.75">
      <c r="A73" s="1" t="s">
        <v>142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52"/>
      <c r="O73" s="25"/>
    </row>
    <row r="74" spans="1:15" ht="12.75">
      <c r="A74" s="1" t="s">
        <v>7</v>
      </c>
      <c r="B74" s="26" t="s">
        <v>29</v>
      </c>
      <c r="C74" s="26" t="s">
        <v>29</v>
      </c>
      <c r="D74" s="26" t="s">
        <v>29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26" t="s">
        <v>29</v>
      </c>
      <c r="K74" s="26" t="s">
        <v>29</v>
      </c>
      <c r="L74" s="26" t="s">
        <v>29</v>
      </c>
      <c r="M74" s="26" t="s">
        <v>29</v>
      </c>
      <c r="N74" s="153" t="s">
        <v>29</v>
      </c>
      <c r="O74" s="45"/>
    </row>
    <row r="75" spans="1:15" ht="12.75">
      <c r="A75" s="220" t="s">
        <v>82</v>
      </c>
      <c r="B75" s="265">
        <f aca="true" t="shared" si="18" ref="B75:B83">SUM(C75:G75)</f>
        <v>1521208</v>
      </c>
      <c r="C75" s="265">
        <f>RNC!C34</f>
        <v>131481</v>
      </c>
      <c r="D75" s="265">
        <f>RNC!D34</f>
        <v>504649</v>
      </c>
      <c r="E75" s="265">
        <f>RNC!E34</f>
        <v>440776</v>
      </c>
      <c r="F75" s="265">
        <f>RNC!F34</f>
        <v>79079</v>
      </c>
      <c r="G75" s="265">
        <f>RNC!G34</f>
        <v>365223</v>
      </c>
      <c r="H75" s="265">
        <f>RNC!H34</f>
        <v>347822</v>
      </c>
      <c r="I75" s="265">
        <f>RNC!I34</f>
        <v>165060</v>
      </c>
      <c r="J75" s="265">
        <f>RNC!J34</f>
        <v>223740</v>
      </c>
      <c r="K75" s="265">
        <f>RNC!K34</f>
        <v>92158</v>
      </c>
      <c r="L75" s="265">
        <f>RNC!L34</f>
        <v>77682</v>
      </c>
      <c r="M75" s="265">
        <f>RNC!M34</f>
        <v>41646</v>
      </c>
      <c r="N75" s="267">
        <f>RNC!N34</f>
        <v>295243</v>
      </c>
      <c r="O75" s="35"/>
    </row>
    <row r="76" spans="1:15" ht="12.75">
      <c r="A76" s="220" t="s">
        <v>89</v>
      </c>
      <c r="B76" s="265">
        <f t="shared" si="18"/>
        <v>7357979</v>
      </c>
      <c r="C76" s="265">
        <f>'C&amp;I'!C100</f>
        <v>937582</v>
      </c>
      <c r="D76" s="265">
        <f>'C&amp;I'!D100</f>
        <v>654800</v>
      </c>
      <c r="E76" s="265">
        <f>'C&amp;I'!E100</f>
        <v>2441633</v>
      </c>
      <c r="F76" s="265">
        <f>'C&amp;I'!F100</f>
        <v>1682736</v>
      </c>
      <c r="G76" s="265">
        <f>'C&amp;I'!G100</f>
        <v>1641228</v>
      </c>
      <c r="H76" s="265">
        <f>'C&amp;I'!H100</f>
        <v>674115</v>
      </c>
      <c r="I76" s="265">
        <f>'C&amp;I'!I100</f>
        <v>2563547</v>
      </c>
      <c r="J76" s="265">
        <f>'C&amp;I'!J100</f>
        <v>877194</v>
      </c>
      <c r="K76" s="265">
        <f>'C&amp;I'!K100</f>
        <v>1761322</v>
      </c>
      <c r="L76" s="265">
        <f>'C&amp;I'!L100</f>
        <v>1519290</v>
      </c>
      <c r="M76" s="265">
        <f>'C&amp;I'!M100</f>
        <v>2260079</v>
      </c>
      <c r="N76" s="267">
        <f>'C&amp;I'!N100</f>
        <v>1980992</v>
      </c>
      <c r="O76" s="35"/>
    </row>
    <row r="77" spans="1:15" ht="12.75">
      <c r="A77" s="188" t="s">
        <v>287</v>
      </c>
      <c r="B77" s="265">
        <f t="shared" si="18"/>
        <v>0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>
        <f>'P4P '!I57</f>
        <v>0</v>
      </c>
      <c r="M77" s="265">
        <f>'P4P '!J57</f>
        <v>847665</v>
      </c>
      <c r="N77" s="267">
        <f>'P4P '!K55</f>
        <v>793618</v>
      </c>
      <c r="O77" s="35"/>
    </row>
    <row r="78" spans="1:15" ht="12.75">
      <c r="A78" s="188" t="s">
        <v>411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7">
        <f>'P4P '!K56</f>
        <v>0</v>
      </c>
      <c r="O78" s="35"/>
    </row>
    <row r="79" spans="1:15" ht="12.75">
      <c r="A79" s="188" t="s">
        <v>288</v>
      </c>
      <c r="B79" s="265">
        <f t="shared" si="18"/>
        <v>0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>
        <f>'P4P NC'!B43</f>
        <v>0</v>
      </c>
      <c r="M79" s="265">
        <f>'P4P NC'!C43</f>
        <v>112356</v>
      </c>
      <c r="N79" s="267">
        <f>'P4P NC'!D43</f>
        <v>33006</v>
      </c>
      <c r="O79" s="35"/>
    </row>
    <row r="80" spans="1:15" ht="12.75">
      <c r="A80" s="188" t="s">
        <v>229</v>
      </c>
      <c r="B80" s="265">
        <f t="shared" si="18"/>
        <v>0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>
        <f>'Direct Install'!D40</f>
        <v>241683</v>
      </c>
      <c r="M80" s="265">
        <f>'Direct Install'!E40</f>
        <v>398064</v>
      </c>
      <c r="N80" s="267">
        <f>'Direct Install'!F40</f>
        <v>313871</v>
      </c>
      <c r="O80" s="35"/>
    </row>
    <row r="81" spans="1:15" ht="12.75">
      <c r="A81" s="188" t="s">
        <v>412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7">
        <f>LEUP!C40</f>
        <v>296162</v>
      </c>
      <c r="O81" s="35"/>
    </row>
    <row r="82" spans="1:15" ht="12.75">
      <c r="A82" s="239" t="s">
        <v>59</v>
      </c>
      <c r="B82" s="265">
        <f t="shared" si="18"/>
        <v>0</v>
      </c>
      <c r="C82" s="265"/>
      <c r="D82" s="265"/>
      <c r="E82" s="265"/>
      <c r="F82" s="265"/>
      <c r="G82" s="265"/>
      <c r="H82" s="265"/>
      <c r="I82" s="265"/>
      <c r="J82" s="265"/>
      <c r="K82" s="265">
        <f>CHP!K47</f>
        <v>4245</v>
      </c>
      <c r="L82" s="265">
        <f>CHP!L47</f>
        <v>0</v>
      </c>
      <c r="M82" s="265">
        <f>CHP!M47</f>
        <v>0</v>
      </c>
      <c r="N82" s="267">
        <f>CHP!N47</f>
        <v>169644</v>
      </c>
      <c r="O82" s="35"/>
    </row>
    <row r="83" spans="1:16" ht="12.75">
      <c r="A83" s="29" t="s">
        <v>107</v>
      </c>
      <c r="B83" s="278">
        <f t="shared" si="18"/>
        <v>8879187</v>
      </c>
      <c r="C83" s="278">
        <f>SUM(C75:C82)</f>
        <v>1069063</v>
      </c>
      <c r="D83" s="278">
        <f aca="true" t="shared" si="19" ref="D83:K83">SUM(D75:D82)</f>
        <v>1159449</v>
      </c>
      <c r="E83" s="278">
        <f t="shared" si="19"/>
        <v>2882409</v>
      </c>
      <c r="F83" s="278">
        <f t="shared" si="19"/>
        <v>1761815</v>
      </c>
      <c r="G83" s="278">
        <f t="shared" si="19"/>
        <v>2006451</v>
      </c>
      <c r="H83" s="278">
        <f t="shared" si="19"/>
        <v>1021937</v>
      </c>
      <c r="I83" s="278">
        <f t="shared" si="19"/>
        <v>2728607</v>
      </c>
      <c r="J83" s="278">
        <f t="shared" si="19"/>
        <v>1100934</v>
      </c>
      <c r="K83" s="278">
        <f t="shared" si="19"/>
        <v>1857725</v>
      </c>
      <c r="L83" s="278">
        <f>SUM(L75:L82)</f>
        <v>1838655</v>
      </c>
      <c r="M83" s="278">
        <f>SUM(M75:M82)</f>
        <v>3659810</v>
      </c>
      <c r="N83" s="269">
        <f>SUM(N75:N82)</f>
        <v>3882536</v>
      </c>
      <c r="O83" s="60"/>
      <c r="P83" s="23"/>
    </row>
    <row r="84" spans="1:16" ht="12.75">
      <c r="A84" s="34"/>
      <c r="B84" s="284"/>
      <c r="C84" s="285"/>
      <c r="D84" s="285"/>
      <c r="E84" s="285"/>
      <c r="F84" s="285"/>
      <c r="G84" s="285"/>
      <c r="H84" s="285"/>
      <c r="I84" s="284"/>
      <c r="J84" s="284"/>
      <c r="K84" s="284"/>
      <c r="L84" s="284"/>
      <c r="M84" s="284"/>
      <c r="N84" s="338"/>
      <c r="O84" s="60"/>
      <c r="P84" s="23"/>
    </row>
    <row r="85" spans="1:16" ht="12.75">
      <c r="A85" s="67" t="s">
        <v>205</v>
      </c>
      <c r="B85" s="284"/>
      <c r="C85" s="285"/>
      <c r="D85" s="285"/>
      <c r="E85" s="285"/>
      <c r="F85" s="285"/>
      <c r="G85" s="285"/>
      <c r="H85" s="285"/>
      <c r="I85" s="284"/>
      <c r="J85" s="284"/>
      <c r="K85" s="284"/>
      <c r="L85" s="284"/>
      <c r="M85" s="284"/>
      <c r="N85" s="338"/>
      <c r="O85" s="60"/>
      <c r="P85" s="23"/>
    </row>
    <row r="86" spans="1:16" ht="12.75">
      <c r="A86" s="188" t="s">
        <v>411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7">
        <f>'P4P '!K91</f>
        <v>95419</v>
      </c>
      <c r="O86" s="60"/>
      <c r="P86" s="23"/>
    </row>
    <row r="87" spans="1:16" ht="12.75">
      <c r="A87" s="188" t="s">
        <v>59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7">
        <f>CHP!N96</f>
        <v>2568182</v>
      </c>
      <c r="O87" s="60"/>
      <c r="P87" s="23"/>
    </row>
    <row r="88" spans="1:16" ht="12.75">
      <c r="A88" s="48" t="s">
        <v>1</v>
      </c>
      <c r="B88" s="278">
        <f>SUM(C88:G88)</f>
        <v>199875</v>
      </c>
      <c r="C88" s="278">
        <f>CHP!C96</f>
        <v>0</v>
      </c>
      <c r="D88" s="278">
        <f>CHP!D96</f>
        <v>0</v>
      </c>
      <c r="E88" s="278">
        <f>CHP!E96</f>
        <v>0</v>
      </c>
      <c r="F88" s="278">
        <f>CHP!F96</f>
        <v>0</v>
      </c>
      <c r="G88" s="278">
        <f>CHP!G96</f>
        <v>199875</v>
      </c>
      <c r="H88" s="278">
        <f>CHP!H96</f>
        <v>0</v>
      </c>
      <c r="I88" s="278">
        <f>CHP!I96</f>
        <v>1263019</v>
      </c>
      <c r="J88" s="278">
        <f>CHP!J96</f>
        <v>3705353</v>
      </c>
      <c r="K88" s="278">
        <f>CHP!K96</f>
        <v>1486741</v>
      </c>
      <c r="L88" s="278">
        <f>CHP!L96</f>
        <v>500620</v>
      </c>
      <c r="M88" s="278">
        <f>CHP!M96</f>
        <v>29465</v>
      </c>
      <c r="N88" s="269">
        <f>SUM(N86:N87)</f>
        <v>2663601</v>
      </c>
      <c r="O88" s="60"/>
      <c r="P88" s="23"/>
    </row>
    <row r="89" spans="1:15" ht="12.75">
      <c r="A89" s="34"/>
      <c r="B89" s="44"/>
      <c r="C89" s="35"/>
      <c r="D89" s="35"/>
      <c r="E89" s="35"/>
      <c r="F89" s="35"/>
      <c r="G89" s="35"/>
      <c r="H89" s="35"/>
      <c r="I89" s="44"/>
      <c r="J89" s="44"/>
      <c r="K89" s="44"/>
      <c r="L89" s="44"/>
      <c r="M89" s="44"/>
      <c r="N89" s="58"/>
      <c r="O89" s="35"/>
    </row>
    <row r="90" spans="1:15" ht="12.75">
      <c r="A90" s="1" t="s">
        <v>12</v>
      </c>
      <c r="B90" s="26" t="s">
        <v>13</v>
      </c>
      <c r="C90" s="26" t="s">
        <v>13</v>
      </c>
      <c r="D90" s="26" t="s">
        <v>13</v>
      </c>
      <c r="E90" s="26" t="s">
        <v>13</v>
      </c>
      <c r="F90" s="26" t="s">
        <v>13</v>
      </c>
      <c r="G90" s="26" t="s">
        <v>13</v>
      </c>
      <c r="H90" s="26" t="s">
        <v>13</v>
      </c>
      <c r="I90" s="26" t="s">
        <v>13</v>
      </c>
      <c r="J90" s="26" t="s">
        <v>13</v>
      </c>
      <c r="K90" s="26" t="s">
        <v>13</v>
      </c>
      <c r="L90" s="26" t="s">
        <v>13</v>
      </c>
      <c r="M90" s="26" t="s">
        <v>13</v>
      </c>
      <c r="N90" s="153" t="s">
        <v>13</v>
      </c>
      <c r="O90" s="45"/>
    </row>
    <row r="91" spans="1:15" ht="12.75">
      <c r="A91" s="220" t="s">
        <v>82</v>
      </c>
      <c r="B91" s="265">
        <f aca="true" t="shared" si="20" ref="B91:B100">SUM(C91:G91)</f>
        <v>40311527</v>
      </c>
      <c r="C91" s="265">
        <f>RNC!C41</f>
        <v>2015046</v>
      </c>
      <c r="D91" s="265">
        <f>RNC!D41</f>
        <v>12337003</v>
      </c>
      <c r="E91" s="265">
        <f>RNC!E41</f>
        <v>12126506</v>
      </c>
      <c r="F91" s="265">
        <f>RNC!F41</f>
        <v>2824084</v>
      </c>
      <c r="G91" s="265">
        <f>RNC!G41</f>
        <v>11008888</v>
      </c>
      <c r="H91" s="265">
        <f>RNC!H41</f>
        <v>5939348</v>
      </c>
      <c r="I91" s="265">
        <f>RNC!I41</f>
        <v>3111900</v>
      </c>
      <c r="J91" s="265">
        <f>RNC!J41</f>
        <v>6254560</v>
      </c>
      <c r="K91" s="265">
        <f>RNC!K41</f>
        <v>4836980</v>
      </c>
      <c r="L91" s="265">
        <f>RNC!L41</f>
        <v>3817300</v>
      </c>
      <c r="M91" s="265">
        <f>RNC!M41</f>
        <v>1497520</v>
      </c>
      <c r="N91" s="267">
        <f>RNC!N41</f>
        <v>4495881</v>
      </c>
      <c r="O91" s="62"/>
    </row>
    <row r="92" spans="1:15" ht="12.75">
      <c r="A92" s="220" t="s">
        <v>89</v>
      </c>
      <c r="B92" s="265">
        <f t="shared" si="20"/>
        <v>5822680</v>
      </c>
      <c r="C92" s="265">
        <f>'C&amp;I'!C112</f>
        <v>0</v>
      </c>
      <c r="D92" s="265">
        <f>'C&amp;I'!D112</f>
        <v>477024</v>
      </c>
      <c r="E92" s="265">
        <f>'C&amp;I'!E112</f>
        <v>416360</v>
      </c>
      <c r="F92" s="265">
        <f>'C&amp;I'!F112</f>
        <v>2302770</v>
      </c>
      <c r="G92" s="265">
        <f>'C&amp;I'!G112</f>
        <v>2626526</v>
      </c>
      <c r="H92" s="265">
        <f>'C&amp;I'!H112</f>
        <v>893280</v>
      </c>
      <c r="I92" s="265">
        <f>'C&amp;I'!I112</f>
        <v>878576</v>
      </c>
      <c r="J92" s="265">
        <f>'C&amp;I'!J112</f>
        <v>1490894</v>
      </c>
      <c r="K92" s="265">
        <f>'C&amp;I'!K112</f>
        <v>4272952</v>
      </c>
      <c r="L92" s="265">
        <f>'C&amp;I'!L112</f>
        <v>1473683</v>
      </c>
      <c r="M92" s="265">
        <f>'C&amp;I'!M112</f>
        <v>4897510</v>
      </c>
      <c r="N92" s="267">
        <f>'C&amp;I'!N112</f>
        <v>1504326</v>
      </c>
      <c r="O92" s="62"/>
    </row>
    <row r="93" spans="1:18" ht="12.75">
      <c r="A93" s="188" t="s">
        <v>287</v>
      </c>
      <c r="B93" s="267">
        <f t="shared" si="20"/>
        <v>0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>
        <f>'P4P '!I73</f>
        <v>1738786</v>
      </c>
      <c r="M93" s="267">
        <f>'P4P '!J73</f>
        <v>4620736</v>
      </c>
      <c r="N93" s="267">
        <f>'P4P '!K71</f>
        <v>5426910</v>
      </c>
      <c r="O93" s="99"/>
      <c r="P93" s="140"/>
      <c r="Q93" s="140"/>
      <c r="R93" s="140"/>
    </row>
    <row r="94" spans="1:18" ht="12.75">
      <c r="A94" s="188" t="s">
        <v>411</v>
      </c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>
        <f>'P4P '!K72</f>
        <v>423816</v>
      </c>
      <c r="O94" s="99"/>
      <c r="P94" s="140"/>
      <c r="Q94" s="140"/>
      <c r="R94" s="140"/>
    </row>
    <row r="95" spans="1:18" ht="12.75">
      <c r="A95" s="188" t="s">
        <v>288</v>
      </c>
      <c r="B95" s="267">
        <f t="shared" si="20"/>
        <v>0</v>
      </c>
      <c r="C95" s="267"/>
      <c r="D95" s="267"/>
      <c r="E95" s="267"/>
      <c r="F95" s="267"/>
      <c r="G95" s="267"/>
      <c r="H95" s="267"/>
      <c r="I95" s="267"/>
      <c r="J95" s="267"/>
      <c r="K95" s="267"/>
      <c r="L95" s="267">
        <f>'P4P NC'!B53</f>
        <v>0</v>
      </c>
      <c r="M95" s="267">
        <f>'P4P NC'!C53</f>
        <v>223315</v>
      </c>
      <c r="N95" s="267">
        <f>'P4P NC'!D53</f>
        <v>254619</v>
      </c>
      <c r="O95" s="99"/>
      <c r="P95" s="140"/>
      <c r="Q95" s="140"/>
      <c r="R95" s="140"/>
    </row>
    <row r="96" spans="1:18" ht="12.75">
      <c r="A96" s="188" t="s">
        <v>229</v>
      </c>
      <c r="B96" s="267">
        <f t="shared" si="20"/>
        <v>0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>
        <f>'Direct Install'!D50</f>
        <v>76641</v>
      </c>
      <c r="M96" s="267">
        <f>'Direct Install'!E50</f>
        <v>970820</v>
      </c>
      <c r="N96" s="267">
        <f>'Direct Install'!F50</f>
        <v>1068728</v>
      </c>
      <c r="O96" s="99"/>
      <c r="P96" s="140"/>
      <c r="Q96" s="140"/>
      <c r="R96" s="140"/>
    </row>
    <row r="97" spans="1:18" ht="12.75">
      <c r="A97" s="188" t="s">
        <v>412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>
        <f>LEUP!C50</f>
        <v>1920420</v>
      </c>
      <c r="O97" s="99"/>
      <c r="P97" s="140"/>
      <c r="Q97" s="140"/>
      <c r="R97" s="140"/>
    </row>
    <row r="98" spans="1:18" ht="12.75">
      <c r="A98" s="29" t="s">
        <v>106</v>
      </c>
      <c r="B98" s="286">
        <f t="shared" si="20"/>
        <v>46134207</v>
      </c>
      <c r="C98" s="286">
        <f>SUM(C91:C96)</f>
        <v>2015046</v>
      </c>
      <c r="D98" s="286">
        <f>SUM(D91:D96)</f>
        <v>12814027</v>
      </c>
      <c r="E98" s="286">
        <f>SUM(E91:E96)</f>
        <v>12542866</v>
      </c>
      <c r="F98" s="286">
        <f>SUM(F91:F96)</f>
        <v>5126854</v>
      </c>
      <c r="G98" s="286">
        <f>SUM(G91:G96)</f>
        <v>13635414</v>
      </c>
      <c r="H98" s="286">
        <f aca="true" t="shared" si="21" ref="H98:N98">SUM(H91:H97)</f>
        <v>6832628</v>
      </c>
      <c r="I98" s="286">
        <f t="shared" si="21"/>
        <v>3990476</v>
      </c>
      <c r="J98" s="286">
        <f t="shared" si="21"/>
        <v>7745454</v>
      </c>
      <c r="K98" s="286">
        <f t="shared" si="21"/>
        <v>9109932</v>
      </c>
      <c r="L98" s="286">
        <f t="shared" si="21"/>
        <v>7106410</v>
      </c>
      <c r="M98" s="286">
        <f t="shared" si="21"/>
        <v>12209901</v>
      </c>
      <c r="N98" s="286">
        <f t="shared" si="21"/>
        <v>15094700</v>
      </c>
      <c r="O98" s="159"/>
      <c r="P98" s="142"/>
      <c r="Q98" s="140"/>
      <c r="R98" s="140"/>
    </row>
    <row r="99" spans="1:18" ht="12.75">
      <c r="A99" s="188" t="s">
        <v>206</v>
      </c>
      <c r="B99" s="267">
        <f t="shared" si="20"/>
        <v>0</v>
      </c>
      <c r="C99" s="267"/>
      <c r="D99" s="267"/>
      <c r="E99" s="267"/>
      <c r="F99" s="267"/>
      <c r="G99" s="267"/>
      <c r="H99" s="267"/>
      <c r="I99" s="267">
        <f>CHP!I68</f>
        <v>7246151</v>
      </c>
      <c r="J99" s="267">
        <f>CHP!J68</f>
        <v>14391686</v>
      </c>
      <c r="K99" s="267">
        <f>CHP!K68</f>
        <v>11549352</v>
      </c>
      <c r="L99" s="267">
        <f>CHP!L68</f>
        <v>2825028</v>
      </c>
      <c r="M99" s="267">
        <f>CHP!M68</f>
        <v>62424</v>
      </c>
      <c r="N99" s="267">
        <f>CHP!N68</f>
        <v>14179660</v>
      </c>
      <c r="O99" s="99"/>
      <c r="P99" s="142"/>
      <c r="Q99" s="140"/>
      <c r="R99" s="140"/>
    </row>
    <row r="100" spans="1:18" ht="12.75">
      <c r="A100" s="14" t="s">
        <v>216</v>
      </c>
      <c r="B100" s="269">
        <f t="shared" si="20"/>
        <v>46134207</v>
      </c>
      <c r="C100" s="269">
        <f>C99+C98</f>
        <v>2015046</v>
      </c>
      <c r="D100" s="269">
        <f aca="true" t="shared" si="22" ref="D100:I100">D99+D98</f>
        <v>12814027</v>
      </c>
      <c r="E100" s="269">
        <f t="shared" si="22"/>
        <v>12542866</v>
      </c>
      <c r="F100" s="269">
        <f t="shared" si="22"/>
        <v>5126854</v>
      </c>
      <c r="G100" s="269">
        <f t="shared" si="22"/>
        <v>13635414</v>
      </c>
      <c r="H100" s="269">
        <f t="shared" si="22"/>
        <v>6832628</v>
      </c>
      <c r="I100" s="269">
        <f t="shared" si="22"/>
        <v>11236627</v>
      </c>
      <c r="J100" s="269">
        <f>J99+J98</f>
        <v>22137140</v>
      </c>
      <c r="K100" s="269">
        <f>K99+K98</f>
        <v>20659284</v>
      </c>
      <c r="L100" s="269">
        <f>L99+L98</f>
        <v>9931438</v>
      </c>
      <c r="M100" s="269">
        <f>M99+M98</f>
        <v>12272325</v>
      </c>
      <c r="N100" s="269">
        <f>N99+N98</f>
        <v>29274360</v>
      </c>
      <c r="O100" s="99"/>
      <c r="P100" s="142"/>
      <c r="Q100" s="140"/>
      <c r="R100" s="140"/>
    </row>
    <row r="101" spans="1:18" ht="12.75">
      <c r="A101" s="34"/>
      <c r="B101" s="58"/>
      <c r="C101" s="99"/>
      <c r="D101" s="99"/>
      <c r="E101" s="99"/>
      <c r="F101" s="99"/>
      <c r="G101" s="99"/>
      <c r="H101" s="99"/>
      <c r="I101" s="58"/>
      <c r="J101" s="58"/>
      <c r="K101" s="58"/>
      <c r="L101" s="58"/>
      <c r="M101" s="58"/>
      <c r="N101" s="58"/>
      <c r="O101" s="99"/>
      <c r="P101" s="142"/>
      <c r="Q101" s="140"/>
      <c r="R101" s="140"/>
    </row>
    <row r="102" spans="1:18" ht="12.75">
      <c r="A102" s="30" t="s">
        <v>110</v>
      </c>
      <c r="B102" s="58"/>
      <c r="C102" s="144"/>
      <c r="D102" s="144"/>
      <c r="E102" s="144"/>
      <c r="F102" s="144"/>
      <c r="G102" s="144"/>
      <c r="H102" s="144"/>
      <c r="I102" s="58"/>
      <c r="J102" s="58"/>
      <c r="K102" s="58"/>
      <c r="L102" s="58"/>
      <c r="M102" s="58"/>
      <c r="N102" s="58"/>
      <c r="O102" s="144"/>
      <c r="P102" s="140"/>
      <c r="Q102" s="140"/>
      <c r="R102" s="140"/>
    </row>
    <row r="103" spans="1:18" ht="12.75">
      <c r="A103" s="30"/>
      <c r="B103" s="153" t="s">
        <v>29</v>
      </c>
      <c r="C103" s="89" t="s">
        <v>29</v>
      </c>
      <c r="D103" s="89" t="s">
        <v>29</v>
      </c>
      <c r="E103" s="89" t="s">
        <v>29</v>
      </c>
      <c r="F103" s="89" t="s">
        <v>29</v>
      </c>
      <c r="G103" s="89" t="s">
        <v>29</v>
      </c>
      <c r="H103" s="89" t="s">
        <v>29</v>
      </c>
      <c r="I103" s="153" t="s">
        <v>29</v>
      </c>
      <c r="J103" s="153" t="s">
        <v>29</v>
      </c>
      <c r="K103" s="153" t="s">
        <v>29</v>
      </c>
      <c r="L103" s="153" t="s">
        <v>29</v>
      </c>
      <c r="M103" s="153" t="s">
        <v>29</v>
      </c>
      <c r="N103" s="153" t="s">
        <v>29</v>
      </c>
      <c r="O103" s="89"/>
      <c r="P103" s="140"/>
      <c r="Q103" s="140"/>
      <c r="R103" s="140"/>
    </row>
    <row r="104" spans="1:18" ht="12.75">
      <c r="A104" s="239" t="s">
        <v>111</v>
      </c>
      <c r="B104" s="267">
        <f aca="true" t="shared" si="23" ref="B104:B109">SUM(C104:G104)</f>
        <v>1488376</v>
      </c>
      <c r="C104" s="267"/>
      <c r="D104" s="267"/>
      <c r="E104" s="267"/>
      <c r="F104" s="267"/>
      <c r="G104" s="267">
        <f>CORE!G33</f>
        <v>1488376</v>
      </c>
      <c r="H104" s="267">
        <f>CORE!H33</f>
        <v>706325</v>
      </c>
      <c r="I104" s="267">
        <f>CORE!I33</f>
        <v>515130</v>
      </c>
      <c r="J104" s="267">
        <f>CORE!J33</f>
        <v>1285248</v>
      </c>
      <c r="K104" s="267">
        <f>CORE!K33</f>
        <v>969030</v>
      </c>
      <c r="L104" s="267">
        <f>CORE!L33</f>
        <v>328695</v>
      </c>
      <c r="M104" s="267">
        <f>CORE!M33</f>
        <v>104779</v>
      </c>
      <c r="N104" s="267">
        <f>CORE!N33</f>
        <v>0</v>
      </c>
      <c r="O104" s="144"/>
      <c r="P104" s="140"/>
      <c r="Q104" s="140"/>
      <c r="R104" s="140"/>
    </row>
    <row r="105" spans="1:18" ht="12.75">
      <c r="A105" s="239" t="s">
        <v>249</v>
      </c>
      <c r="B105" s="267">
        <f t="shared" si="23"/>
        <v>0</v>
      </c>
      <c r="C105" s="267"/>
      <c r="D105" s="267"/>
      <c r="E105" s="267"/>
      <c r="F105" s="267"/>
      <c r="G105" s="267"/>
      <c r="H105" s="267"/>
      <c r="I105" s="267"/>
      <c r="J105" s="267"/>
      <c r="K105" s="267">
        <f>REIP!B31</f>
        <v>508800</v>
      </c>
      <c r="L105" s="267">
        <f>REIP!C31</f>
        <v>665554</v>
      </c>
      <c r="M105" s="267">
        <f>REIP!D31</f>
        <v>140862</v>
      </c>
      <c r="N105" s="267">
        <f>REIP!E31</f>
        <v>496418</v>
      </c>
      <c r="O105" s="144"/>
      <c r="P105" s="140"/>
      <c r="Q105" s="140"/>
      <c r="R105" s="140"/>
    </row>
    <row r="106" spans="1:18" ht="12.75">
      <c r="A106" s="239" t="s">
        <v>401</v>
      </c>
      <c r="B106" s="267">
        <f t="shared" si="23"/>
        <v>0</v>
      </c>
      <c r="C106" s="267"/>
      <c r="D106" s="267"/>
      <c r="E106" s="267"/>
      <c r="F106" s="267"/>
      <c r="G106" s="267"/>
      <c r="H106" s="267"/>
      <c r="I106" s="267"/>
      <c r="J106" s="267"/>
      <c r="K106" s="267">
        <f>REC!D23</f>
        <v>1300036</v>
      </c>
      <c r="L106" s="267">
        <f>REC!E23</f>
        <v>4248971</v>
      </c>
      <c r="M106" s="267">
        <f>REC!F23</f>
        <v>13880410</v>
      </c>
      <c r="N106" s="267">
        <f>REC!G23</f>
        <v>13905460</v>
      </c>
      <c r="O106" s="144"/>
      <c r="P106" s="140"/>
      <c r="Q106" s="140"/>
      <c r="R106" s="140"/>
    </row>
    <row r="107" spans="1:18" ht="12.75">
      <c r="A107" s="188" t="s">
        <v>305</v>
      </c>
      <c r="B107" s="267">
        <f t="shared" si="23"/>
        <v>0</v>
      </c>
      <c r="C107" s="267"/>
      <c r="D107" s="267"/>
      <c r="E107" s="267"/>
      <c r="F107" s="267"/>
      <c r="G107" s="267"/>
      <c r="H107" s="267"/>
      <c r="I107" s="267"/>
      <c r="J107" s="267"/>
      <c r="K107" s="267">
        <f>'RE Grid Connected'!B28</f>
        <v>0</v>
      </c>
      <c r="L107" s="267">
        <f>'RE Grid Connected'!C28</f>
        <v>740720</v>
      </c>
      <c r="M107" s="267">
        <f>'RE Grid Connected'!D28</f>
        <v>528530</v>
      </c>
      <c r="N107" s="267">
        <f>'RE Grid Connected'!E28</f>
        <v>278480</v>
      </c>
      <c r="O107" s="144"/>
      <c r="P107" s="140"/>
      <c r="Q107" s="140"/>
      <c r="R107" s="140"/>
    </row>
    <row r="108" spans="1:18" ht="12.75">
      <c r="A108" s="239" t="s">
        <v>388</v>
      </c>
      <c r="B108" s="267">
        <f t="shared" si="23"/>
        <v>187740</v>
      </c>
      <c r="C108" s="267"/>
      <c r="D108" s="267"/>
      <c r="E108" s="267"/>
      <c r="F108" s="267"/>
      <c r="G108" s="267">
        <f>'RE Grants and Financing'!F35</f>
        <v>187740</v>
      </c>
      <c r="H108" s="267">
        <f>'RE Grants and Financing'!G51</f>
        <v>197965</v>
      </c>
      <c r="I108" s="267">
        <f>'RE Grants and Financing'!H51</f>
        <v>864240</v>
      </c>
      <c r="J108" s="267">
        <f>'RE Grants and Financing'!I51</f>
        <v>174240</v>
      </c>
      <c r="K108" s="267">
        <f>'RE Grants and Financing'!J51</f>
        <v>0</v>
      </c>
      <c r="L108" s="267">
        <f>'RE Grants and Financing'!K51</f>
        <v>0</v>
      </c>
      <c r="M108" s="267"/>
      <c r="N108" s="267"/>
      <c r="O108" s="151"/>
      <c r="P108" s="140"/>
      <c r="Q108" s="140"/>
      <c r="R108" s="140"/>
    </row>
    <row r="109" spans="1:18" ht="12.75">
      <c r="A109" s="14" t="s">
        <v>1</v>
      </c>
      <c r="B109" s="269">
        <f t="shared" si="23"/>
        <v>1676116</v>
      </c>
      <c r="C109" s="269"/>
      <c r="D109" s="269"/>
      <c r="E109" s="269"/>
      <c r="F109" s="269"/>
      <c r="G109" s="269">
        <f aca="true" t="shared" si="24" ref="G109:L109">SUM(G104:G108)</f>
        <v>1676116</v>
      </c>
      <c r="H109" s="269">
        <f t="shared" si="24"/>
        <v>904290</v>
      </c>
      <c r="I109" s="269">
        <f t="shared" si="24"/>
        <v>1379370</v>
      </c>
      <c r="J109" s="269">
        <f t="shared" si="24"/>
        <v>1459488</v>
      </c>
      <c r="K109" s="269">
        <f t="shared" si="24"/>
        <v>2777866</v>
      </c>
      <c r="L109" s="269">
        <f t="shared" si="24"/>
        <v>5983940</v>
      </c>
      <c r="M109" s="269">
        <f>SUM(M104:M108)</f>
        <v>14654581</v>
      </c>
      <c r="N109" s="269">
        <f>SUM(N104:N108)</f>
        <v>14680358</v>
      </c>
      <c r="O109" s="144"/>
      <c r="P109" s="142"/>
      <c r="Q109" s="140"/>
      <c r="R109" s="140"/>
    </row>
    <row r="110" spans="1:18" ht="12.75">
      <c r="A110" s="2" t="s">
        <v>356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O110" s="75"/>
      <c r="P110" s="140"/>
      <c r="Q110" s="140"/>
      <c r="R110" s="140"/>
    </row>
    <row r="111" spans="3:18" ht="12.7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O111" s="140"/>
      <c r="P111" s="140"/>
      <c r="Q111" s="140"/>
      <c r="R111" s="140"/>
    </row>
    <row r="113" ht="14.25">
      <c r="A113" s="88" t="s">
        <v>438</v>
      </c>
    </row>
  </sheetData>
  <sheetProtection/>
  <mergeCells count="1">
    <mergeCell ref="A1:O1"/>
  </mergeCells>
  <printOptions/>
  <pageMargins left="0.55" right="0.57" top="0.51" bottom="0.55" header="0.47" footer="0.26"/>
  <pageSetup horizontalDpi="600" verticalDpi="600" orientation="landscape" scale="75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5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56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35.7109375" style="0" customWidth="1"/>
    <col min="2" max="2" width="12.57421875" style="0" bestFit="1" customWidth="1"/>
    <col min="3" max="7" width="9.7109375" style="0" hidden="1" customWidth="1"/>
    <col min="8" max="14" width="9.7109375" style="0" customWidth="1"/>
    <col min="15" max="15" width="10.7109375" style="0" customWidth="1"/>
    <col min="16" max="16" width="12.00390625" style="0" customWidth="1"/>
  </cols>
  <sheetData>
    <row r="1" spans="1:15" ht="15.75">
      <c r="A1" s="380" t="s">
        <v>300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2" ht="15">
      <c r="A2" s="112"/>
      <c r="B2" s="112"/>
    </row>
    <row r="3" spans="1:16" ht="25.5">
      <c r="A3" s="1" t="s">
        <v>210</v>
      </c>
      <c r="B3" s="82" t="s">
        <v>354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25">
        <v>2010</v>
      </c>
      <c r="M3" s="25">
        <v>2011</v>
      </c>
      <c r="N3" s="128" t="s">
        <v>423</v>
      </c>
      <c r="O3" s="82" t="s">
        <v>425</v>
      </c>
      <c r="P3" s="82"/>
    </row>
    <row r="4" spans="1:15" ht="12.75">
      <c r="A4" s="220" t="s">
        <v>81</v>
      </c>
      <c r="B4" s="265">
        <f>SUM(C4:G4)</f>
        <v>129021</v>
      </c>
      <c r="C4" s="265">
        <f>'Res HVAC'!C20</f>
        <v>23388</v>
      </c>
      <c r="D4" s="265">
        <f>'Res HVAC'!D20</f>
        <v>26992</v>
      </c>
      <c r="E4" s="265">
        <f>'Res HVAC'!E20</f>
        <v>24786</v>
      </c>
      <c r="F4" s="265">
        <f>'Res HVAC'!F20</f>
        <v>26345</v>
      </c>
      <c r="G4" s="265">
        <f>'Res HVAC'!G20</f>
        <v>27510</v>
      </c>
      <c r="H4" s="265">
        <f>'Res HVAC'!H20</f>
        <v>26379</v>
      </c>
      <c r="I4" s="265">
        <v>25740</v>
      </c>
      <c r="J4" s="265">
        <f>'Res HVAC'!J20</f>
        <v>24066</v>
      </c>
      <c r="K4" s="265">
        <f>'Res HVAC'!K20</f>
        <v>21282</v>
      </c>
      <c r="L4" s="265">
        <f>'Res HVAC'!L20</f>
        <v>31287</v>
      </c>
      <c r="M4" s="265">
        <f>'Res HVAC'!M20</f>
        <v>39960</v>
      </c>
      <c r="N4" s="265">
        <f>'Res HVAC'!N20</f>
        <v>40007</v>
      </c>
      <c r="O4" s="265">
        <f>SUM(C4:N4)</f>
        <v>337742</v>
      </c>
    </row>
    <row r="5" spans="1:15" ht="12.75">
      <c r="A5" s="220" t="s">
        <v>82</v>
      </c>
      <c r="B5" s="265">
        <f aca="true" t="shared" si="0" ref="B5:B24">SUM(C5:G5)</f>
        <v>20800</v>
      </c>
      <c r="C5" s="265">
        <f>RNC!C16</f>
        <v>0</v>
      </c>
      <c r="D5" s="265">
        <f>RNC!D16</f>
        <v>1881</v>
      </c>
      <c r="E5" s="265">
        <f>RNC!E16</f>
        <v>4936</v>
      </c>
      <c r="F5" s="265">
        <f>RNC!F16</f>
        <v>5974</v>
      </c>
      <c r="G5" s="265">
        <f>RNC!G16</f>
        <v>8009</v>
      </c>
      <c r="H5" s="265">
        <f>RNC!H16</f>
        <v>5509</v>
      </c>
      <c r="I5" s="265">
        <f>RNC!I16</f>
        <v>6180</v>
      </c>
      <c r="J5" s="265">
        <f>RNC!J16</f>
        <v>4012</v>
      </c>
      <c r="K5" s="265">
        <f>RNC!K16</f>
        <v>3236</v>
      </c>
      <c r="L5" s="265">
        <f>RNC!L16</f>
        <v>4437</v>
      </c>
      <c r="M5" s="265">
        <f>RNC!M16</f>
        <v>3905</v>
      </c>
      <c r="N5" s="265">
        <f>RNC!N16</f>
        <v>4881</v>
      </c>
      <c r="O5" s="265">
        <f>SUM(C5:N5)</f>
        <v>52960</v>
      </c>
    </row>
    <row r="6" spans="1:15" ht="12.75">
      <c r="A6" s="220" t="s">
        <v>83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12.75">
      <c r="A7" s="220" t="s">
        <v>84</v>
      </c>
      <c r="B7" s="265">
        <f t="shared" si="0"/>
        <v>64515</v>
      </c>
      <c r="C7" s="265">
        <f>'Energy Star'!C34</f>
        <v>0</v>
      </c>
      <c r="D7" s="265">
        <f>'Energy Star'!D34</f>
        <v>0</v>
      </c>
      <c r="E7" s="265">
        <f>'Energy Star'!E34</f>
        <v>25387</v>
      </c>
      <c r="F7" s="265">
        <f>'Energy Star'!F34</f>
        <v>24420</v>
      </c>
      <c r="G7" s="265">
        <f>'Energy Star'!G34</f>
        <v>14708</v>
      </c>
      <c r="H7" s="265">
        <f>'Energy Star'!H34</f>
        <v>9607</v>
      </c>
      <c r="I7" s="265">
        <f>'Energy Star'!I34</f>
        <v>13602</v>
      </c>
      <c r="J7" s="265">
        <f>'Energy Star'!J34</f>
        <v>13691</v>
      </c>
      <c r="K7" s="265">
        <f>'Energy Star'!K34</f>
        <v>7528</v>
      </c>
      <c r="L7" s="265">
        <f>'Energy Star'!L34</f>
        <v>11322</v>
      </c>
      <c r="M7" s="265">
        <f>'Energy Star'!M34</f>
        <v>0</v>
      </c>
      <c r="N7" s="265">
        <f>'Energy Star'!N34</f>
        <v>0</v>
      </c>
      <c r="O7" s="265">
        <f aca="true" t="shared" si="1" ref="O7:O24">SUM(C7:N7)</f>
        <v>120265</v>
      </c>
    </row>
    <row r="8" spans="1:15" ht="12.75">
      <c r="A8" s="220" t="s">
        <v>86</v>
      </c>
      <c r="B8" s="265">
        <f t="shared" si="0"/>
        <v>70281</v>
      </c>
      <c r="C8" s="265">
        <f>'Energy Star'!C37</f>
        <v>7223</v>
      </c>
      <c r="D8" s="265">
        <f>'Energy Star'!D37</f>
        <v>14678</v>
      </c>
      <c r="E8" s="265">
        <f>'Energy Star'!E37</f>
        <v>8762</v>
      </c>
      <c r="F8" s="265">
        <f>'Energy Star'!F37</f>
        <v>11748</v>
      </c>
      <c r="G8" s="265">
        <f>'Energy Star'!G37</f>
        <v>27870</v>
      </c>
      <c r="H8" s="265">
        <f>'Energy Star'!H37</f>
        <v>19979</v>
      </c>
      <c r="I8" s="265">
        <f>'Energy Star'!I37</f>
        <v>7576</v>
      </c>
      <c r="J8" s="265">
        <f>'Energy Star'!J37</f>
        <v>13464</v>
      </c>
      <c r="K8" s="265">
        <f>'Energy Star'!K37</f>
        <v>5836</v>
      </c>
      <c r="L8" s="265">
        <f>'Energy Star'!L37</f>
        <v>0</v>
      </c>
      <c r="M8" s="265">
        <f>'Energy Star'!M37</f>
        <v>0</v>
      </c>
      <c r="N8" s="265">
        <f>'Energy Star'!N37</f>
        <v>0</v>
      </c>
      <c r="O8" s="265">
        <f t="shared" si="1"/>
        <v>117136</v>
      </c>
    </row>
    <row r="9" spans="1:15" ht="12.75">
      <c r="A9" s="220" t="s">
        <v>219</v>
      </c>
      <c r="B9" s="265">
        <f t="shared" si="0"/>
        <v>0</v>
      </c>
      <c r="C9" s="265"/>
      <c r="D9" s="265"/>
      <c r="E9" s="265"/>
      <c r="F9" s="265"/>
      <c r="G9" s="265"/>
      <c r="H9" s="265"/>
      <c r="I9" s="265">
        <f>'Energy Star'!I35</f>
        <v>1833</v>
      </c>
      <c r="J9" s="265">
        <f>'Energy Star'!J35</f>
        <v>22761</v>
      </c>
      <c r="K9" s="265">
        <f>'Energy Star'!K35</f>
        <v>25424</v>
      </c>
      <c r="L9" s="265">
        <f>'Energy Star'!L35</f>
        <v>28919</v>
      </c>
      <c r="M9" s="265">
        <f>'Energy Star'!M35</f>
        <v>32202</v>
      </c>
      <c r="N9" s="265">
        <f>'Energy Star'!N35</f>
        <v>27518</v>
      </c>
      <c r="O9" s="265">
        <f t="shared" si="1"/>
        <v>138657</v>
      </c>
    </row>
    <row r="10" spans="1:15" ht="12.75">
      <c r="A10" s="188" t="s">
        <v>235</v>
      </c>
      <c r="B10" s="265">
        <f t="shared" si="0"/>
        <v>0</v>
      </c>
      <c r="C10" s="265"/>
      <c r="D10" s="265"/>
      <c r="E10" s="265"/>
      <c r="F10" s="265"/>
      <c r="G10" s="265"/>
      <c r="H10" s="265"/>
      <c r="I10" s="265"/>
      <c r="J10" s="265">
        <f>'Energy Star'!J38</f>
        <v>5380</v>
      </c>
      <c r="K10" s="265">
        <f>'Energy Star'!K38</f>
        <v>8017</v>
      </c>
      <c r="L10" s="265">
        <f>'Energy Star'!L38</f>
        <v>5833</v>
      </c>
      <c r="M10" s="265">
        <f>'Energy Star'!M38</f>
        <v>0</v>
      </c>
      <c r="N10" s="265">
        <f>'Energy Star'!N38</f>
        <v>0</v>
      </c>
      <c r="O10" s="265">
        <f t="shared" si="1"/>
        <v>19230</v>
      </c>
    </row>
    <row r="11" spans="1:15" ht="12.75">
      <c r="A11" s="188" t="s">
        <v>246</v>
      </c>
      <c r="B11" s="265">
        <f t="shared" si="0"/>
        <v>0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>
        <f>'Energy Star'!L39</f>
        <v>16275</v>
      </c>
      <c r="M11" s="265">
        <f>'Energy Star'!M39</f>
        <v>15769</v>
      </c>
      <c r="N11" s="265">
        <f>'Energy Star'!N39</f>
        <v>18579</v>
      </c>
      <c r="O11" s="265">
        <f t="shared" si="1"/>
        <v>50623</v>
      </c>
    </row>
    <row r="12" spans="1:15" ht="12.75">
      <c r="A12" s="188" t="s">
        <v>307</v>
      </c>
      <c r="B12" s="265">
        <f t="shared" si="0"/>
        <v>0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>
        <f>'Energy Star'!L40</f>
        <v>42942</v>
      </c>
      <c r="M12" s="265">
        <f>'Energy Star'!M40</f>
        <v>93930</v>
      </c>
      <c r="N12" s="265">
        <f>'Energy Star'!N40</f>
        <v>85977</v>
      </c>
      <c r="O12" s="265">
        <f t="shared" si="1"/>
        <v>222849</v>
      </c>
    </row>
    <row r="13" spans="1:15" ht="12.75">
      <c r="A13" s="220" t="s">
        <v>197</v>
      </c>
      <c r="B13" s="265">
        <f t="shared" si="0"/>
        <v>0</v>
      </c>
      <c r="C13" s="265"/>
      <c r="D13" s="265"/>
      <c r="E13" s="265"/>
      <c r="F13" s="265"/>
      <c r="G13" s="265"/>
      <c r="H13" s="265">
        <f>'Home Perf'!B20</f>
        <v>3</v>
      </c>
      <c r="I13" s="265">
        <f>'Home Perf'!C20</f>
        <v>20</v>
      </c>
      <c r="J13" s="265">
        <f>'Home Perf'!D20</f>
        <v>163</v>
      </c>
      <c r="K13" s="265">
        <f>'Home Perf'!E20</f>
        <v>3310</v>
      </c>
      <c r="L13" s="265">
        <f>'Home Perf'!F20</f>
        <v>3245</v>
      </c>
      <c r="M13" s="265">
        <f>'Home Perf'!G20</f>
        <v>2584</v>
      </c>
      <c r="N13" s="265">
        <f>'Home Perf'!H20</f>
        <v>5772</v>
      </c>
      <c r="O13" s="265">
        <f t="shared" si="1"/>
        <v>15097</v>
      </c>
    </row>
    <row r="14" spans="1:15" ht="12.75">
      <c r="A14" s="220" t="s">
        <v>87</v>
      </c>
      <c r="B14" s="265">
        <f t="shared" si="0"/>
        <v>31555</v>
      </c>
      <c r="C14" s="265">
        <f>'Low-income'!C26</f>
        <v>5848</v>
      </c>
      <c r="D14" s="265">
        <f>'Low-income'!D26</f>
        <v>5937</v>
      </c>
      <c r="E14" s="265">
        <f>'Low-income'!E26</f>
        <v>6661</v>
      </c>
      <c r="F14" s="265">
        <f>'Low-income'!F26</f>
        <v>6706</v>
      </c>
      <c r="G14" s="265">
        <f>'Low-income'!G26</f>
        <v>6403</v>
      </c>
      <c r="H14" s="265">
        <f>'Low-income'!H26</f>
        <v>8552</v>
      </c>
      <c r="I14" s="265">
        <f>'Low-income'!I26</f>
        <v>8484</v>
      </c>
      <c r="J14" s="265">
        <f>'Low-income'!J26</f>
        <v>7239</v>
      </c>
      <c r="K14" s="265">
        <f>'Low-income'!K26</f>
        <v>7779</v>
      </c>
      <c r="L14" s="265">
        <f>'Low-income'!L26</f>
        <v>6814</v>
      </c>
      <c r="M14" s="265">
        <f>'Low-income'!M26</f>
        <v>7054</v>
      </c>
      <c r="N14" s="265">
        <f>'Low-income'!N26</f>
        <v>11760</v>
      </c>
      <c r="O14" s="265">
        <f t="shared" si="1"/>
        <v>89237</v>
      </c>
    </row>
    <row r="15" spans="1:15" ht="12.75">
      <c r="A15" s="220" t="s">
        <v>177</v>
      </c>
      <c r="B15" s="265">
        <f t="shared" si="0"/>
        <v>0</v>
      </c>
      <c r="C15" s="265"/>
      <c r="D15" s="265"/>
      <c r="E15" s="265"/>
      <c r="F15" s="265"/>
      <c r="G15" s="265"/>
      <c r="H15" s="265"/>
      <c r="I15" s="265">
        <v>15917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f t="shared" si="1"/>
        <v>15917</v>
      </c>
    </row>
    <row r="16" spans="1:17" ht="12.75">
      <c r="A16" s="29" t="s">
        <v>88</v>
      </c>
      <c r="B16" s="269">
        <f t="shared" si="0"/>
        <v>316172</v>
      </c>
      <c r="C16" s="269">
        <f aca="true" t="shared" si="2" ref="C16:L16">SUM(C4:C15)</f>
        <v>36459</v>
      </c>
      <c r="D16" s="269">
        <f t="shared" si="2"/>
        <v>49488</v>
      </c>
      <c r="E16" s="269">
        <f t="shared" si="2"/>
        <v>70532</v>
      </c>
      <c r="F16" s="269">
        <f t="shared" si="2"/>
        <v>75193</v>
      </c>
      <c r="G16" s="269">
        <f t="shared" si="2"/>
        <v>84500</v>
      </c>
      <c r="H16" s="269">
        <f t="shared" si="2"/>
        <v>70029</v>
      </c>
      <c r="I16" s="269">
        <f t="shared" si="2"/>
        <v>79352</v>
      </c>
      <c r="J16" s="269">
        <f t="shared" si="2"/>
        <v>90776</v>
      </c>
      <c r="K16" s="269">
        <f t="shared" si="2"/>
        <v>82412</v>
      </c>
      <c r="L16" s="269">
        <f t="shared" si="2"/>
        <v>151074</v>
      </c>
      <c r="M16" s="269">
        <f>SUM(M4:M15)</f>
        <v>195404</v>
      </c>
      <c r="N16" s="269">
        <f>SUM(N4:N15)</f>
        <v>194494</v>
      </c>
      <c r="O16" s="269">
        <f t="shared" si="1"/>
        <v>1179713</v>
      </c>
      <c r="P16" s="157"/>
      <c r="Q16" s="140"/>
    </row>
    <row r="17" spans="1:17" ht="12.75">
      <c r="A17" s="220" t="s">
        <v>265</v>
      </c>
      <c r="B17" s="268">
        <f t="shared" si="0"/>
        <v>21392</v>
      </c>
      <c r="C17" s="266">
        <f>'C&amp;I'!C36</f>
        <v>1650</v>
      </c>
      <c r="D17" s="266">
        <f>'C&amp;I'!D36</f>
        <v>9163</v>
      </c>
      <c r="E17" s="266">
        <f>'C&amp;I'!E36</f>
        <v>4209</v>
      </c>
      <c r="F17" s="266">
        <f>'C&amp;I'!F36</f>
        <v>3983</v>
      </c>
      <c r="G17" s="268">
        <f>'C&amp;I'!G36</f>
        <v>2387</v>
      </c>
      <c r="H17" s="268">
        <f>'C&amp;I'!H36</f>
        <v>2094</v>
      </c>
      <c r="I17" s="268">
        <f>'C&amp;I'!I36</f>
        <v>1297</v>
      </c>
      <c r="J17" s="268">
        <f>'C&amp;I'!J36</f>
        <v>1401</v>
      </c>
      <c r="K17" s="268">
        <f>'C&amp;I'!K36</f>
        <v>1607</v>
      </c>
      <c r="L17" s="268">
        <f>'C&amp;I'!L36</f>
        <v>1985</v>
      </c>
      <c r="M17" s="268">
        <f>'C&amp;I'!M36</f>
        <v>1854</v>
      </c>
      <c r="N17" s="268">
        <f>'C&amp;I'!N36</f>
        <v>3630</v>
      </c>
      <c r="O17" s="267">
        <f t="shared" si="1"/>
        <v>35260</v>
      </c>
      <c r="P17" s="140"/>
      <c r="Q17" s="140"/>
    </row>
    <row r="18" spans="1:17" ht="12.75">
      <c r="A18" s="220" t="s">
        <v>263</v>
      </c>
      <c r="B18" s="268">
        <f t="shared" si="0"/>
        <v>0</v>
      </c>
      <c r="C18" s="278"/>
      <c r="D18" s="278"/>
      <c r="E18" s="278"/>
      <c r="F18" s="278"/>
      <c r="G18" s="269"/>
      <c r="H18" s="269"/>
      <c r="I18" s="269"/>
      <c r="J18" s="268">
        <f>LGEA!B12</f>
        <v>30</v>
      </c>
      <c r="K18" s="268">
        <f>LGEA!C12</f>
        <v>352</v>
      </c>
      <c r="L18" s="268">
        <f>LGEA!D12</f>
        <v>965</v>
      </c>
      <c r="M18" s="268">
        <f>LGEA!E12</f>
        <v>358</v>
      </c>
      <c r="N18" s="268">
        <f>LGEA!F13</f>
        <v>534</v>
      </c>
      <c r="O18" s="267">
        <f t="shared" si="1"/>
        <v>2239</v>
      </c>
      <c r="P18" s="140"/>
      <c r="Q18" s="140"/>
    </row>
    <row r="19" spans="1:17" ht="12.75">
      <c r="A19" s="220" t="s">
        <v>96</v>
      </c>
      <c r="B19" s="268">
        <f t="shared" si="0"/>
        <v>0</v>
      </c>
      <c r="C19" s="278"/>
      <c r="D19" s="278"/>
      <c r="E19" s="278"/>
      <c r="F19" s="278"/>
      <c r="G19" s="269" t="s">
        <v>103</v>
      </c>
      <c r="H19" s="269"/>
      <c r="I19" s="269"/>
      <c r="J19" s="268">
        <f>'P4P '!G12</f>
        <v>0</v>
      </c>
      <c r="K19" s="268">
        <f>'P4P '!H12</f>
        <v>4</v>
      </c>
      <c r="L19" s="268">
        <f>'P4P '!I12</f>
        <v>24</v>
      </c>
      <c r="M19" s="268">
        <f>'P4P '!J12</f>
        <v>51</v>
      </c>
      <c r="N19" s="268">
        <f>'P4P '!K12</f>
        <v>68</v>
      </c>
      <c r="O19" s="267">
        <f t="shared" si="1"/>
        <v>147</v>
      </c>
      <c r="P19" s="151"/>
      <c r="Q19" s="140"/>
    </row>
    <row r="20" spans="1:17" ht="12.75">
      <c r="A20" s="220" t="s">
        <v>290</v>
      </c>
      <c r="B20" s="268">
        <f t="shared" si="0"/>
        <v>0</v>
      </c>
      <c r="C20" s="278"/>
      <c r="D20" s="278"/>
      <c r="E20" s="278"/>
      <c r="F20" s="278"/>
      <c r="G20" s="269"/>
      <c r="H20" s="269"/>
      <c r="I20" s="269"/>
      <c r="J20" s="269"/>
      <c r="K20" s="268"/>
      <c r="L20" s="268">
        <f>'P4P NC'!B12</f>
        <v>0</v>
      </c>
      <c r="M20" s="268">
        <f>'P4P NC'!C12</f>
        <v>6</v>
      </c>
      <c r="N20" s="268">
        <f>'P4P NC'!D12</f>
        <v>10</v>
      </c>
      <c r="O20" s="267">
        <f t="shared" si="1"/>
        <v>16</v>
      </c>
      <c r="P20" s="151"/>
      <c r="Q20" s="140"/>
    </row>
    <row r="21" spans="1:17" ht="12.75">
      <c r="A21" s="220" t="s">
        <v>229</v>
      </c>
      <c r="B21" s="268">
        <f t="shared" si="0"/>
        <v>0</v>
      </c>
      <c r="C21" s="278"/>
      <c r="D21" s="278"/>
      <c r="E21" s="278"/>
      <c r="F21" s="278"/>
      <c r="G21" s="269"/>
      <c r="H21" s="269"/>
      <c r="I21" s="269"/>
      <c r="J21" s="269"/>
      <c r="K21" s="268"/>
      <c r="L21" s="268">
        <f>'Direct Install'!D12</f>
        <v>162</v>
      </c>
      <c r="M21" s="268">
        <f>'Direct Install'!E12</f>
        <v>1325</v>
      </c>
      <c r="N21" s="268">
        <f>'Direct Install'!F12</f>
        <v>2084</v>
      </c>
      <c r="O21" s="267">
        <f t="shared" si="1"/>
        <v>3571</v>
      </c>
      <c r="P21" s="140"/>
      <c r="Q21" s="140"/>
    </row>
    <row r="22" spans="1:17" ht="12.75">
      <c r="A22" s="188" t="s">
        <v>412</v>
      </c>
      <c r="B22" s="268"/>
      <c r="C22" s="278"/>
      <c r="D22" s="278"/>
      <c r="E22" s="278"/>
      <c r="F22" s="278"/>
      <c r="G22" s="269"/>
      <c r="H22" s="269"/>
      <c r="I22" s="269"/>
      <c r="J22" s="269"/>
      <c r="K22" s="268"/>
      <c r="L22" s="268"/>
      <c r="M22" s="268"/>
      <c r="N22" s="268">
        <f>LEUP!C12</f>
        <v>0</v>
      </c>
      <c r="O22" s="267">
        <f t="shared" si="1"/>
        <v>0</v>
      </c>
      <c r="P22" s="140"/>
      <c r="Q22" s="140"/>
    </row>
    <row r="23" spans="1:17" ht="12.75">
      <c r="A23" s="29" t="s">
        <v>264</v>
      </c>
      <c r="B23" s="269">
        <f t="shared" si="0"/>
        <v>21392</v>
      </c>
      <c r="C23" s="269">
        <f>SUM(C17:C21)</f>
        <v>1650</v>
      </c>
      <c r="D23" s="269">
        <f>SUM(D17:D21)</f>
        <v>9163</v>
      </c>
      <c r="E23" s="269">
        <f>SUM(E17:E21)</f>
        <v>4209</v>
      </c>
      <c r="F23" s="269">
        <f>SUM(F17:F21)</f>
        <v>3983</v>
      </c>
      <c r="G23" s="269">
        <f>SUM(G17:G21)</f>
        <v>2387</v>
      </c>
      <c r="H23" s="269">
        <f aca="true" t="shared" si="3" ref="H23:M23">SUM(H17:H22)</f>
        <v>2094</v>
      </c>
      <c r="I23" s="269">
        <f t="shared" si="3"/>
        <v>1297</v>
      </c>
      <c r="J23" s="269">
        <f t="shared" si="3"/>
        <v>1431</v>
      </c>
      <c r="K23" s="269">
        <f t="shared" si="3"/>
        <v>1963</v>
      </c>
      <c r="L23" s="269">
        <f t="shared" si="3"/>
        <v>3136</v>
      </c>
      <c r="M23" s="269">
        <f t="shared" si="3"/>
        <v>3594</v>
      </c>
      <c r="N23" s="269">
        <f>SUM(N17:N22)</f>
        <v>6326</v>
      </c>
      <c r="O23" s="269">
        <f t="shared" si="1"/>
        <v>41233</v>
      </c>
      <c r="P23" s="160"/>
      <c r="Q23" s="140"/>
    </row>
    <row r="24" spans="1:17" ht="12.75">
      <c r="A24" s="29" t="s">
        <v>90</v>
      </c>
      <c r="B24" s="269">
        <f t="shared" si="0"/>
        <v>337564</v>
      </c>
      <c r="C24" s="278">
        <f>C23+C16</f>
        <v>38109</v>
      </c>
      <c r="D24" s="278">
        <f aca="true" t="shared" si="4" ref="D24:K24">D23+D16</f>
        <v>58651</v>
      </c>
      <c r="E24" s="278">
        <f t="shared" si="4"/>
        <v>74741</v>
      </c>
      <c r="F24" s="278">
        <f t="shared" si="4"/>
        <v>79176</v>
      </c>
      <c r="G24" s="269">
        <f t="shared" si="4"/>
        <v>86887</v>
      </c>
      <c r="H24" s="269">
        <f t="shared" si="4"/>
        <v>72123</v>
      </c>
      <c r="I24" s="269">
        <f t="shared" si="4"/>
        <v>80649</v>
      </c>
      <c r="J24" s="269">
        <f t="shared" si="4"/>
        <v>92207</v>
      </c>
      <c r="K24" s="269">
        <f t="shared" si="4"/>
        <v>84375</v>
      </c>
      <c r="L24" s="269">
        <f>L23+L16</f>
        <v>154210</v>
      </c>
      <c r="M24" s="269">
        <f>M23+M16</f>
        <v>198998</v>
      </c>
      <c r="N24" s="269">
        <f>N23+N16</f>
        <v>200820</v>
      </c>
      <c r="O24" s="269">
        <f t="shared" si="1"/>
        <v>1220946</v>
      </c>
      <c r="P24" s="142"/>
      <c r="Q24" s="140"/>
    </row>
    <row r="25" spans="2:17" ht="12.75">
      <c r="B25" s="141"/>
      <c r="C25" s="103"/>
      <c r="D25" s="103"/>
      <c r="E25" s="103"/>
      <c r="F25" s="103"/>
      <c r="G25" s="141"/>
      <c r="H25" s="141"/>
      <c r="I25" s="141"/>
      <c r="J25" s="141"/>
      <c r="K25" s="141"/>
      <c r="L25" s="141"/>
      <c r="M25" s="141"/>
      <c r="N25" s="141"/>
      <c r="O25" s="141"/>
      <c r="P25" s="140"/>
      <c r="Q25" s="140"/>
    </row>
    <row r="26" spans="1:17" ht="12.75">
      <c r="A26" s="18" t="s">
        <v>208</v>
      </c>
      <c r="B26" s="268">
        <f>SUM(C26:G26)</f>
        <v>2</v>
      </c>
      <c r="C26" s="266">
        <f>CHP!C15</f>
        <v>0</v>
      </c>
      <c r="D26" s="266">
        <f>CHP!D15</f>
        <v>0</v>
      </c>
      <c r="E26" s="266">
        <f>CHP!E15</f>
        <v>0</v>
      </c>
      <c r="F26" s="266">
        <f>CHP!F15</f>
        <v>0</v>
      </c>
      <c r="G26" s="268">
        <f>CHP!G15</f>
        <v>2</v>
      </c>
      <c r="H26" s="268">
        <f>CHP!H15</f>
        <v>4</v>
      </c>
      <c r="I26" s="268">
        <f>CHP!I15</f>
        <v>5</v>
      </c>
      <c r="J26" s="268">
        <f>CHP!J15</f>
        <v>4</v>
      </c>
      <c r="K26" s="268">
        <f>CHP!K15</f>
        <v>1</v>
      </c>
      <c r="L26" s="268">
        <f>CHP!L15</f>
        <v>6</v>
      </c>
      <c r="M26" s="268">
        <f>CHP!M15</f>
        <v>0</v>
      </c>
      <c r="N26" s="268">
        <f>CHP!N15</f>
        <v>1</v>
      </c>
      <c r="O26" s="267">
        <f>SUM(C26:N26)</f>
        <v>23</v>
      </c>
      <c r="P26" s="142"/>
      <c r="Q26" s="140"/>
    </row>
    <row r="27" spans="2:17" ht="12.75">
      <c r="B27" s="146"/>
      <c r="G27" s="140"/>
      <c r="H27" s="140"/>
      <c r="I27" s="146"/>
      <c r="J27" s="146"/>
      <c r="K27" s="146"/>
      <c r="L27" s="146"/>
      <c r="M27" s="146"/>
      <c r="N27" s="146"/>
      <c r="O27" s="140"/>
      <c r="P27" s="140"/>
      <c r="Q27" s="140"/>
    </row>
    <row r="28" spans="1:17" ht="25.5">
      <c r="A28" s="30" t="s">
        <v>209</v>
      </c>
      <c r="B28" s="221" t="str">
        <f>B3</f>
        <v>Summary 
2001 to 2005*</v>
      </c>
      <c r="C28" s="25">
        <v>2001</v>
      </c>
      <c r="D28" s="25">
        <v>2002</v>
      </c>
      <c r="E28" s="25">
        <v>2003</v>
      </c>
      <c r="F28" s="25">
        <v>2004</v>
      </c>
      <c r="G28" s="152">
        <v>2005</v>
      </c>
      <c r="H28" s="152">
        <v>2006</v>
      </c>
      <c r="I28" s="152">
        <v>2007</v>
      </c>
      <c r="J28" s="152">
        <v>2008</v>
      </c>
      <c r="K28" s="152">
        <v>2009</v>
      </c>
      <c r="L28" s="152">
        <v>2010</v>
      </c>
      <c r="M28" s="152">
        <v>2011</v>
      </c>
      <c r="N28" s="360" t="str">
        <f>N3</f>
        <v>(18 month)
2012-2013</v>
      </c>
      <c r="O28" s="221" t="str">
        <f>O3</f>
        <v>Total
2001-2013</v>
      </c>
      <c r="P28" s="140"/>
      <c r="Q28" s="140"/>
    </row>
    <row r="29" spans="1:17" ht="12.75">
      <c r="A29" s="188" t="s">
        <v>111</v>
      </c>
      <c r="B29" s="267">
        <f aca="true" t="shared" si="5" ref="B29:B38">SUM(C29:G29)</f>
        <v>890</v>
      </c>
      <c r="C29" s="265">
        <f>CORE!C14</f>
        <v>6</v>
      </c>
      <c r="D29" s="265">
        <f>CORE!D14</f>
        <v>46</v>
      </c>
      <c r="E29" s="265">
        <f>CORE!E14</f>
        <v>58</v>
      </c>
      <c r="F29" s="265">
        <f>CORE!F14</f>
        <v>284</v>
      </c>
      <c r="G29" s="267">
        <f>CORE!G14</f>
        <v>496</v>
      </c>
      <c r="H29" s="267">
        <f>CORE!H14</f>
        <v>1005</v>
      </c>
      <c r="I29" s="267">
        <v>832</v>
      </c>
      <c r="J29" s="267">
        <f>CORE!J14</f>
        <v>827</v>
      </c>
      <c r="K29" s="267">
        <f>CORE!K14</f>
        <v>509</v>
      </c>
      <c r="L29" s="267">
        <f>CORE!L14</f>
        <v>341</v>
      </c>
      <c r="M29" s="267">
        <f>CORE!M14</f>
        <v>64</v>
      </c>
      <c r="N29" s="267">
        <f>CORE!N14</f>
        <v>17</v>
      </c>
      <c r="O29" s="267">
        <f aca="true" t="shared" si="6" ref="O29:O36">SUM(C29:N29)</f>
        <v>4485</v>
      </c>
      <c r="P29" s="142"/>
      <c r="Q29" s="140"/>
    </row>
    <row r="30" spans="1:17" ht="12.75">
      <c r="A30" s="239" t="s">
        <v>249</v>
      </c>
      <c r="B30" s="267">
        <f t="shared" si="5"/>
        <v>0</v>
      </c>
      <c r="C30" s="265"/>
      <c r="D30" s="265"/>
      <c r="E30" s="265"/>
      <c r="F30" s="265"/>
      <c r="G30" s="267"/>
      <c r="H30" s="267"/>
      <c r="I30" s="267"/>
      <c r="J30" s="267"/>
      <c r="K30" s="267">
        <f>REIP!B12</f>
        <v>263</v>
      </c>
      <c r="L30" s="267">
        <f>REIP!C12</f>
        <v>1506</v>
      </c>
      <c r="M30" s="267">
        <f>REIP!D12</f>
        <v>1703</v>
      </c>
      <c r="N30" s="267">
        <f>REIP!E12</f>
        <v>349</v>
      </c>
      <c r="O30" s="267">
        <f t="shared" si="6"/>
        <v>3821</v>
      </c>
      <c r="P30" s="142"/>
      <c r="Q30" s="140"/>
    </row>
    <row r="31" spans="1:17" ht="12.75">
      <c r="A31" s="239" t="s">
        <v>388</v>
      </c>
      <c r="B31" s="267">
        <f t="shared" si="5"/>
        <v>1</v>
      </c>
      <c r="C31" s="265">
        <f>'RE Grants and Financing'!B24</f>
        <v>0</v>
      </c>
      <c r="D31" s="265">
        <f>'RE Grants and Financing'!C24</f>
        <v>0</v>
      </c>
      <c r="E31" s="265">
        <f>'RE Grants and Financing'!D24</f>
        <v>0</v>
      </c>
      <c r="F31" s="265">
        <f>'RE Grants and Financing'!E24</f>
        <v>0</v>
      </c>
      <c r="G31" s="267">
        <f>'RE Grants and Financing'!F24</f>
        <v>1</v>
      </c>
      <c r="H31" s="267">
        <f>'RE Grants and Financing'!G24</f>
        <v>0</v>
      </c>
      <c r="I31" s="267">
        <f>'RE Grants and Financing'!H24</f>
        <v>3</v>
      </c>
      <c r="J31" s="267">
        <f>'RE Grants and Financing'!I24</f>
        <v>1</v>
      </c>
      <c r="K31" s="267">
        <f>'RE Grants and Financing'!J24</f>
        <v>1</v>
      </c>
      <c r="L31" s="267">
        <f>'RE Grants and Financing'!K24</f>
        <v>1</v>
      </c>
      <c r="M31" s="267"/>
      <c r="N31" s="267"/>
      <c r="O31" s="267">
        <f t="shared" si="6"/>
        <v>7</v>
      </c>
      <c r="P31" s="140"/>
      <c r="Q31" s="140"/>
    </row>
    <row r="32" spans="1:17" ht="12.75">
      <c r="A32" s="239" t="s">
        <v>389</v>
      </c>
      <c r="B32" s="267">
        <f t="shared" si="5"/>
        <v>15</v>
      </c>
      <c r="C32" s="265">
        <f>'RE Business Venture Fin'!B14</f>
        <v>0</v>
      </c>
      <c r="D32" s="265">
        <f>'RE Business Venture Fin'!C14</f>
        <v>0</v>
      </c>
      <c r="E32" s="265">
        <f>'RE Business Venture Fin'!D14</f>
        <v>10</v>
      </c>
      <c r="F32" s="265">
        <f>'RE Business Venture Fin'!E14</f>
        <v>0</v>
      </c>
      <c r="G32" s="267">
        <f>'RE Business Venture Fin'!F14</f>
        <v>5</v>
      </c>
      <c r="H32" s="267">
        <f>'RE Business Venture Fin'!G14</f>
        <v>4</v>
      </c>
      <c r="I32" s="267">
        <f>'RE Business Venture Fin'!H14</f>
        <v>1</v>
      </c>
      <c r="J32" s="267">
        <f>'RE Business Venture Fin'!I14</f>
        <v>1</v>
      </c>
      <c r="K32" s="267">
        <f>'RE Business Venture Fin'!J14</f>
        <v>1</v>
      </c>
      <c r="L32" s="267">
        <f>'RE Business Venture Fin'!K14</f>
        <v>1</v>
      </c>
      <c r="M32" s="267"/>
      <c r="N32" s="267"/>
      <c r="O32" s="267">
        <f t="shared" si="6"/>
        <v>23</v>
      </c>
      <c r="P32" s="140"/>
      <c r="Q32" s="140"/>
    </row>
    <row r="33" spans="1:17" ht="12.75">
      <c r="A33" s="239" t="s">
        <v>390</v>
      </c>
      <c r="B33" s="267">
        <f t="shared" si="5"/>
        <v>0</v>
      </c>
      <c r="C33" s="265"/>
      <c r="D33" s="265"/>
      <c r="E33" s="265"/>
      <c r="F33" s="265"/>
      <c r="G33" s="267"/>
      <c r="H33" s="267"/>
      <c r="I33" s="267">
        <f>REC!B10</f>
        <v>2</v>
      </c>
      <c r="J33" s="267">
        <f>REC!C10</f>
        <v>1023</v>
      </c>
      <c r="K33" s="267">
        <f>REC!D10</f>
        <v>101</v>
      </c>
      <c r="L33" s="267">
        <f>REC!E10</f>
        <v>589</v>
      </c>
      <c r="M33" s="267">
        <f>REC!F10</f>
        <v>4356</v>
      </c>
      <c r="N33" s="267">
        <f>REC!G10</f>
        <v>9056</v>
      </c>
      <c r="O33" s="267">
        <f t="shared" si="6"/>
        <v>15127</v>
      </c>
      <c r="P33" s="140"/>
      <c r="Q33" s="140"/>
    </row>
    <row r="34" spans="1:17" ht="12.75">
      <c r="A34" s="239" t="s">
        <v>391</v>
      </c>
      <c r="B34" s="267">
        <f t="shared" si="5"/>
        <v>0</v>
      </c>
      <c r="C34" s="265"/>
      <c r="D34" s="265"/>
      <c r="E34" s="265"/>
      <c r="F34" s="265"/>
      <c r="G34" s="267"/>
      <c r="H34" s="267"/>
      <c r="I34" s="267"/>
      <c r="J34" s="267"/>
      <c r="K34" s="267">
        <f>EDA!C13</f>
        <v>0</v>
      </c>
      <c r="L34" s="267">
        <f>EDA!D13</f>
        <v>1</v>
      </c>
      <c r="M34" s="267">
        <f>EDA!E13</f>
        <v>3</v>
      </c>
      <c r="N34" s="267">
        <f>EDA!F13</f>
        <v>6</v>
      </c>
      <c r="O34" s="267">
        <f t="shared" si="6"/>
        <v>10</v>
      </c>
      <c r="P34" s="151"/>
      <c r="Q34" s="140"/>
    </row>
    <row r="35" spans="1:17" ht="12.75">
      <c r="A35" s="239" t="s">
        <v>392</v>
      </c>
      <c r="B35" s="267">
        <f t="shared" si="5"/>
        <v>0</v>
      </c>
      <c r="C35" s="265"/>
      <c r="D35" s="265"/>
      <c r="E35" s="265"/>
      <c r="F35" s="265"/>
      <c r="G35" s="267"/>
      <c r="H35" s="267"/>
      <c r="I35" s="267"/>
      <c r="J35" s="267"/>
      <c r="K35" s="267">
        <f>'Edison Inn CEF'!B12</f>
        <v>0</v>
      </c>
      <c r="L35" s="267">
        <f>'Edison Inn CEF'!C12</f>
        <v>0</v>
      </c>
      <c r="M35" s="267">
        <f>'Edison Inn CEF'!D12</f>
        <v>1</v>
      </c>
      <c r="N35" s="267">
        <f>'Edison Inn CEF'!E12</f>
        <v>6</v>
      </c>
      <c r="O35" s="267">
        <f t="shared" si="6"/>
        <v>7</v>
      </c>
      <c r="P35" s="140"/>
      <c r="Q35" s="140"/>
    </row>
    <row r="36" spans="1:17" ht="12.75">
      <c r="A36" s="14" t="s">
        <v>1</v>
      </c>
      <c r="B36" s="269">
        <f t="shared" si="5"/>
        <v>906</v>
      </c>
      <c r="C36" s="265">
        <f>SUM(C29:C33)</f>
        <v>6</v>
      </c>
      <c r="D36" s="265">
        <f>SUM(D29:D33)</f>
        <v>46</v>
      </c>
      <c r="E36" s="265">
        <f>SUM(E29:E33)</f>
        <v>68</v>
      </c>
      <c r="F36" s="265">
        <f>SUM(F29:F33)</f>
        <v>284</v>
      </c>
      <c r="G36" s="269">
        <f>SUM(G29:G35)</f>
        <v>502</v>
      </c>
      <c r="H36" s="269">
        <f aca="true" t="shared" si="7" ref="H36:M36">SUM(H29:H35)</f>
        <v>1009</v>
      </c>
      <c r="I36" s="269">
        <f t="shared" si="7"/>
        <v>838</v>
      </c>
      <c r="J36" s="269">
        <f t="shared" si="7"/>
        <v>1852</v>
      </c>
      <c r="K36" s="269">
        <f t="shared" si="7"/>
        <v>875</v>
      </c>
      <c r="L36" s="269">
        <f t="shared" si="7"/>
        <v>2439</v>
      </c>
      <c r="M36" s="269">
        <f t="shared" si="7"/>
        <v>6127</v>
      </c>
      <c r="N36" s="269">
        <f>SUM(N29:N35)</f>
        <v>9434</v>
      </c>
      <c r="O36" s="269">
        <f t="shared" si="6"/>
        <v>23480</v>
      </c>
      <c r="P36" s="160"/>
      <c r="Q36" s="140"/>
    </row>
    <row r="37" spans="1:17" ht="12.75">
      <c r="A37" s="188" t="s">
        <v>393</v>
      </c>
      <c r="B37" s="267">
        <f t="shared" si="5"/>
        <v>0</v>
      </c>
      <c r="C37" s="265"/>
      <c r="D37" s="265"/>
      <c r="E37" s="265"/>
      <c r="F37" s="265"/>
      <c r="G37" s="267">
        <f>'Clean Power Choice'!B8</f>
        <v>0</v>
      </c>
      <c r="H37" s="267">
        <f>'Clean Power Choice'!C8</f>
        <v>8867</v>
      </c>
      <c r="I37" s="267">
        <f>'Clean Power Choice'!D8</f>
        <v>13473</v>
      </c>
      <c r="J37" s="267">
        <f>'Clean Power Choice'!E8</f>
        <v>14456</v>
      </c>
      <c r="K37" s="267">
        <f>'Clean Power Choice'!F8</f>
        <v>14135</v>
      </c>
      <c r="L37" s="267">
        <f>'Clean Power Choice'!G8</f>
        <v>8933</v>
      </c>
      <c r="M37" s="267">
        <f>'Clean Power Choice'!H8</f>
        <v>10388</v>
      </c>
      <c r="N37" s="267">
        <f>'Clean Power Choice'!I8</f>
        <v>9566</v>
      </c>
      <c r="O37" s="267">
        <f>N37</f>
        <v>9566</v>
      </c>
      <c r="P37" s="160" t="s">
        <v>361</v>
      </c>
      <c r="Q37" s="140"/>
    </row>
    <row r="38" spans="1:17" s="1" customFormat="1" ht="12.75">
      <c r="A38" s="14" t="s">
        <v>214</v>
      </c>
      <c r="B38" s="269">
        <f t="shared" si="5"/>
        <v>906</v>
      </c>
      <c r="C38" s="278">
        <f>C37+C36</f>
        <v>6</v>
      </c>
      <c r="D38" s="278">
        <f aca="true" t="shared" si="8" ref="D38:J38">D37+D36</f>
        <v>46</v>
      </c>
      <c r="E38" s="278">
        <f t="shared" si="8"/>
        <v>68</v>
      </c>
      <c r="F38" s="278">
        <f t="shared" si="8"/>
        <v>284</v>
      </c>
      <c r="G38" s="269">
        <f t="shared" si="8"/>
        <v>502</v>
      </c>
      <c r="H38" s="269">
        <f t="shared" si="8"/>
        <v>9876</v>
      </c>
      <c r="I38" s="269">
        <f t="shared" si="8"/>
        <v>14311</v>
      </c>
      <c r="J38" s="269">
        <f t="shared" si="8"/>
        <v>16308</v>
      </c>
      <c r="K38" s="269">
        <f>K37+K36</f>
        <v>15010</v>
      </c>
      <c r="L38" s="269">
        <f>L37+L36</f>
        <v>11372</v>
      </c>
      <c r="M38" s="269">
        <f>M37+M36</f>
        <v>16515</v>
      </c>
      <c r="N38" s="269">
        <f>N37+N36</f>
        <v>19000</v>
      </c>
      <c r="O38" s="269">
        <f>O36+O37</f>
        <v>33046</v>
      </c>
      <c r="P38" s="160"/>
      <c r="Q38" s="161"/>
    </row>
    <row r="39" spans="1:17" ht="12.75">
      <c r="A39" s="30"/>
      <c r="B39" s="58"/>
      <c r="C39" s="35"/>
      <c r="D39" s="35"/>
      <c r="E39" s="35"/>
      <c r="F39" s="35"/>
      <c r="G39" s="144"/>
      <c r="H39" s="144"/>
      <c r="I39" s="58"/>
      <c r="J39" s="58"/>
      <c r="K39" s="58"/>
      <c r="L39" s="58"/>
      <c r="M39" s="58"/>
      <c r="N39" s="58"/>
      <c r="O39" s="134"/>
      <c r="P39" s="142"/>
      <c r="Q39" s="140"/>
    </row>
    <row r="40" spans="1:17" ht="12.75">
      <c r="A40" s="240" t="s">
        <v>213</v>
      </c>
      <c r="B40" s="268">
        <f>SUM(C40:G40)</f>
        <v>4748564</v>
      </c>
      <c r="C40" s="266">
        <f>'Energy Star'!C44</f>
        <v>0</v>
      </c>
      <c r="D40" s="266">
        <f>'Energy Star'!D44</f>
        <v>0</v>
      </c>
      <c r="E40" s="266">
        <f>'Energy Star'!E44</f>
        <v>1496339</v>
      </c>
      <c r="F40" s="266">
        <f>'Energy Star'!F44</f>
        <v>2014151</v>
      </c>
      <c r="G40" s="268">
        <f>'Energy Star'!G44</f>
        <v>1238074</v>
      </c>
      <c r="H40" s="268">
        <f>'Energy Star'!H44</f>
        <v>0</v>
      </c>
      <c r="I40" s="268">
        <f>'Energy Star'!I44</f>
        <v>3162034</v>
      </c>
      <c r="J40" s="268">
        <f>'Energy Star'!J44</f>
        <v>4399641</v>
      </c>
      <c r="K40" s="268">
        <f>'Energy Star'!K44</f>
        <v>6643677</v>
      </c>
      <c r="L40" s="268">
        <f>'Energy Star'!L44</f>
        <v>3986463</v>
      </c>
      <c r="M40" s="268">
        <f>'Energy Star'!M44</f>
        <v>5269102</v>
      </c>
      <c r="N40" s="268">
        <f>'Energy Star'!N44</f>
        <v>7751359</v>
      </c>
      <c r="O40" s="268">
        <f>SUM(C40:N40)</f>
        <v>35960840</v>
      </c>
      <c r="P40" s="142"/>
      <c r="Q40" s="140"/>
    </row>
    <row r="41" spans="1:17" ht="12.75">
      <c r="A41" s="240" t="s">
        <v>154</v>
      </c>
      <c r="B41" s="268">
        <f>SUM(C41:G41)</f>
        <v>8553</v>
      </c>
      <c r="C41" s="266">
        <v>0</v>
      </c>
      <c r="D41" s="266">
        <v>0</v>
      </c>
      <c r="E41" s="266">
        <f>'Cool Cities'!B15</f>
        <v>2216</v>
      </c>
      <c r="F41" s="266">
        <f>'Cool Cities'!C15</f>
        <v>1487</v>
      </c>
      <c r="G41" s="268">
        <f>'Cool Cities'!D15</f>
        <v>4850</v>
      </c>
      <c r="H41" s="268">
        <f>'Cool Cities'!E15</f>
        <v>2004</v>
      </c>
      <c r="I41" s="268">
        <f>'Cool Cities'!F15</f>
        <v>1978</v>
      </c>
      <c r="J41" s="268">
        <f>'Cool Cities'!G15</f>
        <v>8982</v>
      </c>
      <c r="K41" s="268">
        <f>'Cool Cities'!H15</f>
        <v>11256</v>
      </c>
      <c r="L41" s="268"/>
      <c r="M41" s="268"/>
      <c r="N41" s="268"/>
      <c r="O41" s="268">
        <f>SUM(C41:N41)</f>
        <v>32773</v>
      </c>
      <c r="P41" s="142"/>
      <c r="Q41" s="140"/>
    </row>
    <row r="42" spans="1:17" ht="12.75">
      <c r="A42" s="83"/>
      <c r="B42" s="58"/>
      <c r="C42" s="44"/>
      <c r="D42" s="44"/>
      <c r="E42" s="44"/>
      <c r="F42" s="44"/>
      <c r="G42" s="58"/>
      <c r="H42" s="58"/>
      <c r="I42" s="58"/>
      <c r="J42" s="58"/>
      <c r="K42" s="58"/>
      <c r="L42" s="58"/>
      <c r="M42" s="58"/>
      <c r="N42" s="58"/>
      <c r="O42" s="58"/>
      <c r="P42" s="142"/>
      <c r="Q42" s="140"/>
    </row>
    <row r="43" spans="1:14" ht="15.75">
      <c r="A43" s="56" t="s">
        <v>211</v>
      </c>
      <c r="B43" s="3"/>
      <c r="I43" s="3"/>
      <c r="J43" s="3"/>
      <c r="K43" s="3"/>
      <c r="L43" s="3"/>
      <c r="M43" s="3"/>
      <c r="N43" s="3"/>
    </row>
    <row r="44" spans="1:15" ht="12.75">
      <c r="A44" s="220" t="s">
        <v>82</v>
      </c>
      <c r="B44" s="265">
        <f>SUM(C44:G44)</f>
        <v>42074</v>
      </c>
      <c r="C44" s="265">
        <f>RNC!C17</f>
        <v>4553</v>
      </c>
      <c r="D44" s="265">
        <f>RNC!D17</f>
        <v>10490</v>
      </c>
      <c r="E44" s="265">
        <f>RNC!E17</f>
        <v>12168</v>
      </c>
      <c r="F44" s="265">
        <f>RNC!F17</f>
        <v>6526</v>
      </c>
      <c r="G44" s="265">
        <f>RNC!G17</f>
        <v>8337</v>
      </c>
      <c r="H44" s="265">
        <f>RNC!H17</f>
        <v>6808</v>
      </c>
      <c r="I44" s="265">
        <f>RNC!I17</f>
        <v>7137</v>
      </c>
      <c r="J44" s="265">
        <f>RNC!J17</f>
        <v>10170</v>
      </c>
      <c r="K44" s="265">
        <f>RNC!K17</f>
        <v>7865</v>
      </c>
      <c r="L44" s="265">
        <f>RNC!L17</f>
        <v>3647</v>
      </c>
      <c r="M44" s="265">
        <f>RNC!M17</f>
        <v>1893</v>
      </c>
      <c r="N44" s="265">
        <f>RNC!N17</f>
        <v>7120</v>
      </c>
      <c r="O44" s="35"/>
    </row>
    <row r="45" spans="1:15" ht="12.75">
      <c r="A45" s="220" t="s">
        <v>89</v>
      </c>
      <c r="B45" s="265">
        <f>SUM(C45:G45)</f>
        <v>13837</v>
      </c>
      <c r="C45" s="265">
        <f>'C&amp;I'!C41</f>
        <v>4205</v>
      </c>
      <c r="D45" s="265">
        <f>'C&amp;I'!D41</f>
        <v>2016</v>
      </c>
      <c r="E45" s="265">
        <f>'C&amp;I'!E41</f>
        <v>2603</v>
      </c>
      <c r="F45" s="265">
        <f>'C&amp;I'!F41</f>
        <v>2707</v>
      </c>
      <c r="G45" s="265">
        <f>'C&amp;I'!G41</f>
        <v>2306</v>
      </c>
      <c r="H45" s="265">
        <f>'C&amp;I'!H41</f>
        <v>1150</v>
      </c>
      <c r="I45" s="265">
        <f>'C&amp;I'!I41</f>
        <v>1026</v>
      </c>
      <c r="J45" s="265">
        <f>'C&amp;I'!J41</f>
        <v>1709</v>
      </c>
      <c r="K45" s="265">
        <f>'C&amp;I'!K41</f>
        <v>2306</v>
      </c>
      <c r="L45" s="265">
        <f>'C&amp;I'!L41</f>
        <v>1993</v>
      </c>
      <c r="M45" s="267">
        <f>'C&amp;I'!M42</f>
        <v>105</v>
      </c>
      <c r="N45" s="267">
        <f>'C&amp;I'!N42</f>
        <v>118</v>
      </c>
      <c r="O45" s="131"/>
    </row>
    <row r="46" spans="1:15" ht="12.75">
      <c r="A46" s="220" t="s">
        <v>96</v>
      </c>
      <c r="B46" s="265">
        <f>SUM(C46:G46)</f>
        <v>0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>
        <f>'P4P '!I17</f>
        <v>121</v>
      </c>
      <c r="M46" s="267">
        <f>'P4P '!J17</f>
        <v>0</v>
      </c>
      <c r="N46" s="267">
        <f>'P4P '!K17</f>
        <v>0</v>
      </c>
      <c r="O46" s="35"/>
    </row>
    <row r="47" spans="1:15" ht="12.75">
      <c r="A47" s="220" t="s">
        <v>290</v>
      </c>
      <c r="B47" s="265">
        <f>SUM(C47:G47)</f>
        <v>0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>
        <f>'P4P NC'!B17</f>
        <v>13</v>
      </c>
      <c r="M47" s="267">
        <f>'P4P NC'!C17</f>
        <v>0</v>
      </c>
      <c r="N47" s="267">
        <f>'P4P NC'!D17</f>
        <v>1</v>
      </c>
      <c r="O47" s="35"/>
    </row>
    <row r="48" spans="1:15" ht="12.75">
      <c r="A48" s="188" t="s">
        <v>412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7"/>
      <c r="N48" s="267">
        <f>LEUP!C13</f>
        <v>20</v>
      </c>
      <c r="O48" s="35"/>
    </row>
    <row r="49" spans="1:16" ht="12.75">
      <c r="A49" s="48" t="s">
        <v>1</v>
      </c>
      <c r="B49" s="278">
        <f>SUM(C49:G49)</f>
        <v>55911</v>
      </c>
      <c r="C49" s="278">
        <f>SUM(C44:C47)</f>
        <v>8758</v>
      </c>
      <c r="D49" s="278">
        <f>SUM(D44:D47)</f>
        <v>12506</v>
      </c>
      <c r="E49" s="278">
        <f>SUM(E44:E47)</f>
        <v>14771</v>
      </c>
      <c r="F49" s="278">
        <f>SUM(F44:F47)</f>
        <v>9233</v>
      </c>
      <c r="G49" s="278">
        <f>SUM(G44:G47)</f>
        <v>10643</v>
      </c>
      <c r="H49" s="278">
        <f aca="true" t="shared" si="9" ref="H49:M49">SUM(H44:H48)</f>
        <v>7958</v>
      </c>
      <c r="I49" s="278">
        <f t="shared" si="9"/>
        <v>8163</v>
      </c>
      <c r="J49" s="278">
        <f t="shared" si="9"/>
        <v>11879</v>
      </c>
      <c r="K49" s="278">
        <f t="shared" si="9"/>
        <v>10171</v>
      </c>
      <c r="L49" s="278">
        <f t="shared" si="9"/>
        <v>5774</v>
      </c>
      <c r="M49" s="278">
        <f t="shared" si="9"/>
        <v>1998</v>
      </c>
      <c r="N49" s="278">
        <f>SUM(N44:N48)</f>
        <v>7259</v>
      </c>
      <c r="O49" s="60"/>
      <c r="P49" s="23"/>
    </row>
    <row r="50" spans="1:15" ht="12.75">
      <c r="A50" s="34"/>
      <c r="B50" s="44"/>
      <c r="C50" s="35"/>
      <c r="D50" s="35"/>
      <c r="E50" s="35"/>
      <c r="F50" s="35"/>
      <c r="G50" s="35"/>
      <c r="H50" s="35"/>
      <c r="I50" s="44"/>
      <c r="J50" s="44"/>
      <c r="K50" s="44"/>
      <c r="L50" s="44"/>
      <c r="M50" s="44"/>
      <c r="N50" s="44"/>
      <c r="O50" s="35"/>
    </row>
    <row r="51" spans="1:15" ht="12.75">
      <c r="A51" s="18" t="s">
        <v>111</v>
      </c>
      <c r="B51" s="266">
        <f>SUM(C51:G51)</f>
        <v>2099</v>
      </c>
      <c r="C51" s="266">
        <f>CORE!C15</f>
        <v>45</v>
      </c>
      <c r="D51" s="266">
        <f>CORE!D15</f>
        <v>59</v>
      </c>
      <c r="E51" s="266">
        <f>CORE!E15</f>
        <v>226</v>
      </c>
      <c r="F51" s="266">
        <f>CORE!F15</f>
        <v>587</v>
      </c>
      <c r="G51" s="266">
        <f>CORE!G15</f>
        <v>1182</v>
      </c>
      <c r="H51" s="266">
        <f>CORE!H15</f>
        <v>565</v>
      </c>
      <c r="I51" s="266">
        <f>CORE!I15</f>
        <v>1070</v>
      </c>
      <c r="J51" s="266">
        <f>CORE!J15</f>
        <v>1047</v>
      </c>
      <c r="K51" s="266">
        <f>CORE!K15</f>
        <v>665</v>
      </c>
      <c r="L51" s="266">
        <f>CORE!L15</f>
        <v>101</v>
      </c>
      <c r="M51" s="266">
        <f>CORE!M15</f>
        <v>0</v>
      </c>
      <c r="N51" s="266">
        <f>CORE!N15</f>
        <v>0</v>
      </c>
      <c r="O51" s="35"/>
    </row>
    <row r="52" spans="1:14" ht="12.75">
      <c r="A52" s="18" t="s">
        <v>212</v>
      </c>
      <c r="B52" s="281">
        <f>SUM(C52:G52)</f>
        <v>0</v>
      </c>
      <c r="C52" s="281">
        <f>CHP!C20</f>
        <v>0</v>
      </c>
      <c r="D52" s="281">
        <f>CHP!D20</f>
        <v>0</v>
      </c>
      <c r="E52" s="281">
        <f>CHP!E20</f>
        <v>0</v>
      </c>
      <c r="F52" s="281">
        <f>CHP!F20</f>
        <v>0</v>
      </c>
      <c r="G52" s="281">
        <f>CHP!G20</f>
        <v>0</v>
      </c>
      <c r="H52" s="281">
        <f>CHP!H20</f>
        <v>0</v>
      </c>
      <c r="I52" s="281">
        <f>CHP!I20</f>
        <v>13</v>
      </c>
      <c r="J52" s="281">
        <f>CHP!J20</f>
        <v>15</v>
      </c>
      <c r="K52" s="281">
        <f>CHP!K20</f>
        <v>9</v>
      </c>
      <c r="L52" s="281">
        <f>CHP!L20</f>
        <v>2</v>
      </c>
      <c r="M52" s="281">
        <f>CHP!M20</f>
        <v>0</v>
      </c>
      <c r="N52" s="281">
        <f>CHP!N20</f>
        <v>18</v>
      </c>
    </row>
    <row r="53" ht="12.75">
      <c r="A53" s="2" t="s">
        <v>356</v>
      </c>
    </row>
    <row r="56" ht="14.25">
      <c r="A56" s="88" t="s">
        <v>438</v>
      </c>
    </row>
  </sheetData>
  <sheetProtection/>
  <mergeCells count="1">
    <mergeCell ref="A1:O1"/>
  </mergeCells>
  <printOptions/>
  <pageMargins left="0.55" right="0.57" top="0.56" bottom="0.49" header="0.5" footer="0.21"/>
  <pageSetup fitToHeight="1" fitToWidth="1" horizontalDpi="600" verticalDpi="600" orientation="landscape" scale="78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4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7" width="9.57421875" style="0" hidden="1" customWidth="1"/>
    <col min="8" max="12" width="9.57421875" style="0" customWidth="1"/>
    <col min="13" max="14" width="9.57421875" style="140" customWidth="1"/>
    <col min="15" max="15" width="9.57421875" style="0" customWidth="1"/>
    <col min="16" max="16" width="10.140625" style="0" bestFit="1" customWidth="1"/>
  </cols>
  <sheetData>
    <row r="1" spans="1:15" ht="15.75">
      <c r="A1" s="380" t="s">
        <v>189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2:15" ht="36">
      <c r="B2" s="82" t="s">
        <v>354</v>
      </c>
      <c r="C2" s="25">
        <v>2001</v>
      </c>
      <c r="D2" s="25">
        <v>2002</v>
      </c>
      <c r="E2" s="25">
        <v>2003</v>
      </c>
      <c r="F2" s="25">
        <v>2004</v>
      </c>
      <c r="G2" s="25">
        <v>2005</v>
      </c>
      <c r="H2" s="25">
        <v>2006</v>
      </c>
      <c r="I2" s="25">
        <v>2007</v>
      </c>
      <c r="J2" s="25">
        <v>2008</v>
      </c>
      <c r="K2" s="25">
        <v>2009</v>
      </c>
      <c r="L2" s="25">
        <v>2010</v>
      </c>
      <c r="M2" s="152">
        <v>2011</v>
      </c>
      <c r="N2" s="360" t="s">
        <v>423</v>
      </c>
      <c r="O2" s="82" t="s">
        <v>425</v>
      </c>
    </row>
    <row r="3" spans="2:15" ht="12.75">
      <c r="B3" s="26" t="s">
        <v>11</v>
      </c>
      <c r="C3" s="26" t="s">
        <v>11</v>
      </c>
      <c r="D3" s="26" t="s">
        <v>11</v>
      </c>
      <c r="E3" s="26" t="s">
        <v>11</v>
      </c>
      <c r="F3" s="26" t="s">
        <v>11</v>
      </c>
      <c r="G3" s="26" t="s">
        <v>11</v>
      </c>
      <c r="H3" s="26" t="s">
        <v>11</v>
      </c>
      <c r="I3" s="26" t="s">
        <v>11</v>
      </c>
      <c r="J3" s="26" t="s">
        <v>11</v>
      </c>
      <c r="K3" s="26" t="s">
        <v>11</v>
      </c>
      <c r="L3" s="26" t="s">
        <v>11</v>
      </c>
      <c r="M3" s="153" t="s">
        <v>11</v>
      </c>
      <c r="N3" s="153" t="s">
        <v>11</v>
      </c>
      <c r="O3" s="26" t="s">
        <v>11</v>
      </c>
    </row>
    <row r="4" spans="1:15" ht="12.75">
      <c r="A4" s="220" t="s">
        <v>81</v>
      </c>
      <c r="B4" s="265">
        <f>SUM(C4:G4)</f>
        <v>62634</v>
      </c>
      <c r="C4" s="265">
        <f>'Res HVAC'!C28</f>
        <v>10761</v>
      </c>
      <c r="D4" s="265">
        <f>'Res HVAC'!D28</f>
        <v>13825</v>
      </c>
      <c r="E4" s="265">
        <f>'Res HVAC'!E28</f>
        <v>12254</v>
      </c>
      <c r="F4" s="265">
        <f>'Res HVAC'!F28</f>
        <v>13065</v>
      </c>
      <c r="G4" s="265">
        <f>'Res HVAC'!G28</f>
        <v>12729</v>
      </c>
      <c r="H4" s="265">
        <f>'Res HVAC'!H28</f>
        <v>9651</v>
      </c>
      <c r="I4" s="265">
        <f>'Res HVAC'!I28</f>
        <v>10666</v>
      </c>
      <c r="J4" s="265">
        <f>'Res HVAC'!J28</f>
        <v>2710</v>
      </c>
      <c r="K4" s="265">
        <f>'Res HVAC'!K28</f>
        <v>1804</v>
      </c>
      <c r="L4" s="265">
        <f>'Res HVAC'!L28</f>
        <v>4825</v>
      </c>
      <c r="M4" s="267">
        <f>'Res HVAC'!M28</f>
        <v>6845</v>
      </c>
      <c r="N4" s="267">
        <f>'Res HVAC'!N28</f>
        <v>6715</v>
      </c>
      <c r="O4" s="265">
        <f>SUM(C4:N4)</f>
        <v>105850</v>
      </c>
    </row>
    <row r="5" spans="1:15" ht="12.75">
      <c r="A5" s="220" t="s">
        <v>82</v>
      </c>
      <c r="B5" s="265">
        <f aca="true" t="shared" si="0" ref="B5:B35">SUM(C5:G5)</f>
        <v>48393</v>
      </c>
      <c r="C5" s="265">
        <f>RNC!C26</f>
        <v>11</v>
      </c>
      <c r="D5" s="265">
        <f>RNC!D26</f>
        <v>3415</v>
      </c>
      <c r="E5" s="265">
        <f>RNC!E26</f>
        <v>11201</v>
      </c>
      <c r="F5" s="265">
        <f>RNC!F26</f>
        <v>14869</v>
      </c>
      <c r="G5" s="265">
        <f>RNC!G26</f>
        <v>18897</v>
      </c>
      <c r="H5" s="265">
        <f>RNC!H26</f>
        <v>13285</v>
      </c>
      <c r="I5" s="265">
        <f>RNC!I26</f>
        <v>12497</v>
      </c>
      <c r="J5" s="265">
        <f>RNC!J26</f>
        <v>8179</v>
      </c>
      <c r="K5" s="265">
        <f>RNC!K26</f>
        <v>5736</v>
      </c>
      <c r="L5" s="265">
        <f>RNC!L26</f>
        <v>6841</v>
      </c>
      <c r="M5" s="267">
        <f>RNC!M26</f>
        <v>4616</v>
      </c>
      <c r="N5" s="267">
        <f>RNC!N26</f>
        <v>7298</v>
      </c>
      <c r="O5" s="265">
        <f>SUM(C5:N5)</f>
        <v>106845</v>
      </c>
    </row>
    <row r="6" spans="1:15" ht="12.75">
      <c r="A6" s="220" t="s">
        <v>83</v>
      </c>
      <c r="B6" s="265">
        <f t="shared" si="0"/>
        <v>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7"/>
      <c r="N6" s="267"/>
      <c r="O6" s="265"/>
    </row>
    <row r="7" spans="1:19" ht="12.75">
      <c r="A7" s="220" t="s">
        <v>84</v>
      </c>
      <c r="B7" s="265">
        <f t="shared" si="0"/>
        <v>4602</v>
      </c>
      <c r="C7" s="265">
        <f>'Energy Star'!C73</f>
        <v>0</v>
      </c>
      <c r="D7" s="265">
        <f>'Energy Star'!D73</f>
        <v>0</v>
      </c>
      <c r="E7" s="265">
        <f>'Energy Star'!E73</f>
        <v>1499</v>
      </c>
      <c r="F7" s="265">
        <f>'Energy Star'!F73</f>
        <v>1441</v>
      </c>
      <c r="G7" s="265">
        <f>'Energy Star'!G73</f>
        <v>1662</v>
      </c>
      <c r="H7" s="265">
        <f>'Energy Star'!H73</f>
        <v>567</v>
      </c>
      <c r="I7" s="265">
        <f>'Energy Star'!I73</f>
        <v>803</v>
      </c>
      <c r="J7" s="265">
        <f>'Energy Star'!J73</f>
        <v>808</v>
      </c>
      <c r="K7" s="265">
        <f>'Energy Star'!K73</f>
        <v>444</v>
      </c>
      <c r="L7" s="265">
        <f>'Energy Star'!L73</f>
        <v>668</v>
      </c>
      <c r="M7" s="267">
        <f>'Energy Star'!M73</f>
        <v>13.6</v>
      </c>
      <c r="N7" s="267">
        <f>'Energy Star'!N73</f>
        <v>0</v>
      </c>
      <c r="O7" s="265">
        <f aca="true" t="shared" si="1" ref="O7:O17">SUM(C7:N7)</f>
        <v>7905.6</v>
      </c>
      <c r="P7" s="140"/>
      <c r="Q7" s="140"/>
      <c r="R7" s="140"/>
      <c r="S7" s="140"/>
    </row>
    <row r="8" spans="1:16" ht="12.75">
      <c r="A8" s="220" t="s">
        <v>85</v>
      </c>
      <c r="B8" s="265">
        <f t="shared" si="0"/>
        <v>11898</v>
      </c>
      <c r="C8" s="265">
        <f>'Energy Star'!C72</f>
        <v>0</v>
      </c>
      <c r="D8" s="265">
        <f>'Energy Star'!D72</f>
        <v>0</v>
      </c>
      <c r="E8" s="265">
        <f>'Energy Star'!E72</f>
        <v>3587</v>
      </c>
      <c r="F8" s="265">
        <f>'Energy Star'!F72</f>
        <v>5089</v>
      </c>
      <c r="G8" s="265">
        <f>'Energy Star'!G72</f>
        <v>3222</v>
      </c>
      <c r="H8" s="265">
        <f>'Energy Star'!H72</f>
        <v>0</v>
      </c>
      <c r="I8" s="265">
        <f>'Energy Star'!I72</f>
        <v>5792</v>
      </c>
      <c r="J8" s="265">
        <f>'Energy Star'!J72</f>
        <v>10752</v>
      </c>
      <c r="K8" s="265">
        <f>'Energy Star'!K72</f>
        <v>16252</v>
      </c>
      <c r="L8" s="265">
        <f>'Energy Star'!L72</f>
        <v>19190.4</v>
      </c>
      <c r="M8" s="267">
        <f>'Energy Star'!M72</f>
        <v>25435.7</v>
      </c>
      <c r="N8" s="267">
        <f>'Energy Star'!N72</f>
        <v>45156.8</v>
      </c>
      <c r="O8" s="265">
        <f t="shared" si="1"/>
        <v>134476.90000000002</v>
      </c>
      <c r="P8" s="23"/>
    </row>
    <row r="9" spans="1:15" ht="12.75">
      <c r="A9" s="220" t="s">
        <v>86</v>
      </c>
      <c r="B9" s="265">
        <f t="shared" si="0"/>
        <v>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7"/>
      <c r="N9" s="267"/>
      <c r="O9" s="265">
        <f t="shared" si="1"/>
        <v>0</v>
      </c>
    </row>
    <row r="10" spans="1:15" ht="12.75">
      <c r="A10" s="188" t="s">
        <v>219</v>
      </c>
      <c r="B10" s="265">
        <f t="shared" si="0"/>
        <v>0</v>
      </c>
      <c r="C10" s="265"/>
      <c r="D10" s="265"/>
      <c r="E10" s="265"/>
      <c r="F10" s="265"/>
      <c r="G10" s="265"/>
      <c r="H10" s="265"/>
      <c r="I10" s="265"/>
      <c r="J10" s="265">
        <f>'Energy Star'!J74</f>
        <v>377</v>
      </c>
      <c r="K10" s="265">
        <f>'Energy Star'!K74</f>
        <v>431</v>
      </c>
      <c r="L10" s="265">
        <f>'Energy Star'!L74</f>
        <v>497</v>
      </c>
      <c r="M10" s="267">
        <f>'Energy Star'!M74</f>
        <v>498.4</v>
      </c>
      <c r="N10" s="267">
        <f>'Energy Star'!N74</f>
        <v>1415.8</v>
      </c>
      <c r="O10" s="265">
        <f t="shared" si="1"/>
        <v>3219.2</v>
      </c>
    </row>
    <row r="11" spans="1:15" ht="12.75">
      <c r="A11" s="188" t="s">
        <v>235</v>
      </c>
      <c r="B11" s="265">
        <f t="shared" si="0"/>
        <v>0</v>
      </c>
      <c r="C11" s="265"/>
      <c r="D11" s="265"/>
      <c r="E11" s="265"/>
      <c r="F11" s="265"/>
      <c r="G11" s="265"/>
      <c r="H11" s="265"/>
      <c r="I11" s="265"/>
      <c r="J11" s="265">
        <f>'Energy Star'!J75</f>
        <v>53</v>
      </c>
      <c r="K11" s="265">
        <f>'Energy Star'!K75</f>
        <v>79</v>
      </c>
      <c r="L11" s="265">
        <f>'Energy Star'!L75</f>
        <v>57</v>
      </c>
      <c r="M11" s="267">
        <f>'Energy Star'!M75</f>
        <v>3.9</v>
      </c>
      <c r="N11" s="267">
        <f>'Energy Star'!N75</f>
        <v>0</v>
      </c>
      <c r="O11" s="265">
        <f t="shared" si="1"/>
        <v>192.9</v>
      </c>
    </row>
    <row r="12" spans="1:15" ht="12.75">
      <c r="A12" s="188" t="s">
        <v>246</v>
      </c>
      <c r="B12" s="265">
        <f t="shared" si="0"/>
        <v>0</v>
      </c>
      <c r="C12" s="265"/>
      <c r="D12" s="265"/>
      <c r="E12" s="265"/>
      <c r="F12" s="265"/>
      <c r="G12" s="265"/>
      <c r="H12" s="265"/>
      <c r="I12" s="265"/>
      <c r="J12" s="265"/>
      <c r="K12" s="265">
        <f>'Energy Star'!K76</f>
        <v>1385</v>
      </c>
      <c r="L12" s="265">
        <f>'Energy Star'!L76</f>
        <v>3748.3</v>
      </c>
      <c r="M12" s="267">
        <f>'Energy Star'!M76</f>
        <v>3765.8</v>
      </c>
      <c r="N12" s="267">
        <f>'Energy Star'!N76</f>
        <v>2846.1</v>
      </c>
      <c r="O12" s="265">
        <f t="shared" si="1"/>
        <v>11745.2</v>
      </c>
    </row>
    <row r="13" spans="1:15" ht="12.75">
      <c r="A13" s="188" t="s">
        <v>334</v>
      </c>
      <c r="B13" s="265">
        <f t="shared" si="0"/>
        <v>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7">
        <f>'Energy Star'!M78</f>
        <v>60.2</v>
      </c>
      <c r="N13" s="267">
        <f>'Energy Star'!N78</f>
        <v>12.9</v>
      </c>
      <c r="O13" s="265">
        <f t="shared" si="1"/>
        <v>73.10000000000001</v>
      </c>
    </row>
    <row r="14" spans="1:15" ht="12.75">
      <c r="A14" s="188" t="s">
        <v>333</v>
      </c>
      <c r="B14" s="265">
        <f t="shared" si="0"/>
        <v>0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7">
        <f>'Energy Star'!M79</f>
        <v>32.1</v>
      </c>
      <c r="N14" s="267">
        <f>'Energy Star'!N79</f>
        <v>0</v>
      </c>
      <c r="O14" s="265">
        <f t="shared" si="1"/>
        <v>32.1</v>
      </c>
    </row>
    <row r="15" spans="1:15" ht="12.75">
      <c r="A15" s="188" t="s">
        <v>307</v>
      </c>
      <c r="B15" s="265">
        <f t="shared" si="0"/>
        <v>0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>
        <f>'Energy Star'!L77</f>
        <v>526.9</v>
      </c>
      <c r="M15" s="267">
        <f>'Energy Star'!M77</f>
        <v>1005.1</v>
      </c>
      <c r="N15" s="267">
        <f>'Energy Star'!N77</f>
        <v>651.3</v>
      </c>
      <c r="O15" s="265">
        <f t="shared" si="1"/>
        <v>2183.3</v>
      </c>
    </row>
    <row r="16" spans="1:15" ht="12.75">
      <c r="A16" s="220" t="s">
        <v>197</v>
      </c>
      <c r="B16" s="265">
        <f t="shared" si="0"/>
        <v>0</v>
      </c>
      <c r="C16" s="265"/>
      <c r="D16" s="265"/>
      <c r="E16" s="265"/>
      <c r="F16" s="265"/>
      <c r="G16" s="265"/>
      <c r="H16" s="265">
        <f>'Home Perf'!B31</f>
        <v>0</v>
      </c>
      <c r="I16" s="265">
        <f>'Home Perf'!C31</f>
        <v>0</v>
      </c>
      <c r="J16" s="265">
        <f>'Home Perf'!D31</f>
        <v>51</v>
      </c>
      <c r="K16" s="265">
        <f>'Home Perf'!E31</f>
        <v>366</v>
      </c>
      <c r="L16" s="265">
        <f>'Home Perf'!F31</f>
        <v>815</v>
      </c>
      <c r="M16" s="267">
        <f>'Home Perf'!G31</f>
        <v>894</v>
      </c>
      <c r="N16" s="267">
        <f>'Home Perf'!H31</f>
        <v>1081</v>
      </c>
      <c r="O16" s="265">
        <f t="shared" si="1"/>
        <v>3207</v>
      </c>
    </row>
    <row r="17" spans="1:16" ht="12.75">
      <c r="A17" s="29" t="s">
        <v>88</v>
      </c>
      <c r="B17" s="278">
        <f t="shared" si="0"/>
        <v>127527</v>
      </c>
      <c r="C17" s="278">
        <f>SUM(C4:C16)</f>
        <v>10772</v>
      </c>
      <c r="D17" s="278">
        <f aca="true" t="shared" si="2" ref="D17:L17">SUM(D4:D16)</f>
        <v>17240</v>
      </c>
      <c r="E17" s="278">
        <f t="shared" si="2"/>
        <v>28541</v>
      </c>
      <c r="F17" s="278">
        <f t="shared" si="2"/>
        <v>34464</v>
      </c>
      <c r="G17" s="278">
        <f t="shared" si="2"/>
        <v>36510</v>
      </c>
      <c r="H17" s="278">
        <f t="shared" si="2"/>
        <v>23503</v>
      </c>
      <c r="I17" s="278">
        <f t="shared" si="2"/>
        <v>29758</v>
      </c>
      <c r="J17" s="278">
        <f t="shared" si="2"/>
        <v>22930</v>
      </c>
      <c r="K17" s="278">
        <f t="shared" si="2"/>
        <v>26497</v>
      </c>
      <c r="L17" s="278">
        <f t="shared" si="2"/>
        <v>37168.600000000006</v>
      </c>
      <c r="M17" s="269">
        <f>SUM(M4:M16)</f>
        <v>43169.8</v>
      </c>
      <c r="N17" s="269">
        <f>SUM(N4:N16)</f>
        <v>65176.90000000001</v>
      </c>
      <c r="O17" s="278">
        <f t="shared" si="1"/>
        <v>375730.3</v>
      </c>
      <c r="P17" s="23"/>
    </row>
    <row r="18" spans="1:16" ht="12.75">
      <c r="A18" s="34"/>
      <c r="B18" s="21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9"/>
      <c r="O18" s="68"/>
      <c r="P18" s="23"/>
    </row>
    <row r="19" spans="1:16" ht="12.75">
      <c r="A19" s="70" t="s">
        <v>87</v>
      </c>
      <c r="B19" s="278">
        <f t="shared" si="0"/>
        <v>3916</v>
      </c>
      <c r="C19" s="278">
        <f>'Low-income'!C34</f>
        <v>1032</v>
      </c>
      <c r="D19" s="278">
        <f>'Low-income'!D34</f>
        <v>627</v>
      </c>
      <c r="E19" s="278">
        <f>'Low-income'!E34</f>
        <v>868</v>
      </c>
      <c r="F19" s="278">
        <f>'Low-income'!F34</f>
        <v>820</v>
      </c>
      <c r="G19" s="278">
        <f>'Low-income'!G34</f>
        <v>569</v>
      </c>
      <c r="H19" s="278">
        <f>'Low-income'!H34</f>
        <v>1645</v>
      </c>
      <c r="I19" s="278">
        <f>'Low-income'!I34</f>
        <v>1600</v>
      </c>
      <c r="J19" s="278">
        <f>'Low-income'!J34</f>
        <v>1268</v>
      </c>
      <c r="K19" s="278">
        <f>'Low-income'!K34</f>
        <v>1071</v>
      </c>
      <c r="L19" s="278">
        <f>'Low-income'!L34</f>
        <v>937</v>
      </c>
      <c r="M19" s="269">
        <f>'Low-income'!M34</f>
        <v>1072</v>
      </c>
      <c r="N19" s="269">
        <f>'Low-income'!N34</f>
        <v>1368</v>
      </c>
      <c r="O19" s="278">
        <f>SUM(C19:N19)</f>
        <v>12877</v>
      </c>
      <c r="P19" s="23"/>
    </row>
    <row r="20" spans="1:16" ht="12.75">
      <c r="A20" s="34"/>
      <c r="B20" s="21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8"/>
      <c r="P20" s="23"/>
    </row>
    <row r="21" spans="1:16" ht="12.75">
      <c r="A21" s="242" t="s">
        <v>58</v>
      </c>
      <c r="B21" s="265">
        <f t="shared" si="0"/>
        <v>0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>
        <f>'C&amp;I'!L62</f>
        <v>1915</v>
      </c>
      <c r="M21" s="267">
        <f>'C&amp;I'!M62</f>
        <v>4650</v>
      </c>
      <c r="N21" s="267">
        <f>'C&amp;I'!N62</f>
        <v>1736</v>
      </c>
      <c r="O21" s="265">
        <f aca="true" t="shared" si="3" ref="O21:O27">SUM(C21:N21)</f>
        <v>8301</v>
      </c>
      <c r="P21" s="23"/>
    </row>
    <row r="22" spans="1:16" ht="12.75">
      <c r="A22" s="188" t="s">
        <v>61</v>
      </c>
      <c r="B22" s="265">
        <f t="shared" si="0"/>
        <v>0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>
        <f>'C&amp;I'!L63</f>
        <v>20887</v>
      </c>
      <c r="M22" s="267">
        <f>'C&amp;I'!M63</f>
        <v>69567</v>
      </c>
      <c r="N22" s="267">
        <f>'C&amp;I'!N63</f>
        <v>28158</v>
      </c>
      <c r="O22" s="265">
        <f t="shared" si="3"/>
        <v>118612</v>
      </c>
      <c r="P22" s="23"/>
    </row>
    <row r="23" spans="1:16" ht="12.75">
      <c r="A23" s="188" t="s">
        <v>384</v>
      </c>
      <c r="B23" s="265">
        <f t="shared" si="0"/>
        <v>0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>
        <f>'C&amp;I'!L64</f>
        <v>0</v>
      </c>
      <c r="M23" s="267">
        <f>'C&amp;I'!M64</f>
        <v>0</v>
      </c>
      <c r="N23" s="267">
        <f>'C&amp;I'!N64</f>
        <v>0</v>
      </c>
      <c r="O23" s="265">
        <f t="shared" si="3"/>
        <v>0</v>
      </c>
      <c r="P23" s="23"/>
    </row>
    <row r="24" spans="1:16" ht="12.75">
      <c r="A24" s="220" t="s">
        <v>96</v>
      </c>
      <c r="B24" s="265">
        <f t="shared" si="0"/>
        <v>0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>
        <f>'P4P '!I34</f>
        <v>62</v>
      </c>
      <c r="M24" s="267">
        <f>'P4P '!J34</f>
        <v>2514</v>
      </c>
      <c r="N24" s="267">
        <f>'P4P '!K32</f>
        <v>7626</v>
      </c>
      <c r="O24" s="265">
        <f t="shared" si="3"/>
        <v>10202</v>
      </c>
      <c r="P24" s="23"/>
    </row>
    <row r="25" spans="1:16" ht="12.75">
      <c r="A25" s="188" t="s">
        <v>411</v>
      </c>
      <c r="B25" s="265">
        <f t="shared" si="0"/>
        <v>0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7"/>
      <c r="N25" s="267">
        <f>'P4P '!K33</f>
        <v>0</v>
      </c>
      <c r="O25" s="265">
        <f t="shared" si="3"/>
        <v>0</v>
      </c>
      <c r="P25" s="23"/>
    </row>
    <row r="26" spans="1:16" ht="12.75">
      <c r="A26" s="220" t="s">
        <v>290</v>
      </c>
      <c r="B26" s="265">
        <f t="shared" si="0"/>
        <v>0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>
        <f>'P4P NC'!B28</f>
        <v>0</v>
      </c>
      <c r="M26" s="267">
        <f>'P4P NC'!C28</f>
        <v>0</v>
      </c>
      <c r="N26" s="267">
        <f>'P4P NC'!D28</f>
        <v>0</v>
      </c>
      <c r="O26" s="265">
        <f t="shared" si="3"/>
        <v>0</v>
      </c>
      <c r="P26" s="23"/>
    </row>
    <row r="27" spans="1:16" ht="12.75">
      <c r="A27" s="220" t="s">
        <v>229</v>
      </c>
      <c r="B27" s="265">
        <f t="shared" si="0"/>
        <v>0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>
        <f>'Direct Install'!D25</f>
        <v>1276</v>
      </c>
      <c r="M27" s="267">
        <f>'Direct Install'!E25</f>
        <v>8693</v>
      </c>
      <c r="N27" s="267">
        <f>'Direct Install'!F25</f>
        <v>14288</v>
      </c>
      <c r="O27" s="265">
        <f t="shared" si="3"/>
        <v>24257</v>
      </c>
      <c r="P27" s="23"/>
    </row>
    <row r="28" spans="1:16" ht="12.75">
      <c r="A28" s="188" t="s">
        <v>412</v>
      </c>
      <c r="B28" s="265">
        <f t="shared" si="0"/>
        <v>0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7"/>
      <c r="N28" s="267">
        <f>LEUP!C25</f>
        <v>440</v>
      </c>
      <c r="O28" s="265"/>
      <c r="P28" s="23"/>
    </row>
    <row r="29" spans="1:15" ht="12.75">
      <c r="A29" s="241" t="s">
        <v>381</v>
      </c>
      <c r="B29" s="278">
        <f t="shared" si="0"/>
        <v>151121</v>
      </c>
      <c r="C29" s="278">
        <f>'C&amp;I'!C65</f>
        <v>6364</v>
      </c>
      <c r="D29" s="278">
        <f>'C&amp;I'!D65</f>
        <v>26750</v>
      </c>
      <c r="E29" s="278">
        <f>'C&amp;I'!E65</f>
        <v>38155</v>
      </c>
      <c r="F29" s="278">
        <f>'C&amp;I'!F65</f>
        <v>43470</v>
      </c>
      <c r="G29" s="278">
        <f>'C&amp;I'!G65</f>
        <v>36382</v>
      </c>
      <c r="H29" s="278">
        <f>'C&amp;I'!H65</f>
        <v>26301</v>
      </c>
      <c r="I29" s="278">
        <f>'C&amp;I'!I65</f>
        <v>17502</v>
      </c>
      <c r="J29" s="278">
        <f>'C&amp;I'!J65</f>
        <v>16438</v>
      </c>
      <c r="K29" s="278">
        <f>'C&amp;I'!K65</f>
        <v>18781</v>
      </c>
      <c r="L29" s="278">
        <f>SUM(L21:L28)</f>
        <v>24140</v>
      </c>
      <c r="M29" s="278">
        <f>SUM(M21:M28)</f>
        <v>85424</v>
      </c>
      <c r="N29" s="278">
        <f>SUM(N21:N28)</f>
        <v>52248</v>
      </c>
      <c r="O29" s="278">
        <f aca="true" t="shared" si="4" ref="O29:O35">SUM(C29:N29)</f>
        <v>391955</v>
      </c>
    </row>
    <row r="30" spans="1:15" ht="12.75">
      <c r="A30" s="188" t="s">
        <v>385</v>
      </c>
      <c r="B30" s="265">
        <f t="shared" si="0"/>
        <v>0</v>
      </c>
      <c r="C30" s="265"/>
      <c r="D30" s="265"/>
      <c r="E30" s="265"/>
      <c r="F30" s="265"/>
      <c r="G30" s="265"/>
      <c r="H30" s="265"/>
      <c r="I30" s="265"/>
      <c r="J30" s="265">
        <f>CHP!J36</f>
        <v>30</v>
      </c>
      <c r="K30" s="265">
        <f>CHP!K36</f>
        <v>0</v>
      </c>
      <c r="L30" s="265">
        <f>CHP!L36</f>
        <v>275</v>
      </c>
      <c r="M30" s="267">
        <f>CHP!M36</f>
        <v>0</v>
      </c>
      <c r="N30" s="267">
        <f>CHP!N36</f>
        <v>0</v>
      </c>
      <c r="O30" s="265">
        <f t="shared" si="4"/>
        <v>305</v>
      </c>
    </row>
    <row r="31" spans="1:15" ht="12.75">
      <c r="A31" s="220" t="s">
        <v>154</v>
      </c>
      <c r="B31" s="265">
        <f t="shared" si="0"/>
        <v>0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7"/>
      <c r="N31" s="267"/>
      <c r="O31" s="265">
        <f t="shared" si="4"/>
        <v>0</v>
      </c>
    </row>
    <row r="32" spans="1:15" ht="12.75">
      <c r="A32" s="241" t="s">
        <v>160</v>
      </c>
      <c r="B32" s="278">
        <f t="shared" si="0"/>
        <v>151121</v>
      </c>
      <c r="C32" s="278">
        <f>C31+C29</f>
        <v>6364</v>
      </c>
      <c r="D32" s="278">
        <f>D31+D29</f>
        <v>26750</v>
      </c>
      <c r="E32" s="278">
        <f>E31+E29</f>
        <v>38155</v>
      </c>
      <c r="F32" s="278">
        <f>F31+F29</f>
        <v>43470</v>
      </c>
      <c r="G32" s="278">
        <f>G31+G29</f>
        <v>36382</v>
      </c>
      <c r="H32" s="278">
        <f aca="true" t="shared" si="5" ref="H32:N32">SUM(H29:H31)</f>
        <v>26301</v>
      </c>
      <c r="I32" s="278">
        <f t="shared" si="5"/>
        <v>17502</v>
      </c>
      <c r="J32" s="278">
        <f t="shared" si="5"/>
        <v>16468</v>
      </c>
      <c r="K32" s="278">
        <f t="shared" si="5"/>
        <v>18781</v>
      </c>
      <c r="L32" s="278">
        <f t="shared" si="5"/>
        <v>24415</v>
      </c>
      <c r="M32" s="269">
        <f t="shared" si="5"/>
        <v>85424</v>
      </c>
      <c r="N32" s="269">
        <f t="shared" si="5"/>
        <v>52248</v>
      </c>
      <c r="O32" s="278">
        <f t="shared" si="4"/>
        <v>392260</v>
      </c>
    </row>
    <row r="33" spans="1:16" ht="12.75">
      <c r="A33" s="29" t="s">
        <v>90</v>
      </c>
      <c r="B33" s="278">
        <f t="shared" si="0"/>
        <v>282564</v>
      </c>
      <c r="C33" s="278">
        <f>C17+C32+C19</f>
        <v>18168</v>
      </c>
      <c r="D33" s="278">
        <f aca="true" t="shared" si="6" ref="D33:K33">D17+D32+D19</f>
        <v>44617</v>
      </c>
      <c r="E33" s="278">
        <f t="shared" si="6"/>
        <v>67564</v>
      </c>
      <c r="F33" s="278">
        <f t="shared" si="6"/>
        <v>78754</v>
      </c>
      <c r="G33" s="278">
        <f t="shared" si="6"/>
        <v>73461</v>
      </c>
      <c r="H33" s="278">
        <f t="shared" si="6"/>
        <v>51449</v>
      </c>
      <c r="I33" s="278">
        <f t="shared" si="6"/>
        <v>48860</v>
      </c>
      <c r="J33" s="278">
        <f t="shared" si="6"/>
        <v>40666</v>
      </c>
      <c r="K33" s="278">
        <f t="shared" si="6"/>
        <v>46349</v>
      </c>
      <c r="L33" s="278">
        <f>L17+L32+L19</f>
        <v>62520.600000000006</v>
      </c>
      <c r="M33" s="269">
        <f>M17+M32+M19</f>
        <v>129665.8</v>
      </c>
      <c r="N33" s="269">
        <f>N17+N32+N19</f>
        <v>118792.90000000001</v>
      </c>
      <c r="O33" s="278">
        <f t="shared" si="4"/>
        <v>780867.3</v>
      </c>
      <c r="P33" s="23"/>
    </row>
    <row r="34" spans="1:16" ht="12.75">
      <c r="A34" s="188" t="s">
        <v>191</v>
      </c>
      <c r="B34" s="266">
        <f t="shared" si="0"/>
        <v>140</v>
      </c>
      <c r="C34" s="266">
        <f>CHP!C85</f>
        <v>0</v>
      </c>
      <c r="D34" s="266">
        <f>CHP!D85</f>
        <v>0</v>
      </c>
      <c r="E34" s="266">
        <f>CHP!E85</f>
        <v>0</v>
      </c>
      <c r="F34" s="266">
        <f>CHP!F85</f>
        <v>0</v>
      </c>
      <c r="G34" s="266">
        <f>CHP!G85</f>
        <v>140</v>
      </c>
      <c r="H34" s="266">
        <f>CHP!H85</f>
        <v>3175</v>
      </c>
      <c r="I34" s="266">
        <f>CHP!I85</f>
        <v>4925</v>
      </c>
      <c r="J34" s="266">
        <f>CHP!J85</f>
        <v>1276</v>
      </c>
      <c r="K34" s="266">
        <f>CHP!K85</f>
        <v>4700</v>
      </c>
      <c r="L34" s="266">
        <f>CHP!L85</f>
        <v>5535</v>
      </c>
      <c r="M34" s="268">
        <f>CHP!M85</f>
        <v>0</v>
      </c>
      <c r="N34" s="268">
        <f>CHP!N85</f>
        <v>0</v>
      </c>
      <c r="O34" s="266">
        <f t="shared" si="4"/>
        <v>19751</v>
      </c>
      <c r="P34" s="23"/>
    </row>
    <row r="35" spans="1:16" ht="12.75">
      <c r="A35" s="29" t="s">
        <v>217</v>
      </c>
      <c r="B35" s="278">
        <f t="shared" si="0"/>
        <v>282704</v>
      </c>
      <c r="C35" s="278">
        <f>C34+C33</f>
        <v>18168</v>
      </c>
      <c r="D35" s="278">
        <f aca="true" t="shared" si="7" ref="D35:I35">D34+D33</f>
        <v>44617</v>
      </c>
      <c r="E35" s="278">
        <f t="shared" si="7"/>
        <v>67564</v>
      </c>
      <c r="F35" s="278">
        <f t="shared" si="7"/>
        <v>78754</v>
      </c>
      <c r="G35" s="278">
        <f t="shared" si="7"/>
        <v>73601</v>
      </c>
      <c r="H35" s="278">
        <f t="shared" si="7"/>
        <v>54624</v>
      </c>
      <c r="I35" s="278">
        <f t="shared" si="7"/>
        <v>53785</v>
      </c>
      <c r="J35" s="278">
        <f>J34+J33</f>
        <v>41942</v>
      </c>
      <c r="K35" s="278">
        <f>K34+K33</f>
        <v>51049</v>
      </c>
      <c r="L35" s="278">
        <f>L34+L33</f>
        <v>68055.6</v>
      </c>
      <c r="M35" s="269">
        <f>M34+M33</f>
        <v>129665.8</v>
      </c>
      <c r="N35" s="269">
        <f>N34+N33</f>
        <v>118792.90000000001</v>
      </c>
      <c r="O35" s="278">
        <f t="shared" si="4"/>
        <v>800618.3</v>
      </c>
      <c r="P35" s="23"/>
    </row>
    <row r="36" spans="3:15" ht="12.75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41"/>
      <c r="N36" s="141"/>
      <c r="O36" s="103"/>
    </row>
    <row r="37" spans="1:15" ht="12.75">
      <c r="A37" s="30" t="s">
        <v>190</v>
      </c>
      <c r="B37" s="26" t="s">
        <v>11</v>
      </c>
      <c r="C37" s="26" t="s">
        <v>11</v>
      </c>
      <c r="D37" s="26" t="s">
        <v>11</v>
      </c>
      <c r="E37" s="26" t="s">
        <v>11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11</v>
      </c>
      <c r="L37" s="26" t="s">
        <v>11</v>
      </c>
      <c r="M37" s="153" t="s">
        <v>11</v>
      </c>
      <c r="N37" s="153" t="s">
        <v>11</v>
      </c>
      <c r="O37" s="26" t="s">
        <v>11</v>
      </c>
    </row>
    <row r="38" spans="1:16" ht="12.75">
      <c r="A38" s="188" t="s">
        <v>111</v>
      </c>
      <c r="B38" s="265">
        <f aca="true" t="shared" si="8" ref="B38:B43">SUM(C38:G38)</f>
        <v>12923</v>
      </c>
      <c r="C38" s="265">
        <f>CORE!C24</f>
        <v>8</v>
      </c>
      <c r="D38" s="265">
        <f>CORE!D24</f>
        <v>1142</v>
      </c>
      <c r="E38" s="265">
        <f>CORE!E24</f>
        <v>1743</v>
      </c>
      <c r="F38" s="265">
        <f>CORE!F24</f>
        <v>2644</v>
      </c>
      <c r="G38" s="265">
        <f>CORE!G24</f>
        <v>7386</v>
      </c>
      <c r="H38" s="265">
        <f>CORE!H24</f>
        <v>18725</v>
      </c>
      <c r="I38" s="265">
        <f>CORE!I24</f>
        <v>20307</v>
      </c>
      <c r="J38" s="265">
        <f>CORE!J24</f>
        <v>14772</v>
      </c>
      <c r="K38" s="265">
        <f>CORE!K24</f>
        <v>12860</v>
      </c>
      <c r="L38" s="265">
        <f>CORE!L24</f>
        <v>15151</v>
      </c>
      <c r="M38" s="267">
        <f>CORE!M24</f>
        <v>5800</v>
      </c>
      <c r="N38" s="267">
        <f>CORE!N24</f>
        <v>2314</v>
      </c>
      <c r="O38" s="265">
        <f aca="true" t="shared" si="9" ref="O38:O43">SUM(C38:N38)</f>
        <v>102852</v>
      </c>
      <c r="P38" s="23"/>
    </row>
    <row r="39" spans="1:16" ht="12.75">
      <c r="A39" s="188" t="s">
        <v>249</v>
      </c>
      <c r="B39" s="265">
        <f t="shared" si="8"/>
        <v>0</v>
      </c>
      <c r="C39" s="265"/>
      <c r="D39" s="265"/>
      <c r="E39" s="265"/>
      <c r="F39" s="265"/>
      <c r="G39" s="265"/>
      <c r="H39" s="265"/>
      <c r="I39" s="265"/>
      <c r="J39" s="265"/>
      <c r="K39" s="265">
        <f>REIP!B22</f>
        <v>2149</v>
      </c>
      <c r="L39" s="265">
        <f>REIP!C22</f>
        <v>16127</v>
      </c>
      <c r="M39" s="267">
        <f>REIP!D22</f>
        <v>17842</v>
      </c>
      <c r="N39" s="267">
        <f>REIP!E22</f>
        <v>2251</v>
      </c>
      <c r="O39" s="267">
        <f t="shared" si="9"/>
        <v>38369</v>
      </c>
      <c r="P39" s="142"/>
    </row>
    <row r="40" spans="1:16" ht="12.75">
      <c r="A40" s="188" t="s">
        <v>305</v>
      </c>
      <c r="B40" s="265">
        <f t="shared" si="8"/>
        <v>0</v>
      </c>
      <c r="C40" s="265"/>
      <c r="D40" s="265"/>
      <c r="E40" s="265"/>
      <c r="F40" s="265"/>
      <c r="G40" s="265"/>
      <c r="H40" s="265"/>
      <c r="I40" s="265"/>
      <c r="J40" s="265"/>
      <c r="K40" s="265">
        <f>'RE Grid Connected'!B22</f>
        <v>0</v>
      </c>
      <c r="L40" s="265">
        <f>'RE Grid Connected'!C22</f>
        <v>0</v>
      </c>
      <c r="M40" s="267">
        <f>'RE Grid Connected'!D22</f>
        <v>0</v>
      </c>
      <c r="N40" s="267">
        <f>'RE Grid Connected'!E22</f>
        <v>0</v>
      </c>
      <c r="O40" s="267">
        <f t="shared" si="9"/>
        <v>0</v>
      </c>
      <c r="P40" s="142"/>
    </row>
    <row r="41" spans="1:16" ht="12.75">
      <c r="A41" s="188" t="s">
        <v>386</v>
      </c>
      <c r="B41" s="265">
        <f t="shared" si="8"/>
        <v>1600</v>
      </c>
      <c r="C41" s="265">
        <f>'RE Grants and Financing'!B41</f>
        <v>0</v>
      </c>
      <c r="D41" s="265">
        <f>'RE Grants and Financing'!C41</f>
        <v>0</v>
      </c>
      <c r="E41" s="265">
        <f>'RE Grants and Financing'!D41</f>
        <v>0</v>
      </c>
      <c r="F41" s="265">
        <f>'RE Grants and Financing'!E41</f>
        <v>0</v>
      </c>
      <c r="G41" s="265">
        <f>'RE Grants and Financing'!F41</f>
        <v>1600</v>
      </c>
      <c r="H41" s="265">
        <f>'RE Grants and Financing'!G41</f>
        <v>0</v>
      </c>
      <c r="I41" s="265">
        <f>'RE Grants and Financing'!H41</f>
        <v>8600</v>
      </c>
      <c r="J41" s="265">
        <f>'RE Grants and Financing'!I41</f>
        <v>9600</v>
      </c>
      <c r="K41" s="265">
        <f>'RE Grants and Financing'!J41</f>
        <v>1500</v>
      </c>
      <c r="L41" s="265">
        <f>'RE Grants and Financing'!K41</f>
        <v>6200</v>
      </c>
      <c r="M41" s="267"/>
      <c r="N41" s="267"/>
      <c r="O41" s="267">
        <f t="shared" si="9"/>
        <v>27500</v>
      </c>
      <c r="P41" s="151"/>
    </row>
    <row r="42" spans="1:16" ht="12.75">
      <c r="A42" s="188" t="s">
        <v>387</v>
      </c>
      <c r="B42" s="265">
        <f t="shared" si="8"/>
        <v>0</v>
      </c>
      <c r="C42" s="265"/>
      <c r="D42" s="265"/>
      <c r="E42" s="265"/>
      <c r="F42" s="265"/>
      <c r="G42" s="265"/>
      <c r="H42" s="265"/>
      <c r="I42" s="265">
        <f>REC!B18</f>
        <v>13</v>
      </c>
      <c r="J42" s="265">
        <f>REC!C18</f>
        <v>8433</v>
      </c>
      <c r="K42" s="265">
        <f>REC!D18</f>
        <v>34269</v>
      </c>
      <c r="L42" s="265">
        <f>REC!E18</f>
        <v>145766</v>
      </c>
      <c r="M42" s="267">
        <f>REC!F18</f>
        <v>294745</v>
      </c>
      <c r="N42" s="267">
        <f>REC!G18</f>
        <v>528585</v>
      </c>
      <c r="O42" s="267">
        <f t="shared" si="9"/>
        <v>1011811</v>
      </c>
      <c r="P42" s="140"/>
    </row>
    <row r="43" spans="1:16" ht="12.75">
      <c r="A43" s="14" t="s">
        <v>1</v>
      </c>
      <c r="B43" s="278">
        <f t="shared" si="8"/>
        <v>14523</v>
      </c>
      <c r="C43" s="278">
        <f>SUM(C38:C42)</f>
        <v>8</v>
      </c>
      <c r="D43" s="278">
        <f aca="true" t="shared" si="10" ref="D43:K43">SUM(D38:D42)</f>
        <v>1142</v>
      </c>
      <c r="E43" s="278">
        <f t="shared" si="10"/>
        <v>1743</v>
      </c>
      <c r="F43" s="278">
        <f t="shared" si="10"/>
        <v>2644</v>
      </c>
      <c r="G43" s="278">
        <f t="shared" si="10"/>
        <v>8986</v>
      </c>
      <c r="H43" s="278">
        <f t="shared" si="10"/>
        <v>18725</v>
      </c>
      <c r="I43" s="278">
        <f t="shared" si="10"/>
        <v>28920</v>
      </c>
      <c r="J43" s="278">
        <f t="shared" si="10"/>
        <v>32805</v>
      </c>
      <c r="K43" s="278">
        <f t="shared" si="10"/>
        <v>50778</v>
      </c>
      <c r="L43" s="278">
        <f>SUM(L38:L42)</f>
        <v>183244</v>
      </c>
      <c r="M43" s="269">
        <f>SUM(M38:M42)</f>
        <v>318387</v>
      </c>
      <c r="N43" s="269">
        <f>SUM(N38:N42)</f>
        <v>533150</v>
      </c>
      <c r="O43" s="269">
        <f t="shared" si="9"/>
        <v>1180532</v>
      </c>
      <c r="P43" s="142"/>
    </row>
    <row r="44" spans="1:16" ht="12.75">
      <c r="A44" s="3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69"/>
      <c r="O44" s="68"/>
      <c r="P44" s="23"/>
    </row>
    <row r="45" spans="1:16" ht="12.75">
      <c r="A45" s="14" t="s">
        <v>218</v>
      </c>
      <c r="B45" s="278">
        <f>SUM(C45:G45)</f>
        <v>297227</v>
      </c>
      <c r="C45" s="278">
        <f>C43+C35</f>
        <v>18176</v>
      </c>
      <c r="D45" s="278">
        <f aca="true" t="shared" si="11" ref="D45:J45">D43+D35</f>
        <v>45759</v>
      </c>
      <c r="E45" s="278">
        <f t="shared" si="11"/>
        <v>69307</v>
      </c>
      <c r="F45" s="278">
        <f t="shared" si="11"/>
        <v>81398</v>
      </c>
      <c r="G45" s="278">
        <f t="shared" si="11"/>
        <v>82587</v>
      </c>
      <c r="H45" s="278">
        <f t="shared" si="11"/>
        <v>73349</v>
      </c>
      <c r="I45" s="278">
        <f t="shared" si="11"/>
        <v>82705</v>
      </c>
      <c r="J45" s="278">
        <f t="shared" si="11"/>
        <v>74747</v>
      </c>
      <c r="K45" s="278">
        <f>K43+K35</f>
        <v>101827</v>
      </c>
      <c r="L45" s="278">
        <f>L43+L35</f>
        <v>251299.6</v>
      </c>
      <c r="M45" s="269">
        <f>M43+M35</f>
        <v>448052.8</v>
      </c>
      <c r="N45" s="269">
        <f>N43+N35</f>
        <v>651942.9</v>
      </c>
      <c r="O45" s="278">
        <f>SUM(C45:N45)</f>
        <v>1981150.2999999998</v>
      </c>
      <c r="P45" s="23"/>
    </row>
    <row r="46" spans="2:15" ht="12.7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41"/>
      <c r="N46" s="141"/>
      <c r="O46" s="104"/>
    </row>
    <row r="47" spans="1:15" ht="12.75">
      <c r="A47" s="74" t="s">
        <v>131</v>
      </c>
      <c r="B47" s="278">
        <f>SUM(C47:G47)</f>
        <v>768888</v>
      </c>
      <c r="C47" s="265">
        <f>'Appliance Cycling'!B14</f>
        <v>204971</v>
      </c>
      <c r="D47" s="265">
        <f>'Appliance Cycling'!C14</f>
        <v>196222</v>
      </c>
      <c r="E47" s="265">
        <f>'Appliance Cycling'!D14</f>
        <v>194531</v>
      </c>
      <c r="F47" s="265">
        <f>'Appliance Cycling'!E14</f>
        <v>173164</v>
      </c>
      <c r="G47" s="265">
        <f>'Appliance Cycling'!F14</f>
        <v>0</v>
      </c>
      <c r="H47" s="265"/>
      <c r="I47" s="265"/>
      <c r="J47" s="265"/>
      <c r="K47" s="265"/>
      <c r="L47" s="265"/>
      <c r="M47" s="267"/>
      <c r="N47" s="267"/>
      <c r="O47" s="265"/>
    </row>
    <row r="48" ht="12.75">
      <c r="A48" s="2" t="s">
        <v>356</v>
      </c>
    </row>
    <row r="49" ht="12.75">
      <c r="I49" s="88" t="s">
        <v>103</v>
      </c>
    </row>
  </sheetData>
  <sheetProtection/>
  <mergeCells count="1">
    <mergeCell ref="A1:O1"/>
  </mergeCells>
  <printOptions/>
  <pageMargins left="0.55" right="0.57" top="0.62" bottom="0.56" header="0.5" footer="0.24"/>
  <pageSetup fitToHeight="1" fitToWidth="1" horizontalDpi="600" verticalDpi="600" orientation="landscape" scale="84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381" t="s">
        <v>103</v>
      </c>
      <c r="B1" s="381"/>
      <c r="C1" s="381"/>
      <c r="D1" s="381"/>
      <c r="E1" s="381"/>
      <c r="F1" s="24"/>
    </row>
    <row r="2" spans="3:6" ht="12.75">
      <c r="C2" s="24"/>
      <c r="D2" s="24"/>
      <c r="E2" s="24"/>
      <c r="F2" s="24"/>
    </row>
    <row r="3" spans="1:6" ht="38.25">
      <c r="A3" s="358" t="s">
        <v>437</v>
      </c>
      <c r="B3" s="120" t="s">
        <v>184</v>
      </c>
      <c r="C3" s="120" t="s">
        <v>281</v>
      </c>
      <c r="D3" s="129" t="s">
        <v>282</v>
      </c>
      <c r="E3" s="129" t="s">
        <v>330</v>
      </c>
      <c r="F3" s="24"/>
    </row>
    <row r="4" spans="1:6" ht="12.75">
      <c r="A4" s="239" t="s">
        <v>98</v>
      </c>
      <c r="B4" s="256">
        <v>395313328.45</v>
      </c>
      <c r="C4" s="255">
        <f>'2001-2013 Program Summary'!N20</f>
        <v>236467134.94</v>
      </c>
      <c r="D4" s="256">
        <f>'2001-2013 Program Summary'!N28</f>
        <v>106178396.85</v>
      </c>
      <c r="E4" s="256">
        <f>C4+D4</f>
        <v>342645531.78999996</v>
      </c>
      <c r="F4" s="109"/>
    </row>
    <row r="5" spans="1:6" ht="12.75">
      <c r="A5" s="239" t="s">
        <v>99</v>
      </c>
      <c r="B5" s="256">
        <v>31031421.2</v>
      </c>
      <c r="C5" s="255">
        <f>'2001-2013 Program Summary'!N21</f>
        <v>18003594.66</v>
      </c>
      <c r="D5" s="256">
        <f>'2001-2013 Program Summary'!N29</f>
        <v>8373817.07</v>
      </c>
      <c r="E5" s="256">
        <f>C5+D5</f>
        <v>26377411.73</v>
      </c>
      <c r="F5" s="110"/>
    </row>
    <row r="6" spans="1:6" ht="12.75">
      <c r="A6" s="188" t="s">
        <v>327</v>
      </c>
      <c r="B6" s="256">
        <v>49045280.92</v>
      </c>
      <c r="C6" s="255">
        <f>'2001-2013 Program Summary'!N22</f>
        <v>5268131.56</v>
      </c>
      <c r="D6" s="256">
        <f>'2001-2013 Program Summary'!N30</f>
        <v>8103589.32</v>
      </c>
      <c r="E6" s="256">
        <f>C6+D6</f>
        <v>13371720.879999999</v>
      </c>
      <c r="F6" s="110"/>
    </row>
    <row r="7" spans="1:6" ht="12.75">
      <c r="A7" s="188" t="s">
        <v>185</v>
      </c>
      <c r="B7" s="256">
        <v>14186401.28</v>
      </c>
      <c r="C7" s="255">
        <f>'2001-2013 Program Summary'!N23</f>
        <v>9108808.9</v>
      </c>
      <c r="D7" s="256">
        <f>'2001-2013 Program Summary'!N31</f>
        <v>0</v>
      </c>
      <c r="E7" s="256">
        <f>C7+D7</f>
        <v>9108808.9</v>
      </c>
      <c r="F7" s="33" t="s">
        <v>103</v>
      </c>
    </row>
    <row r="8" spans="1:7" ht="12.75">
      <c r="A8" s="188" t="s">
        <v>328</v>
      </c>
      <c r="B8" s="256">
        <v>21789874.29</v>
      </c>
      <c r="C8" s="255">
        <f>'2001-2013 Program Summary'!N24</f>
        <v>8996274.08</v>
      </c>
      <c r="D8" s="256">
        <f>'2001-2013 Program Summary'!N32</f>
        <v>12793600.21</v>
      </c>
      <c r="E8" s="256">
        <f>C8+D8</f>
        <v>21789874.29</v>
      </c>
      <c r="F8" s="33"/>
      <c r="G8" s="12"/>
    </row>
    <row r="9" spans="1:6" ht="12.75">
      <c r="A9" s="14" t="s">
        <v>1</v>
      </c>
      <c r="B9" s="257">
        <f>SUM(B4:B8)</f>
        <v>511366306.14</v>
      </c>
      <c r="C9" s="257">
        <f>SUM(C4:C8)</f>
        <v>277843944.14</v>
      </c>
      <c r="D9" s="257">
        <f>SUM(D4:D8)</f>
        <v>135449403.45</v>
      </c>
      <c r="E9" s="257">
        <f>SUM(E4:E8)</f>
        <v>413293347.59</v>
      </c>
      <c r="F9" s="33"/>
    </row>
    <row r="11" spans="1:4" ht="25.5">
      <c r="A11" s="135" t="s">
        <v>442</v>
      </c>
      <c r="B11" s="24"/>
      <c r="C11" s="24"/>
      <c r="D11" s="24"/>
    </row>
    <row r="12" spans="1:4" ht="12.75">
      <c r="A12" s="24"/>
      <c r="B12" s="28" t="s">
        <v>24</v>
      </c>
      <c r="C12" s="28" t="s">
        <v>23</v>
      </c>
      <c r="D12" s="28" t="s">
        <v>1</v>
      </c>
    </row>
    <row r="13" spans="1:4" ht="12.75">
      <c r="A13" s="30" t="s">
        <v>100</v>
      </c>
      <c r="B13" s="24"/>
      <c r="C13" s="24"/>
      <c r="D13" s="24"/>
    </row>
    <row r="14" spans="1:4" ht="12.75">
      <c r="A14" s="22" t="s">
        <v>79</v>
      </c>
      <c r="B14" s="261">
        <f>'Annual Savings'!N33</f>
        <v>638802</v>
      </c>
      <c r="C14" s="261">
        <f>'Annual Savings'!N134</f>
        <v>232116</v>
      </c>
      <c r="D14" s="261">
        <f>SUM(B14:C14)</f>
        <v>870918</v>
      </c>
    </row>
    <row r="15" spans="1:4" ht="6" customHeight="1">
      <c r="A15" s="24"/>
      <c r="B15" s="270"/>
      <c r="C15" s="270"/>
      <c r="D15" s="270"/>
    </row>
    <row r="16" spans="1:4" ht="12.75">
      <c r="A16" s="30" t="s">
        <v>101</v>
      </c>
      <c r="B16" s="270"/>
      <c r="C16" s="270"/>
      <c r="D16" s="270"/>
    </row>
    <row r="17" spans="1:4" ht="12.75">
      <c r="A17" s="22" t="s">
        <v>79</v>
      </c>
      <c r="B17" s="261">
        <f>'Annual Savings'!N62</f>
        <v>1229205</v>
      </c>
      <c r="C17" s="261">
        <f>'Annual Savings'!N145</f>
        <v>1460808</v>
      </c>
      <c r="D17" s="261">
        <f>SUM(B17:C17)</f>
        <v>2690013</v>
      </c>
    </row>
    <row r="18" spans="1:4" ht="6" customHeight="1">
      <c r="A18" s="24"/>
      <c r="B18" s="270"/>
      <c r="C18" s="270"/>
      <c r="D18" s="270"/>
    </row>
    <row r="19" spans="1:4" ht="12.75">
      <c r="A19" s="30" t="s">
        <v>126</v>
      </c>
      <c r="B19" s="270"/>
      <c r="C19" s="270"/>
      <c r="D19" s="270"/>
    </row>
    <row r="20" spans="1:4" ht="12.75">
      <c r="A20" s="22" t="s">
        <v>79</v>
      </c>
      <c r="B20" s="271">
        <f>'Lifetime Savings'!N33</f>
        <v>6830470.2</v>
      </c>
      <c r="C20" s="271">
        <f>'Lifetime Savings'!N83</f>
        <v>3882536</v>
      </c>
      <c r="D20" s="261">
        <f>SUM(B20:C20)</f>
        <v>10713006.2</v>
      </c>
    </row>
    <row r="21" spans="1:4" ht="6" customHeight="1">
      <c r="A21" s="24"/>
      <c r="B21" s="272"/>
      <c r="C21" s="272"/>
      <c r="D21" s="270"/>
    </row>
    <row r="22" spans="1:4" ht="12.75">
      <c r="A22" s="30" t="s">
        <v>127</v>
      </c>
      <c r="B22" s="272"/>
      <c r="C22" s="272"/>
      <c r="D22" s="270"/>
    </row>
    <row r="23" spans="1:4" ht="12.75">
      <c r="A23" s="22" t="s">
        <v>79</v>
      </c>
      <c r="B23" s="271">
        <f>'Lifetime Savings'!N55</f>
        <v>22443400</v>
      </c>
      <c r="C23" s="271">
        <f>'Lifetime Savings'!N100</f>
        <v>29274360</v>
      </c>
      <c r="D23" s="261">
        <f>SUM(B23:C23)</f>
        <v>51717760</v>
      </c>
    </row>
    <row r="24" spans="1:4" ht="6" customHeight="1">
      <c r="A24" s="30"/>
      <c r="B24" s="270"/>
      <c r="C24" s="270"/>
      <c r="D24" s="270"/>
    </row>
    <row r="25" spans="1:4" ht="12.75">
      <c r="A25" s="30" t="s">
        <v>102</v>
      </c>
      <c r="B25" s="272"/>
      <c r="C25" s="272"/>
      <c r="D25" s="270"/>
    </row>
    <row r="26" spans="1:4" ht="12.75">
      <c r="A26" s="22" t="s">
        <v>79</v>
      </c>
      <c r="B26" s="271">
        <f>'Lifetime Savings'!O33</f>
        <v>41730770.7</v>
      </c>
      <c r="C26" s="273" t="s">
        <v>4</v>
      </c>
      <c r="D26" s="266">
        <f>B26</f>
        <v>41730770.7</v>
      </c>
    </row>
    <row r="27" spans="1:4" ht="6" customHeight="1">
      <c r="A27" s="24"/>
      <c r="B27" s="272"/>
      <c r="C27" s="272"/>
      <c r="D27" s="274"/>
    </row>
    <row r="28" spans="1:4" ht="12.75">
      <c r="A28" s="30" t="s">
        <v>108</v>
      </c>
      <c r="B28" s="272"/>
      <c r="C28" s="272"/>
      <c r="D28" s="274"/>
    </row>
    <row r="29" spans="1:4" ht="12.75">
      <c r="A29" s="18" t="s">
        <v>238</v>
      </c>
      <c r="B29" s="271">
        <f>'Lifetime Savings'!O55</f>
        <v>134204614.84</v>
      </c>
      <c r="C29" s="273" t="s">
        <v>4</v>
      </c>
      <c r="D29" s="266">
        <f>B29</f>
        <v>134204614.84</v>
      </c>
    </row>
    <row r="30" spans="1:4" ht="6" customHeight="1">
      <c r="A30" s="24"/>
      <c r="B30" s="270"/>
      <c r="C30" s="270"/>
      <c r="D30" s="270"/>
    </row>
    <row r="31" spans="1:4" ht="12.75">
      <c r="A31" s="30" t="s">
        <v>130</v>
      </c>
      <c r="B31" s="270"/>
      <c r="C31" s="270"/>
      <c r="D31" s="270"/>
    </row>
    <row r="32" spans="1:4" ht="12.75">
      <c r="A32" s="22" t="s">
        <v>79</v>
      </c>
      <c r="B32" s="261">
        <f>'Annual Savings'!N94</f>
        <v>118792.90000000001</v>
      </c>
      <c r="C32" s="261">
        <f>'Annual Savings'!N155</f>
        <v>63294</v>
      </c>
      <c r="D32" s="261">
        <f>SUM(B32:C32)</f>
        <v>182086.90000000002</v>
      </c>
    </row>
    <row r="34" spans="1:4" ht="38.25">
      <c r="A34" s="359" t="s">
        <v>443</v>
      </c>
      <c r="B34" s="24"/>
      <c r="C34" s="24"/>
      <c r="D34" s="24"/>
    </row>
    <row r="35" spans="1:4" ht="12.75">
      <c r="A35" s="24"/>
      <c r="B35" s="28" t="s">
        <v>24</v>
      </c>
      <c r="C35" s="28" t="s">
        <v>23</v>
      </c>
      <c r="D35" s="28" t="s">
        <v>1</v>
      </c>
    </row>
    <row r="36" spans="1:4" ht="12.75">
      <c r="A36" s="30" t="s">
        <v>100</v>
      </c>
      <c r="B36" s="24"/>
      <c r="C36" s="24"/>
      <c r="D36" s="24"/>
    </row>
    <row r="37" spans="1:4" ht="12.75">
      <c r="A37" s="22" t="s">
        <v>80</v>
      </c>
      <c r="B37" s="275">
        <f>'Annual Savings'!N111</f>
        <v>640636</v>
      </c>
      <c r="C37" s="275">
        <f>'Annual Savings'!N174</f>
        <v>734018</v>
      </c>
      <c r="D37" s="275">
        <f>SUM(B37:C37)</f>
        <v>1374654</v>
      </c>
    </row>
    <row r="38" spans="1:4" ht="6" customHeight="1">
      <c r="A38" s="24"/>
      <c r="B38" s="270"/>
      <c r="C38" s="270"/>
      <c r="D38" s="270"/>
    </row>
    <row r="39" spans="1:4" ht="12.75">
      <c r="A39" s="30" t="s">
        <v>126</v>
      </c>
      <c r="B39" s="270"/>
      <c r="C39" s="270"/>
      <c r="D39" s="270"/>
    </row>
    <row r="40" spans="1:6" ht="12.75">
      <c r="A40" s="22" t="s">
        <v>80</v>
      </c>
      <c r="B40" s="276">
        <f>'Lifetime Savings'!N65</f>
        <v>12812718</v>
      </c>
      <c r="C40" s="276">
        <f>'Lifetime Savings'!N109</f>
        <v>14680358</v>
      </c>
      <c r="D40" s="275">
        <f>SUM(B40:C40)</f>
        <v>27493076</v>
      </c>
      <c r="E40" s="140"/>
      <c r="F40" s="140"/>
    </row>
    <row r="41" spans="1:4" ht="6" customHeight="1">
      <c r="A41" s="30"/>
      <c r="B41" s="270"/>
      <c r="C41" s="270"/>
      <c r="D41" s="270"/>
    </row>
    <row r="42" spans="1:4" ht="12.75">
      <c r="A42" s="30" t="s">
        <v>102</v>
      </c>
      <c r="B42" s="272"/>
      <c r="C42" s="272"/>
      <c r="D42" s="270"/>
    </row>
    <row r="43" spans="1:4" ht="12.75">
      <c r="A43" s="22" t="s">
        <v>80</v>
      </c>
      <c r="B43" s="276">
        <f>'Lifetime Savings'!O65</f>
        <v>30860997</v>
      </c>
      <c r="C43" s="273" t="s">
        <v>4</v>
      </c>
      <c r="D43" s="268">
        <f>B43</f>
        <v>30860997</v>
      </c>
    </row>
    <row r="44" spans="1:4" ht="6" customHeight="1">
      <c r="A44" s="24"/>
      <c r="B44" s="270"/>
      <c r="C44" s="270"/>
      <c r="D44" s="270"/>
    </row>
    <row r="45" spans="1:4" ht="12.75">
      <c r="A45" s="30" t="s">
        <v>169</v>
      </c>
      <c r="B45" s="270"/>
      <c r="C45" s="270"/>
      <c r="D45" s="270"/>
    </row>
    <row r="46" spans="1:4" ht="12.75">
      <c r="A46" s="22" t="s">
        <v>80</v>
      </c>
      <c r="B46" s="261">
        <f>'Annual Savings'!N121</f>
        <v>533150</v>
      </c>
      <c r="C46" s="275">
        <f>'Annual Savings'!N182</f>
        <v>585046</v>
      </c>
      <c r="D46" s="275">
        <f>SUM(B46:C46)</f>
        <v>1118196</v>
      </c>
    </row>
    <row r="47" spans="1:4" ht="12.75">
      <c r="A47" s="24"/>
      <c r="B47" s="62"/>
      <c r="C47" s="73"/>
      <c r="D47" s="73"/>
    </row>
    <row r="48" spans="1:4" ht="25.5">
      <c r="A48" s="359" t="s">
        <v>444</v>
      </c>
      <c r="B48" s="24"/>
      <c r="C48" s="24"/>
      <c r="D48" s="24"/>
    </row>
    <row r="49" spans="1:4" ht="12.75">
      <c r="A49" s="24"/>
      <c r="B49" s="28" t="s">
        <v>24</v>
      </c>
      <c r="C49" s="28" t="s">
        <v>23</v>
      </c>
      <c r="D49" s="28" t="s">
        <v>1</v>
      </c>
    </row>
    <row r="50" spans="1:4" ht="12.75">
      <c r="A50" s="30" t="s">
        <v>100</v>
      </c>
      <c r="B50" s="24"/>
      <c r="C50" s="24"/>
      <c r="D50" s="24"/>
    </row>
    <row r="51" spans="1:4" ht="12.75">
      <c r="A51" s="22" t="s">
        <v>59</v>
      </c>
      <c r="B51" s="275">
        <f>'Annual Savings'!N38</f>
        <v>17520</v>
      </c>
      <c r="C51" s="275">
        <f>'Annual Savings'!N160</f>
        <v>143570</v>
      </c>
      <c r="D51" s="275">
        <f>SUM(B51:C51)</f>
        <v>161090</v>
      </c>
    </row>
    <row r="52" spans="1:4" ht="6" customHeight="1">
      <c r="A52" s="24"/>
      <c r="B52" s="270"/>
      <c r="C52" s="270"/>
      <c r="D52" s="270"/>
    </row>
    <row r="53" spans="1:4" ht="12.75">
      <c r="A53" s="30" t="s">
        <v>126</v>
      </c>
      <c r="B53" s="270"/>
      <c r="C53" s="270"/>
      <c r="D53" s="270"/>
    </row>
    <row r="54" spans="1:6" ht="12.75">
      <c r="A54" s="22" t="s">
        <v>59</v>
      </c>
      <c r="B54" s="276">
        <f>'Lifetime Savings'!N70</f>
        <v>210240</v>
      </c>
      <c r="C54" s="276">
        <f>'Lifetime Savings'!N88</f>
        <v>2663601</v>
      </c>
      <c r="D54" s="276">
        <f>SUM(B54:C54)</f>
        <v>2873841</v>
      </c>
      <c r="E54" s="140"/>
      <c r="F54" s="140"/>
    </row>
    <row r="55" spans="1:6" ht="6" customHeight="1">
      <c r="A55" s="30"/>
      <c r="B55" s="272"/>
      <c r="C55" s="272"/>
      <c r="D55" s="272"/>
      <c r="E55" s="140"/>
      <c r="F55" s="140"/>
    </row>
    <row r="56" spans="1:6" ht="12.75">
      <c r="A56" s="30" t="s">
        <v>102</v>
      </c>
      <c r="B56" s="272"/>
      <c r="C56" s="272"/>
      <c r="D56" s="272"/>
      <c r="E56" s="140"/>
      <c r="F56" s="140"/>
    </row>
    <row r="57" spans="1:6" ht="12.75">
      <c r="A57" s="22" t="s">
        <v>59</v>
      </c>
      <c r="B57" s="276">
        <f>'Lifetime Savings'!O70</f>
        <v>2617243</v>
      </c>
      <c r="C57" s="273" t="s">
        <v>4</v>
      </c>
      <c r="D57" s="268">
        <f>B57</f>
        <v>2617243</v>
      </c>
      <c r="E57" s="140"/>
      <c r="F57" s="140"/>
    </row>
    <row r="58" spans="1:6" ht="6" customHeight="1">
      <c r="A58" s="24"/>
      <c r="B58" s="272"/>
      <c r="C58" s="272"/>
      <c r="D58" s="272"/>
      <c r="E58" s="140"/>
      <c r="F58" s="140"/>
    </row>
    <row r="59" spans="1:6" ht="12.75">
      <c r="A59" s="30" t="s">
        <v>169</v>
      </c>
      <c r="B59" s="272"/>
      <c r="C59" s="272"/>
      <c r="D59" s="272"/>
      <c r="E59" s="140"/>
      <c r="F59" s="140"/>
    </row>
    <row r="60" spans="1:6" ht="12.75">
      <c r="A60" s="22" t="s">
        <v>59</v>
      </c>
      <c r="B60" s="271">
        <f>'Annual Savings'!N99</f>
        <v>2000</v>
      </c>
      <c r="C60" s="276">
        <f>'Annual Savings'!N165</f>
        <v>18799</v>
      </c>
      <c r="D60" s="276">
        <f>SUM(B60:C60)</f>
        <v>20799</v>
      </c>
      <c r="E60" s="140"/>
      <c r="F60" s="140"/>
    </row>
    <row r="63" ht="14.25">
      <c r="A63" s="88" t="s">
        <v>438</v>
      </c>
    </row>
  </sheetData>
  <sheetProtection/>
  <mergeCells count="1">
    <mergeCell ref="A1:E1"/>
  </mergeCells>
  <printOptions/>
  <pageMargins left="0.55" right="0.57" top="0.62" bottom="0.54" header="0.5" footer="0.24"/>
  <pageSetup fitToHeight="1" fitToWidth="1" horizontalDpi="600" verticalDpi="600" orientation="landscape" scale="71" r:id="rId1"/>
  <headerFooter scaleWithDoc="0" alignWithMargins="0">
    <oddFooter>&amp;L&amp;8New Jersey's Clean Energy Program
Results by Program Year&amp;C&amp;8&amp;A&amp;R&amp;8printed &amp;D at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Z116"/>
  <sheetViews>
    <sheetView showGridLines="0" zoomScalePageLayoutView="0" workbookViewId="0" topLeftCell="A1">
      <selection activeCell="A1" sqref="A1:O1"/>
    </sheetView>
  </sheetViews>
  <sheetFormatPr defaultColWidth="10.7109375" defaultRowHeight="12.75"/>
  <cols>
    <col min="1" max="1" width="31.8515625" style="3" bestFit="1" customWidth="1"/>
    <col min="2" max="2" width="15.00390625" style="3" bestFit="1" customWidth="1"/>
    <col min="3" max="5" width="12.7109375" style="6" hidden="1" customWidth="1"/>
    <col min="6" max="6" width="13.8515625" style="6" hidden="1" customWidth="1"/>
    <col min="7" max="7" width="12.7109375" style="6" hidden="1" customWidth="1"/>
    <col min="8" max="8" width="14.00390625" style="6" bestFit="1" customWidth="1"/>
    <col min="9" max="12" width="15.00390625" style="6" bestFit="1" customWidth="1"/>
    <col min="13" max="14" width="15.00390625" style="65" bestFit="1" customWidth="1"/>
    <col min="15" max="15" width="16.00390625" style="6" bestFit="1" customWidth="1"/>
    <col min="16" max="16" width="10.7109375" style="65" customWidth="1"/>
    <col min="17" max="18" width="10.7109375" style="6" customWidth="1"/>
    <col min="19" max="19" width="14.421875" style="6" bestFit="1" customWidth="1"/>
    <col min="20" max="16384" width="10.7109375" style="6" customWidth="1"/>
  </cols>
  <sheetData>
    <row r="1" spans="1:16" ht="15.75">
      <c r="A1" s="382" t="s">
        <v>25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140"/>
    </row>
    <row r="2" spans="1:16" ht="15.75">
      <c r="A2" s="112"/>
      <c r="B2" s="112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43"/>
      <c r="N2" s="143"/>
      <c r="O2" s="117"/>
      <c r="P2" s="140"/>
    </row>
    <row r="3" spans="1:16" ht="12.75">
      <c r="A3" s="40"/>
      <c r="B3" s="40"/>
      <c r="P3" s="140"/>
    </row>
    <row r="4" spans="1:16" ht="25.5">
      <c r="A4" s="30" t="s">
        <v>309</v>
      </c>
      <c r="B4" s="207" t="s">
        <v>354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107">
        <v>2011</v>
      </c>
      <c r="N4" s="361" t="s">
        <v>423</v>
      </c>
      <c r="O4" s="126" t="s">
        <v>427</v>
      </c>
      <c r="P4" s="140"/>
    </row>
    <row r="5" spans="1:16" ht="12.75">
      <c r="A5" s="15" t="s">
        <v>26</v>
      </c>
      <c r="B5" s="287">
        <f>SUM(C5:G5)</f>
        <v>1010</v>
      </c>
      <c r="C5" s="287">
        <v>1010</v>
      </c>
      <c r="D5" s="287"/>
      <c r="E5" s="287"/>
      <c r="F5" s="287"/>
      <c r="G5" s="287"/>
      <c r="H5" s="287"/>
      <c r="I5" s="287"/>
      <c r="J5" s="287"/>
      <c r="K5" s="287"/>
      <c r="L5" s="287"/>
      <c r="M5" s="262"/>
      <c r="N5" s="262"/>
      <c r="O5" s="287">
        <f aca="true" t="shared" si="0" ref="O5:O16">SUM(C5:N5)</f>
        <v>1010</v>
      </c>
      <c r="P5" s="140"/>
    </row>
    <row r="6" spans="1:16" ht="12.75">
      <c r="A6" s="15" t="s">
        <v>44</v>
      </c>
      <c r="B6" s="287">
        <f aca="true" t="shared" si="1" ref="B6:B16">SUM(C6:G6)</f>
        <v>1661</v>
      </c>
      <c r="C6" s="287">
        <v>1661</v>
      </c>
      <c r="D6" s="287"/>
      <c r="E6" s="287"/>
      <c r="F6" s="287"/>
      <c r="G6" s="287"/>
      <c r="H6" s="287"/>
      <c r="I6" s="287"/>
      <c r="J6" s="287"/>
      <c r="K6" s="287"/>
      <c r="L6" s="287"/>
      <c r="M6" s="262"/>
      <c r="N6" s="262"/>
      <c r="O6" s="287">
        <f t="shared" si="0"/>
        <v>1661</v>
      </c>
      <c r="P6" s="140"/>
    </row>
    <row r="7" spans="1:16" ht="12.75">
      <c r="A7" s="15" t="s">
        <v>27</v>
      </c>
      <c r="B7" s="287">
        <f t="shared" si="1"/>
        <v>1210</v>
      </c>
      <c r="C7" s="287">
        <v>1210</v>
      </c>
      <c r="D7" s="287"/>
      <c r="E7" s="287"/>
      <c r="F7" s="287"/>
      <c r="G7" s="287"/>
      <c r="H7" s="287"/>
      <c r="I7" s="287"/>
      <c r="J7" s="287"/>
      <c r="K7" s="287"/>
      <c r="L7" s="287"/>
      <c r="M7" s="262"/>
      <c r="N7" s="262"/>
      <c r="O7" s="287">
        <f t="shared" si="0"/>
        <v>1210</v>
      </c>
      <c r="P7" s="140"/>
    </row>
    <row r="8" spans="1:16" ht="12.75">
      <c r="A8" s="15" t="s">
        <v>350</v>
      </c>
      <c r="B8" s="287">
        <f t="shared" si="1"/>
        <v>2500</v>
      </c>
      <c r="C8" s="287"/>
      <c r="D8" s="287"/>
      <c r="E8" s="287"/>
      <c r="F8" s="287">
        <v>2500</v>
      </c>
      <c r="G8" s="287">
        <v>0</v>
      </c>
      <c r="H8" s="287">
        <v>0</v>
      </c>
      <c r="I8" s="287"/>
      <c r="J8" s="287"/>
      <c r="K8" s="287"/>
      <c r="L8" s="287"/>
      <c r="M8" s="262"/>
      <c r="N8" s="262"/>
      <c r="O8" s="287">
        <f t="shared" si="0"/>
        <v>2500</v>
      </c>
      <c r="P8" s="140"/>
    </row>
    <row r="9" spans="1:16" ht="12.75">
      <c r="A9" s="15" t="s">
        <v>28</v>
      </c>
      <c r="B9" s="287">
        <f t="shared" si="1"/>
        <v>7533</v>
      </c>
      <c r="C9" s="287"/>
      <c r="D9" s="287">
        <v>7533</v>
      </c>
      <c r="E9" s="287"/>
      <c r="F9" s="287"/>
      <c r="G9" s="287"/>
      <c r="H9" s="287"/>
      <c r="I9" s="287"/>
      <c r="J9" s="287"/>
      <c r="K9" s="287"/>
      <c r="L9" s="287"/>
      <c r="M9" s="262"/>
      <c r="N9" s="262"/>
      <c r="O9" s="287">
        <f t="shared" si="0"/>
        <v>7533</v>
      </c>
      <c r="P9" s="140"/>
    </row>
    <row r="10" spans="1:16" ht="12.75">
      <c r="A10" s="15" t="s">
        <v>45</v>
      </c>
      <c r="B10" s="287">
        <f t="shared" si="1"/>
        <v>2471</v>
      </c>
      <c r="C10" s="287"/>
      <c r="D10" s="287"/>
      <c r="E10" s="287">
        <v>882</v>
      </c>
      <c r="F10" s="287">
        <v>754</v>
      </c>
      <c r="G10" s="287">
        <v>835</v>
      </c>
      <c r="H10" s="287">
        <v>1054</v>
      </c>
      <c r="I10" s="287"/>
      <c r="J10" s="287"/>
      <c r="K10" s="287"/>
      <c r="L10" s="287"/>
      <c r="M10" s="262"/>
      <c r="N10" s="262"/>
      <c r="O10" s="287">
        <f t="shared" si="0"/>
        <v>3525</v>
      </c>
      <c r="P10" s="140"/>
    </row>
    <row r="11" spans="1:16" ht="12.75">
      <c r="A11" s="15" t="s">
        <v>46</v>
      </c>
      <c r="B11" s="287">
        <f t="shared" si="1"/>
        <v>4517</v>
      </c>
      <c r="C11" s="287"/>
      <c r="D11" s="287"/>
      <c r="E11" s="287">
        <v>2472</v>
      </c>
      <c r="F11" s="287">
        <v>1170</v>
      </c>
      <c r="G11" s="287">
        <v>875</v>
      </c>
      <c r="H11" s="287">
        <v>875</v>
      </c>
      <c r="I11" s="287"/>
      <c r="J11" s="287"/>
      <c r="K11" s="287"/>
      <c r="L11" s="287"/>
      <c r="M11" s="262"/>
      <c r="N11" s="262"/>
      <c r="O11" s="287">
        <f t="shared" si="0"/>
        <v>5392</v>
      </c>
      <c r="P11" s="140"/>
    </row>
    <row r="12" spans="1:16" ht="12.75">
      <c r="A12" s="15" t="s">
        <v>47</v>
      </c>
      <c r="B12" s="287">
        <f t="shared" si="1"/>
        <v>15002</v>
      </c>
      <c r="C12" s="287"/>
      <c r="D12" s="287"/>
      <c r="E12" s="287">
        <v>3800</v>
      </c>
      <c r="F12" s="287">
        <v>7152</v>
      </c>
      <c r="G12" s="287">
        <v>4050</v>
      </c>
      <c r="H12" s="287">
        <v>1320</v>
      </c>
      <c r="I12" s="287"/>
      <c r="J12" s="287"/>
      <c r="K12" s="287"/>
      <c r="L12" s="287"/>
      <c r="M12" s="262"/>
      <c r="N12" s="262"/>
      <c r="O12" s="287">
        <f t="shared" si="0"/>
        <v>16322</v>
      </c>
      <c r="P12" s="140"/>
    </row>
    <row r="13" spans="1:16" ht="12.75">
      <c r="A13" s="15" t="s">
        <v>48</v>
      </c>
      <c r="B13" s="287">
        <f t="shared" si="1"/>
        <v>4676</v>
      </c>
      <c r="C13" s="287">
        <v>1474</v>
      </c>
      <c r="D13" s="287">
        <v>1235</v>
      </c>
      <c r="E13" s="287">
        <v>151</v>
      </c>
      <c r="F13" s="287">
        <v>946</v>
      </c>
      <c r="G13" s="287">
        <v>870</v>
      </c>
      <c r="H13" s="287">
        <v>870</v>
      </c>
      <c r="I13" s="287"/>
      <c r="J13" s="287"/>
      <c r="K13" s="287"/>
      <c r="L13" s="287"/>
      <c r="M13" s="262"/>
      <c r="N13" s="262"/>
      <c r="O13" s="287">
        <f t="shared" si="0"/>
        <v>5546</v>
      </c>
      <c r="P13" s="148"/>
    </row>
    <row r="14" spans="1:16" ht="12.75">
      <c r="A14" s="15" t="s">
        <v>94</v>
      </c>
      <c r="B14" s="287">
        <f t="shared" si="1"/>
        <v>200</v>
      </c>
      <c r="C14" s="287"/>
      <c r="D14" s="287"/>
      <c r="E14" s="287"/>
      <c r="F14" s="287"/>
      <c r="G14" s="287">
        <v>200</v>
      </c>
      <c r="H14" s="287">
        <v>3595</v>
      </c>
      <c r="I14" s="287"/>
      <c r="J14" s="287"/>
      <c r="K14" s="287"/>
      <c r="L14" s="287"/>
      <c r="M14" s="262"/>
      <c r="N14" s="262"/>
      <c r="O14" s="287">
        <f t="shared" si="0"/>
        <v>3795</v>
      </c>
      <c r="P14" s="148"/>
    </row>
    <row r="15" spans="1:16" ht="12.75">
      <c r="A15" s="16" t="s">
        <v>1</v>
      </c>
      <c r="B15" s="287">
        <f t="shared" si="1"/>
        <v>40780</v>
      </c>
      <c r="C15" s="287">
        <f>SUM(C5:C14)</f>
        <v>5355</v>
      </c>
      <c r="D15" s="287">
        <f>SUM(D5:D14)</f>
        <v>8768</v>
      </c>
      <c r="E15" s="287">
        <f>SUM(E5:E14)</f>
        <v>7305</v>
      </c>
      <c r="F15" s="287">
        <f>SUM(F5:F14)</f>
        <v>12522</v>
      </c>
      <c r="G15" s="287">
        <f>SUM(G5:G14)</f>
        <v>6830</v>
      </c>
      <c r="H15" s="287">
        <f>SUM(H10:H14)</f>
        <v>7714</v>
      </c>
      <c r="I15" s="287">
        <v>11083</v>
      </c>
      <c r="J15" s="287">
        <v>20142</v>
      </c>
      <c r="K15" s="287"/>
      <c r="L15" s="287"/>
      <c r="M15" s="262"/>
      <c r="N15" s="262"/>
      <c r="O15" s="287">
        <f t="shared" si="0"/>
        <v>79719</v>
      </c>
      <c r="P15" s="148"/>
    </row>
    <row r="16" spans="1:16" ht="12.75">
      <c r="A16" s="16" t="s">
        <v>254</v>
      </c>
      <c r="B16" s="288">
        <f t="shared" si="1"/>
        <v>40780000</v>
      </c>
      <c r="C16" s="288">
        <f>C15*1000</f>
        <v>5355000</v>
      </c>
      <c r="D16" s="288">
        <f aca="true" t="shared" si="2" ref="D16:J16">D15*1000</f>
        <v>8768000</v>
      </c>
      <c r="E16" s="288">
        <f t="shared" si="2"/>
        <v>7305000</v>
      </c>
      <c r="F16" s="288">
        <f t="shared" si="2"/>
        <v>12522000</v>
      </c>
      <c r="G16" s="288">
        <f t="shared" si="2"/>
        <v>6830000</v>
      </c>
      <c r="H16" s="288">
        <f t="shared" si="2"/>
        <v>7714000</v>
      </c>
      <c r="I16" s="288">
        <f t="shared" si="2"/>
        <v>11083000</v>
      </c>
      <c r="J16" s="288">
        <f t="shared" si="2"/>
        <v>20142000</v>
      </c>
      <c r="K16" s="288">
        <v>25315444.47</v>
      </c>
      <c r="L16" s="288">
        <v>17936073.74</v>
      </c>
      <c r="M16" s="289">
        <v>18193381.04</v>
      </c>
      <c r="N16" s="289">
        <v>26137799.26</v>
      </c>
      <c r="O16" s="288">
        <f t="shared" si="0"/>
        <v>167301698.51</v>
      </c>
      <c r="P16" s="148"/>
    </row>
    <row r="17" spans="1:16" ht="27.75" customHeight="1">
      <c r="A17" s="384" t="s">
        <v>380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148"/>
    </row>
    <row r="18" spans="1:17" ht="12.75">
      <c r="A18" s="21"/>
      <c r="B18" s="21"/>
      <c r="C18" s="44"/>
      <c r="D18" s="44"/>
      <c r="E18" s="44"/>
      <c r="F18" s="44"/>
      <c r="G18" s="35"/>
      <c r="H18" s="35"/>
      <c r="I18" s="35"/>
      <c r="J18" s="35"/>
      <c r="K18" s="35"/>
      <c r="L18" s="35"/>
      <c r="M18" s="144"/>
      <c r="N18" s="144"/>
      <c r="O18" s="35"/>
      <c r="P18" s="146"/>
      <c r="Q18" s="3"/>
    </row>
    <row r="19" spans="1:17" ht="12.75">
      <c r="A19" s="30" t="s">
        <v>256</v>
      </c>
      <c r="B19" s="30"/>
      <c r="C19" s="41"/>
      <c r="D19" s="41"/>
      <c r="E19" s="41"/>
      <c r="F19" s="41"/>
      <c r="G19" s="123"/>
      <c r="H19" s="123"/>
      <c r="I19" s="123"/>
      <c r="J19" s="123"/>
      <c r="K19" s="123"/>
      <c r="L19" s="123"/>
      <c r="M19" s="145"/>
      <c r="N19" s="145"/>
      <c r="O19" s="104"/>
      <c r="P19" s="146"/>
      <c r="Q19" s="3"/>
    </row>
    <row r="20" spans="1:16" s="3" customFormat="1" ht="12.75">
      <c r="A20" s="15" t="s">
        <v>26</v>
      </c>
      <c r="B20" s="216">
        <f aca="true" t="shared" si="3" ref="B20:B31">SUM(C20:G20)</f>
        <v>276</v>
      </c>
      <c r="C20" s="216">
        <v>276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7"/>
      <c r="N20" s="217"/>
      <c r="O20" s="216">
        <f aca="true" t="shared" si="4" ref="O20:O31">SUM(C20:N20)</f>
        <v>276</v>
      </c>
      <c r="P20" s="146"/>
    </row>
    <row r="21" spans="1:16" s="3" customFormat="1" ht="12.75">
      <c r="A21" s="15" t="s">
        <v>44</v>
      </c>
      <c r="B21" s="216">
        <f t="shared" si="3"/>
        <v>713</v>
      </c>
      <c r="C21" s="216">
        <v>713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7"/>
      <c r="N21" s="217"/>
      <c r="O21" s="216">
        <f t="shared" si="4"/>
        <v>713</v>
      </c>
      <c r="P21" s="146"/>
    </row>
    <row r="22" spans="1:16" s="3" customFormat="1" ht="12.75">
      <c r="A22" s="15" t="s">
        <v>27</v>
      </c>
      <c r="B22" s="216">
        <f t="shared" si="3"/>
        <v>247</v>
      </c>
      <c r="C22" s="216">
        <v>247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7"/>
      <c r="N22" s="217"/>
      <c r="O22" s="216">
        <f t="shared" si="4"/>
        <v>247</v>
      </c>
      <c r="P22" s="146"/>
    </row>
    <row r="23" spans="1:16" s="3" customFormat="1" ht="12.75">
      <c r="A23" s="15" t="s">
        <v>350</v>
      </c>
      <c r="B23" s="216">
        <f t="shared" si="3"/>
        <v>16</v>
      </c>
      <c r="C23" s="216"/>
      <c r="D23" s="216"/>
      <c r="E23" s="216"/>
      <c r="F23" s="216">
        <v>16</v>
      </c>
      <c r="G23" s="216">
        <v>0</v>
      </c>
      <c r="H23" s="216"/>
      <c r="I23" s="216"/>
      <c r="J23" s="216"/>
      <c r="K23" s="216"/>
      <c r="L23" s="216"/>
      <c r="M23" s="217"/>
      <c r="N23" s="217"/>
      <c r="O23" s="216"/>
      <c r="P23" s="146"/>
    </row>
    <row r="24" spans="1:16" s="3" customFormat="1" ht="12.75">
      <c r="A24" s="15" t="s">
        <v>28</v>
      </c>
      <c r="B24" s="216">
        <f t="shared" si="3"/>
        <v>2803</v>
      </c>
      <c r="C24" s="216"/>
      <c r="D24" s="216">
        <v>2803</v>
      </c>
      <c r="E24" s="216"/>
      <c r="F24" s="216"/>
      <c r="G24" s="216"/>
      <c r="H24" s="216"/>
      <c r="I24" s="216"/>
      <c r="J24" s="216"/>
      <c r="K24" s="216"/>
      <c r="L24" s="216"/>
      <c r="M24" s="217"/>
      <c r="N24" s="217"/>
      <c r="O24" s="216">
        <f t="shared" si="4"/>
        <v>2803</v>
      </c>
      <c r="P24" s="146"/>
    </row>
    <row r="25" spans="1:16" s="3" customFormat="1" ht="12.75">
      <c r="A25" s="15" t="s">
        <v>45</v>
      </c>
      <c r="B25" s="216">
        <f t="shared" si="3"/>
        <v>3586</v>
      </c>
      <c r="C25" s="216"/>
      <c r="D25" s="216"/>
      <c r="E25" s="216">
        <v>911</v>
      </c>
      <c r="F25" s="216">
        <v>1654</v>
      </c>
      <c r="G25" s="216">
        <v>1021</v>
      </c>
      <c r="H25" s="216">
        <v>606</v>
      </c>
      <c r="I25" s="216"/>
      <c r="J25" s="216"/>
      <c r="K25" s="216"/>
      <c r="L25" s="216"/>
      <c r="M25" s="217"/>
      <c r="N25" s="217"/>
      <c r="O25" s="216">
        <f t="shared" si="4"/>
        <v>4192</v>
      </c>
      <c r="P25" s="146"/>
    </row>
    <row r="26" spans="1:16" s="3" customFormat="1" ht="12.75">
      <c r="A26" s="15" t="s">
        <v>46</v>
      </c>
      <c r="B26" s="216">
        <f t="shared" si="3"/>
        <v>1665</v>
      </c>
      <c r="C26" s="216"/>
      <c r="D26" s="216"/>
      <c r="E26" s="216">
        <v>872</v>
      </c>
      <c r="F26" s="216">
        <v>397</v>
      </c>
      <c r="G26" s="216">
        <v>396</v>
      </c>
      <c r="H26" s="216">
        <v>481</v>
      </c>
      <c r="I26" s="216"/>
      <c r="J26" s="216"/>
      <c r="K26" s="216"/>
      <c r="L26" s="216"/>
      <c r="M26" s="217"/>
      <c r="N26" s="217"/>
      <c r="O26" s="216">
        <f t="shared" si="4"/>
        <v>2146</v>
      </c>
      <c r="P26" s="146"/>
    </row>
    <row r="27" spans="1:16" s="3" customFormat="1" ht="12.75">
      <c r="A27" s="15" t="s">
        <v>47</v>
      </c>
      <c r="B27" s="216">
        <f t="shared" si="3"/>
        <v>14283</v>
      </c>
      <c r="C27" s="216"/>
      <c r="D27" s="216"/>
      <c r="E27" s="216">
        <v>4219</v>
      </c>
      <c r="F27" s="216">
        <v>6048</v>
      </c>
      <c r="G27" s="216">
        <v>4016</v>
      </c>
      <c r="H27" s="216">
        <v>-68</v>
      </c>
      <c r="I27" s="216"/>
      <c r="J27" s="216"/>
      <c r="K27" s="216"/>
      <c r="L27" s="216"/>
      <c r="M27" s="217"/>
      <c r="N27" s="217"/>
      <c r="O27" s="216">
        <f t="shared" si="4"/>
        <v>14215</v>
      </c>
      <c r="P27" s="146"/>
    </row>
    <row r="28" spans="1:16" s="3" customFormat="1" ht="12.75">
      <c r="A28" s="15" t="s">
        <v>48</v>
      </c>
      <c r="B28" s="216">
        <f t="shared" si="3"/>
        <v>3306</v>
      </c>
      <c r="C28" s="216">
        <v>1257</v>
      </c>
      <c r="D28" s="216">
        <v>961</v>
      </c>
      <c r="E28" s="216">
        <v>303</v>
      </c>
      <c r="F28" s="216">
        <v>350</v>
      </c>
      <c r="G28" s="216">
        <v>435</v>
      </c>
      <c r="H28" s="216">
        <v>395</v>
      </c>
      <c r="I28" s="216"/>
      <c r="J28" s="216"/>
      <c r="K28" s="216"/>
      <c r="L28" s="216"/>
      <c r="M28" s="217"/>
      <c r="N28" s="217"/>
      <c r="O28" s="216">
        <f t="shared" si="4"/>
        <v>3701</v>
      </c>
      <c r="P28" s="146"/>
    </row>
    <row r="29" spans="1:16" s="3" customFormat="1" ht="12.75">
      <c r="A29" s="15" t="s">
        <v>94</v>
      </c>
      <c r="B29" s="216">
        <f t="shared" si="3"/>
        <v>105</v>
      </c>
      <c r="C29" s="216"/>
      <c r="D29" s="216"/>
      <c r="E29" s="216"/>
      <c r="F29" s="216"/>
      <c r="G29" s="216">
        <v>105</v>
      </c>
      <c r="H29" s="216">
        <v>1952</v>
      </c>
      <c r="I29" s="216"/>
      <c r="J29" s="216"/>
      <c r="K29" s="216"/>
      <c r="L29" s="216"/>
      <c r="M29" s="217"/>
      <c r="N29" s="217"/>
      <c r="O29" s="216">
        <f t="shared" si="4"/>
        <v>2057</v>
      </c>
      <c r="P29" s="146"/>
    </row>
    <row r="30" spans="1:16" s="3" customFormat="1" ht="12.75">
      <c r="A30" s="16" t="s">
        <v>1</v>
      </c>
      <c r="B30" s="216">
        <f t="shared" si="3"/>
        <v>27000</v>
      </c>
      <c r="C30" s="216">
        <f>SUM(C20:C29)</f>
        <v>2493</v>
      </c>
      <c r="D30" s="216">
        <f>SUM(D20:D29)</f>
        <v>3764</v>
      </c>
      <c r="E30" s="216">
        <f>SUM(E20:E29)</f>
        <v>6305</v>
      </c>
      <c r="F30" s="216">
        <f>SUM(F20:F29)</f>
        <v>8465</v>
      </c>
      <c r="G30" s="216">
        <f>SUM(G20:G29)</f>
        <v>5973</v>
      </c>
      <c r="H30" s="216">
        <f>SUM(H25:H29)</f>
        <v>3366</v>
      </c>
      <c r="I30" s="216">
        <v>4654</v>
      </c>
      <c r="J30" s="216">
        <v>14516</v>
      </c>
      <c r="K30" s="216"/>
      <c r="L30" s="216"/>
      <c r="M30" s="217"/>
      <c r="N30" s="217"/>
      <c r="O30" s="216">
        <f t="shared" si="4"/>
        <v>49536</v>
      </c>
      <c r="P30" s="149"/>
    </row>
    <row r="31" spans="1:16" s="3" customFormat="1" ht="12.75">
      <c r="A31" s="16" t="s">
        <v>254</v>
      </c>
      <c r="B31" s="290">
        <f t="shared" si="3"/>
        <v>27000000</v>
      </c>
      <c r="C31" s="290">
        <f>C30*1000</f>
        <v>2493000</v>
      </c>
      <c r="D31" s="290">
        <f aca="true" t="shared" si="5" ref="D31:J31">D30*1000</f>
        <v>3764000</v>
      </c>
      <c r="E31" s="290">
        <f t="shared" si="5"/>
        <v>6305000</v>
      </c>
      <c r="F31" s="290">
        <f t="shared" si="5"/>
        <v>8465000</v>
      </c>
      <c r="G31" s="290">
        <f t="shared" si="5"/>
        <v>5973000</v>
      </c>
      <c r="H31" s="290">
        <f t="shared" si="5"/>
        <v>3366000</v>
      </c>
      <c r="I31" s="290">
        <f t="shared" si="5"/>
        <v>4654000</v>
      </c>
      <c r="J31" s="290">
        <f t="shared" si="5"/>
        <v>14516000</v>
      </c>
      <c r="K31" s="290">
        <v>19623879.93</v>
      </c>
      <c r="L31" s="290">
        <v>16082752.06</v>
      </c>
      <c r="M31" s="291">
        <v>16643930.61</v>
      </c>
      <c r="N31" s="291">
        <v>21407141.07</v>
      </c>
      <c r="O31" s="290">
        <f t="shared" si="4"/>
        <v>123293703.67000002</v>
      </c>
      <c r="P31" s="149"/>
    </row>
    <row r="32" spans="1:16" s="3" customFormat="1" ht="12.75">
      <c r="A32" s="21"/>
      <c r="B32" s="2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3"/>
      <c r="N32" s="63"/>
      <c r="O32" s="40"/>
      <c r="P32" s="146"/>
    </row>
    <row r="33" spans="1:16" s="3" customFormat="1" ht="12.75">
      <c r="A33" s="43" t="s">
        <v>5</v>
      </c>
      <c r="B33" s="43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58"/>
      <c r="N33" s="58"/>
      <c r="O33" s="44"/>
      <c r="P33" s="146"/>
    </row>
    <row r="34" spans="1:16" s="3" customFormat="1" ht="12.75">
      <c r="A34" s="15" t="s">
        <v>50</v>
      </c>
      <c r="B34" s="27">
        <f aca="true" t="shared" si="6" ref="B34:B42">SUM(C34:G34)</f>
        <v>64515</v>
      </c>
      <c r="C34" s="27"/>
      <c r="D34" s="27"/>
      <c r="E34" s="27">
        <v>25387</v>
      </c>
      <c r="F34" s="27">
        <v>24420</v>
      </c>
      <c r="G34" s="27">
        <v>14708</v>
      </c>
      <c r="H34" s="27">
        <v>9607</v>
      </c>
      <c r="I34" s="27">
        <v>13602</v>
      </c>
      <c r="J34" s="27">
        <v>13691</v>
      </c>
      <c r="K34" s="27">
        <v>7528</v>
      </c>
      <c r="L34" s="27">
        <v>11322</v>
      </c>
      <c r="M34" s="134"/>
      <c r="N34" s="134"/>
      <c r="O34" s="27">
        <f aca="true" t="shared" si="7" ref="O34:O42">SUM(C34:N34)</f>
        <v>120265</v>
      </c>
      <c r="P34" s="146"/>
    </row>
    <row r="35" spans="1:16" s="3" customFormat="1" ht="12.75">
      <c r="A35" s="15" t="s">
        <v>53</v>
      </c>
      <c r="B35" s="27">
        <f t="shared" si="6"/>
        <v>3681</v>
      </c>
      <c r="C35" s="27"/>
      <c r="D35" s="27"/>
      <c r="E35" s="27"/>
      <c r="F35" s="27">
        <v>3681</v>
      </c>
      <c r="G35" s="27"/>
      <c r="H35" s="27"/>
      <c r="I35" s="27">
        <v>1833</v>
      </c>
      <c r="J35" s="27">
        <v>22761</v>
      </c>
      <c r="K35" s="27">
        <v>25424</v>
      </c>
      <c r="L35" s="27">
        <v>28919</v>
      </c>
      <c r="M35" s="134">
        <v>32202</v>
      </c>
      <c r="N35" s="134">
        <v>27518</v>
      </c>
      <c r="O35" s="27">
        <f t="shared" si="7"/>
        <v>142338</v>
      </c>
      <c r="P35" s="146"/>
    </row>
    <row r="36" spans="1:16" s="3" customFormat="1" ht="12.75">
      <c r="A36" s="15" t="s">
        <v>54</v>
      </c>
      <c r="B36" s="27">
        <f t="shared" si="6"/>
        <v>2169</v>
      </c>
      <c r="C36" s="27"/>
      <c r="D36" s="27"/>
      <c r="E36" s="27"/>
      <c r="F36" s="27">
        <v>2169</v>
      </c>
      <c r="G36" s="27"/>
      <c r="H36" s="27"/>
      <c r="I36" s="27"/>
      <c r="J36" s="27"/>
      <c r="K36" s="27"/>
      <c r="L36" s="27"/>
      <c r="M36" s="134"/>
      <c r="N36" s="134"/>
      <c r="O36" s="27">
        <f t="shared" si="7"/>
        <v>2169</v>
      </c>
      <c r="P36" s="146"/>
    </row>
    <row r="37" spans="1:16" s="3" customFormat="1" ht="12.75">
      <c r="A37" s="15" t="s">
        <v>51</v>
      </c>
      <c r="B37" s="27">
        <f t="shared" si="6"/>
        <v>70281</v>
      </c>
      <c r="C37" s="27">
        <v>7223</v>
      </c>
      <c r="D37" s="27">
        <v>14678</v>
      </c>
      <c r="E37" s="27">
        <v>8762</v>
      </c>
      <c r="F37" s="27">
        <v>11748</v>
      </c>
      <c r="G37" s="27">
        <v>27870</v>
      </c>
      <c r="H37" s="27">
        <v>19979</v>
      </c>
      <c r="I37" s="27">
        <v>7576</v>
      </c>
      <c r="J37" s="27">
        <v>13464</v>
      </c>
      <c r="K37" s="27">
        <v>5836</v>
      </c>
      <c r="L37" s="27"/>
      <c r="M37" s="134"/>
      <c r="N37" s="134"/>
      <c r="O37" s="27">
        <f t="shared" si="7"/>
        <v>117136</v>
      </c>
      <c r="P37" s="146"/>
    </row>
    <row r="38" spans="1:16" s="3" customFormat="1" ht="12.75">
      <c r="A38" s="19" t="s">
        <v>227</v>
      </c>
      <c r="B38" s="27">
        <f t="shared" si="6"/>
        <v>0</v>
      </c>
      <c r="C38" s="27"/>
      <c r="D38" s="27"/>
      <c r="E38" s="27"/>
      <c r="F38" s="27"/>
      <c r="G38" s="27"/>
      <c r="H38" s="27"/>
      <c r="I38" s="27"/>
      <c r="J38" s="27">
        <v>5380</v>
      </c>
      <c r="K38" s="27">
        <v>8017</v>
      </c>
      <c r="L38" s="27">
        <v>5833</v>
      </c>
      <c r="M38" s="134"/>
      <c r="N38" s="134"/>
      <c r="O38" s="27">
        <f t="shared" si="7"/>
        <v>19230</v>
      </c>
      <c r="P38" s="146"/>
    </row>
    <row r="39" spans="1:16" s="3" customFormat="1" ht="12.75">
      <c r="A39" s="19" t="s">
        <v>244</v>
      </c>
      <c r="B39" s="27">
        <f t="shared" si="6"/>
        <v>0</v>
      </c>
      <c r="C39" s="27"/>
      <c r="D39" s="27"/>
      <c r="E39" s="27"/>
      <c r="F39" s="27"/>
      <c r="G39" s="27"/>
      <c r="H39" s="27"/>
      <c r="I39" s="27"/>
      <c r="J39" s="27"/>
      <c r="K39" s="27"/>
      <c r="L39" s="27">
        <v>16275</v>
      </c>
      <c r="M39" s="134">
        <v>15769</v>
      </c>
      <c r="N39" s="134">
        <v>18579</v>
      </c>
      <c r="O39" s="27">
        <f t="shared" si="7"/>
        <v>50623</v>
      </c>
      <c r="P39" s="146"/>
    </row>
    <row r="40" spans="1:16" s="3" customFormat="1" ht="12.75">
      <c r="A40" s="19" t="s">
        <v>301</v>
      </c>
      <c r="B40" s="27">
        <f t="shared" si="6"/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v>42942</v>
      </c>
      <c r="M40" s="134">
        <v>93930</v>
      </c>
      <c r="N40" s="134">
        <v>85977</v>
      </c>
      <c r="O40" s="27">
        <f t="shared" si="7"/>
        <v>222849</v>
      </c>
      <c r="P40" s="146"/>
    </row>
    <row r="41" spans="1:16" s="3" customFormat="1" ht="12.75">
      <c r="A41" s="15" t="s">
        <v>94</v>
      </c>
      <c r="B41" s="27">
        <f t="shared" si="6"/>
        <v>0</v>
      </c>
      <c r="C41" s="27"/>
      <c r="D41" s="27"/>
      <c r="E41" s="27"/>
      <c r="F41" s="27"/>
      <c r="G41" s="27"/>
      <c r="H41" s="27">
        <v>3</v>
      </c>
      <c r="I41" s="27"/>
      <c r="J41" s="27"/>
      <c r="K41" s="27"/>
      <c r="L41" s="27"/>
      <c r="M41" s="134"/>
      <c r="N41" s="134"/>
      <c r="O41" s="27">
        <f t="shared" si="7"/>
        <v>3</v>
      </c>
      <c r="P41" s="146"/>
    </row>
    <row r="42" spans="1:16" s="3" customFormat="1" ht="12.75">
      <c r="A42" s="16" t="s">
        <v>1</v>
      </c>
      <c r="B42" s="36">
        <f t="shared" si="6"/>
        <v>140646</v>
      </c>
      <c r="C42" s="36">
        <f>SUM(C37)</f>
        <v>7223</v>
      </c>
      <c r="D42" s="36">
        <f>SUM(D37)</f>
        <v>14678</v>
      </c>
      <c r="E42" s="36">
        <f aca="true" t="shared" si="8" ref="E42:J42">SUM(E34:E41)</f>
        <v>34149</v>
      </c>
      <c r="F42" s="36">
        <f t="shared" si="8"/>
        <v>42018</v>
      </c>
      <c r="G42" s="36">
        <f t="shared" si="8"/>
        <v>42578</v>
      </c>
      <c r="H42" s="36">
        <f t="shared" si="8"/>
        <v>29589</v>
      </c>
      <c r="I42" s="36">
        <f t="shared" si="8"/>
        <v>23011</v>
      </c>
      <c r="J42" s="36">
        <f t="shared" si="8"/>
        <v>55296</v>
      </c>
      <c r="K42" s="36">
        <f>SUM(K34:K41)</f>
        <v>46805</v>
      </c>
      <c r="L42" s="36">
        <f>SUM(L34:L41)</f>
        <v>105291</v>
      </c>
      <c r="M42" s="36">
        <f>SUM(M34:M41)</f>
        <v>141901</v>
      </c>
      <c r="N42" s="154">
        <f>SUM(N34:N41)</f>
        <v>132074</v>
      </c>
      <c r="O42" s="36">
        <f t="shared" si="7"/>
        <v>674613</v>
      </c>
      <c r="P42" s="146"/>
    </row>
    <row r="43" spans="1:16" s="3" customFormat="1" ht="12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58"/>
      <c r="N43" s="58"/>
      <c r="O43" s="44"/>
      <c r="P43" s="146"/>
    </row>
    <row r="44" spans="1:16" s="3" customFormat="1" ht="12.75">
      <c r="A44" s="16" t="s">
        <v>52</v>
      </c>
      <c r="B44" s="36">
        <f>SUM(C44:G44)</f>
        <v>4748564</v>
      </c>
      <c r="C44" s="36"/>
      <c r="D44" s="36"/>
      <c r="E44" s="36">
        <v>1496339</v>
      </c>
      <c r="F44" s="36">
        <v>2014151</v>
      </c>
      <c r="G44" s="36">
        <v>1238074</v>
      </c>
      <c r="H44" s="36"/>
      <c r="I44" s="36">
        <v>3162034</v>
      </c>
      <c r="J44" s="36">
        <v>4399641</v>
      </c>
      <c r="K44" s="36">
        <v>6643677</v>
      </c>
      <c r="L44" s="36">
        <v>3986463</v>
      </c>
      <c r="M44" s="154">
        <v>5269102</v>
      </c>
      <c r="N44" s="154">
        <v>7751359</v>
      </c>
      <c r="O44" s="36">
        <f>SUM(C44:N44)</f>
        <v>35960840</v>
      </c>
      <c r="P44" s="146"/>
    </row>
    <row r="45" spans="1:16" s="3" customFormat="1" ht="12.75">
      <c r="A45" s="2" t="s">
        <v>356</v>
      </c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63"/>
      <c r="N45" s="63"/>
      <c r="O45" s="40"/>
      <c r="P45" s="146"/>
    </row>
    <row r="46" spans="1:16" s="3" customFormat="1" ht="15.75">
      <c r="A46" s="382" t="s">
        <v>25</v>
      </c>
      <c r="B46" s="382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146"/>
    </row>
    <row r="47" spans="1:16" s="3" customFormat="1" ht="12.75">
      <c r="A47" s="21"/>
      <c r="B47" s="21"/>
      <c r="M47" s="146"/>
      <c r="N47" s="146"/>
      <c r="P47" s="146"/>
    </row>
    <row r="48" spans="1:16" s="3" customFormat="1" ht="25.5">
      <c r="A48" s="43" t="s">
        <v>132</v>
      </c>
      <c r="B48" s="218" t="str">
        <f>B4</f>
        <v>Summary 
2001 to 2005*</v>
      </c>
      <c r="C48" s="28">
        <v>2001</v>
      </c>
      <c r="D48" s="28">
        <v>2002</v>
      </c>
      <c r="E48" s="28">
        <v>2003</v>
      </c>
      <c r="F48" s="28">
        <v>2004</v>
      </c>
      <c r="G48" s="28">
        <v>2005</v>
      </c>
      <c r="H48" s="28">
        <v>2006</v>
      </c>
      <c r="I48" s="28">
        <v>2007</v>
      </c>
      <c r="J48" s="28">
        <v>2008</v>
      </c>
      <c r="K48" s="28">
        <v>2009</v>
      </c>
      <c r="L48" s="28">
        <v>2010</v>
      </c>
      <c r="M48" s="107">
        <v>2011</v>
      </c>
      <c r="N48" s="227" t="str">
        <f>N4</f>
        <v>(18 month)
2012-2013</v>
      </c>
      <c r="O48" s="126" t="str">
        <f>O4</f>
        <v>Total 
2001-2013</v>
      </c>
      <c r="P48" s="146"/>
    </row>
    <row r="49" spans="1:15" s="3" customFormat="1" ht="12.75">
      <c r="A49" s="21" t="s">
        <v>14</v>
      </c>
      <c r="B49" s="40" t="s">
        <v>8</v>
      </c>
      <c r="C49" s="40" t="s">
        <v>8</v>
      </c>
      <c r="D49" s="40" t="s">
        <v>8</v>
      </c>
      <c r="E49" s="40" t="s">
        <v>8</v>
      </c>
      <c r="F49" s="40" t="s">
        <v>8</v>
      </c>
      <c r="G49" s="40" t="s">
        <v>8</v>
      </c>
      <c r="H49" s="40" t="s">
        <v>8</v>
      </c>
      <c r="I49" s="40" t="s">
        <v>8</v>
      </c>
      <c r="J49" s="45" t="s">
        <v>8</v>
      </c>
      <c r="K49" s="45" t="s">
        <v>8</v>
      </c>
      <c r="L49" s="45" t="s">
        <v>8</v>
      </c>
      <c r="M49" s="89" t="s">
        <v>8</v>
      </c>
      <c r="N49" s="89" t="s">
        <v>8</v>
      </c>
      <c r="O49" s="40" t="s">
        <v>8</v>
      </c>
    </row>
    <row r="50" spans="1:15" s="3" customFormat="1" ht="12.75">
      <c r="A50" s="15" t="s">
        <v>204</v>
      </c>
      <c r="B50" s="265">
        <f aca="true" t="shared" si="9" ref="B50:B58">SUM(C50:G50)</f>
        <v>220165</v>
      </c>
      <c r="C50" s="265">
        <v>0</v>
      </c>
      <c r="D50" s="265">
        <v>0</v>
      </c>
      <c r="E50" s="265">
        <v>61630</v>
      </c>
      <c r="F50" s="265">
        <v>95947</v>
      </c>
      <c r="G50" s="265">
        <v>62588</v>
      </c>
      <c r="H50" s="267">
        <v>0</v>
      </c>
      <c r="I50" s="267">
        <v>106450</v>
      </c>
      <c r="J50" s="267">
        <v>213772</v>
      </c>
      <c r="K50" s="267">
        <v>338254</v>
      </c>
      <c r="L50" s="267">
        <v>166233.2</v>
      </c>
      <c r="M50" s="267">
        <v>218398</v>
      </c>
      <c r="N50" s="267">
        <v>324344.9</v>
      </c>
      <c r="O50" s="265">
        <f aca="true" t="shared" si="10" ref="O50:O57">SUM(C50:N50)</f>
        <v>1587617.1</v>
      </c>
    </row>
    <row r="51" spans="1:15" s="3" customFormat="1" ht="12.75">
      <c r="A51" s="15" t="s">
        <v>49</v>
      </c>
      <c r="B51" s="265">
        <f t="shared" si="9"/>
        <v>3730</v>
      </c>
      <c r="C51" s="265">
        <v>0</v>
      </c>
      <c r="D51" s="265">
        <v>0</v>
      </c>
      <c r="E51" s="265">
        <v>1432</v>
      </c>
      <c r="F51" s="265">
        <v>1377</v>
      </c>
      <c r="G51" s="265">
        <v>921</v>
      </c>
      <c r="H51" s="267">
        <v>542</v>
      </c>
      <c r="I51" s="267">
        <v>767</v>
      </c>
      <c r="J51" s="267">
        <v>772</v>
      </c>
      <c r="K51" s="267">
        <v>425</v>
      </c>
      <c r="L51" s="267">
        <v>639</v>
      </c>
      <c r="M51" s="267">
        <v>13</v>
      </c>
      <c r="N51" s="267"/>
      <c r="O51" s="265">
        <f t="shared" si="10"/>
        <v>6888</v>
      </c>
    </row>
    <row r="52" spans="1:15" s="3" customFormat="1" ht="12.75">
      <c r="A52" s="19" t="s">
        <v>228</v>
      </c>
      <c r="B52" s="265">
        <f t="shared" si="9"/>
        <v>0</v>
      </c>
      <c r="C52" s="265"/>
      <c r="D52" s="265"/>
      <c r="E52" s="265"/>
      <c r="F52" s="265"/>
      <c r="G52" s="265"/>
      <c r="H52" s="267"/>
      <c r="I52" s="267"/>
      <c r="J52" s="267">
        <v>2837</v>
      </c>
      <c r="K52" s="267">
        <v>3248</v>
      </c>
      <c r="L52" s="267">
        <v>3749</v>
      </c>
      <c r="M52" s="267">
        <f>3106.5+9.9+642.4</f>
        <v>3758.8</v>
      </c>
      <c r="N52" s="268">
        <f>3426.8+49.6</f>
        <v>3476.4</v>
      </c>
      <c r="O52" s="265">
        <f t="shared" si="10"/>
        <v>17069.2</v>
      </c>
    </row>
    <row r="53" spans="1:15" s="3" customFormat="1" ht="12.75">
      <c r="A53" s="19" t="s">
        <v>227</v>
      </c>
      <c r="B53" s="265">
        <f t="shared" si="9"/>
        <v>0</v>
      </c>
      <c r="C53" s="265"/>
      <c r="D53" s="265"/>
      <c r="E53" s="265"/>
      <c r="F53" s="265"/>
      <c r="G53" s="265"/>
      <c r="H53" s="267"/>
      <c r="I53" s="267"/>
      <c r="J53" s="267">
        <v>382</v>
      </c>
      <c r="K53" s="267">
        <v>569</v>
      </c>
      <c r="L53" s="267">
        <v>414</v>
      </c>
      <c r="M53" s="267">
        <v>28</v>
      </c>
      <c r="N53" s="267"/>
      <c r="O53" s="265">
        <f t="shared" si="10"/>
        <v>1393</v>
      </c>
    </row>
    <row r="54" spans="1:15" s="3" customFormat="1" ht="12.75">
      <c r="A54" s="19" t="s">
        <v>244</v>
      </c>
      <c r="B54" s="265">
        <f t="shared" si="9"/>
        <v>0</v>
      </c>
      <c r="C54" s="265"/>
      <c r="D54" s="265"/>
      <c r="E54" s="265"/>
      <c r="F54" s="265"/>
      <c r="G54" s="265"/>
      <c r="H54" s="267"/>
      <c r="I54" s="267"/>
      <c r="J54" s="267"/>
      <c r="K54" s="267">
        <v>5540</v>
      </c>
      <c r="L54" s="267">
        <v>15400.6</v>
      </c>
      <c r="M54" s="267">
        <v>15560.9</v>
      </c>
      <c r="N54" s="267">
        <v>17469.5</v>
      </c>
      <c r="O54" s="265">
        <f t="shared" si="10"/>
        <v>53971</v>
      </c>
    </row>
    <row r="55" spans="1:15" s="3" customFormat="1" ht="12.75">
      <c r="A55" s="19" t="s">
        <v>301</v>
      </c>
      <c r="B55" s="265">
        <f t="shared" si="9"/>
        <v>0</v>
      </c>
      <c r="C55" s="265"/>
      <c r="D55" s="265"/>
      <c r="E55" s="265"/>
      <c r="F55" s="265"/>
      <c r="G55" s="265"/>
      <c r="H55" s="267"/>
      <c r="I55" s="267"/>
      <c r="J55" s="267"/>
      <c r="K55" s="267"/>
      <c r="L55" s="267">
        <v>4707</v>
      </c>
      <c r="M55" s="267">
        <v>8829.4</v>
      </c>
      <c r="N55" s="267">
        <v>7996.7</v>
      </c>
      <c r="O55" s="265">
        <f t="shared" si="10"/>
        <v>21533.1</v>
      </c>
    </row>
    <row r="56" spans="1:15" s="3" customFormat="1" ht="12.75">
      <c r="A56" s="19" t="s">
        <v>331</v>
      </c>
      <c r="B56" s="265">
        <f t="shared" si="9"/>
        <v>0</v>
      </c>
      <c r="C56" s="265"/>
      <c r="D56" s="265"/>
      <c r="E56" s="265"/>
      <c r="F56" s="265"/>
      <c r="G56" s="265"/>
      <c r="H56" s="267"/>
      <c r="I56" s="267"/>
      <c r="J56" s="267"/>
      <c r="K56" s="267"/>
      <c r="L56" s="267"/>
      <c r="M56" s="267">
        <v>515.9</v>
      </c>
      <c r="N56" s="268">
        <f>26.1+11.4</f>
        <v>37.5</v>
      </c>
      <c r="O56" s="265">
        <f t="shared" si="10"/>
        <v>553.4</v>
      </c>
    </row>
    <row r="57" spans="1:15" s="3" customFormat="1" ht="12.75">
      <c r="A57" s="19" t="s">
        <v>332</v>
      </c>
      <c r="B57" s="265">
        <f t="shared" si="9"/>
        <v>0</v>
      </c>
      <c r="C57" s="265"/>
      <c r="D57" s="265"/>
      <c r="E57" s="265"/>
      <c r="F57" s="265"/>
      <c r="G57" s="265"/>
      <c r="H57" s="267"/>
      <c r="I57" s="267"/>
      <c r="J57" s="267"/>
      <c r="K57" s="267"/>
      <c r="L57" s="267"/>
      <c r="M57" s="267">
        <v>118.1</v>
      </c>
      <c r="N57" s="267">
        <v>0</v>
      </c>
      <c r="O57" s="265">
        <f t="shared" si="10"/>
        <v>118.1</v>
      </c>
    </row>
    <row r="58" spans="1:15" s="3" customFormat="1" ht="12.75">
      <c r="A58" s="16" t="s">
        <v>1</v>
      </c>
      <c r="B58" s="278">
        <f t="shared" si="9"/>
        <v>223895</v>
      </c>
      <c r="C58" s="278">
        <f>SUM(C50:C53)</f>
        <v>0</v>
      </c>
      <c r="D58" s="278">
        <f>SUM(D50:D53)</f>
        <v>0</v>
      </c>
      <c r="E58" s="278">
        <f>SUM(E50:E53)</f>
        <v>63062</v>
      </c>
      <c r="F58" s="278">
        <f>SUM(F50:F53)</f>
        <v>97324</v>
      </c>
      <c r="G58" s="269">
        <f aca="true" t="shared" si="11" ref="G58:L58">SUM(G50:G57)</f>
        <v>63509</v>
      </c>
      <c r="H58" s="269">
        <f t="shared" si="11"/>
        <v>542</v>
      </c>
      <c r="I58" s="269">
        <f t="shared" si="11"/>
        <v>107217</v>
      </c>
      <c r="J58" s="269">
        <f t="shared" si="11"/>
        <v>217763</v>
      </c>
      <c r="K58" s="269">
        <f t="shared" si="11"/>
        <v>348036</v>
      </c>
      <c r="L58" s="269">
        <f t="shared" si="11"/>
        <v>191142.80000000002</v>
      </c>
      <c r="M58" s="269">
        <f>SUM(M50:M57)</f>
        <v>247222.09999999998</v>
      </c>
      <c r="N58" s="269">
        <f>SUM(N50:N57)</f>
        <v>353325.00000000006</v>
      </c>
      <c r="O58" s="269">
        <f>SUM(O50:O57)</f>
        <v>1689142.9000000001</v>
      </c>
    </row>
    <row r="59" spans="1:19" s="3" customFormat="1" ht="12.75">
      <c r="A59" s="21"/>
      <c r="B59" s="21"/>
      <c r="C59" s="40"/>
      <c r="D59" s="40"/>
      <c r="E59" s="44"/>
      <c r="F59" s="44"/>
      <c r="G59" s="44"/>
      <c r="H59" s="58"/>
      <c r="I59" s="58"/>
      <c r="J59" s="58"/>
      <c r="K59" s="58"/>
      <c r="L59" s="58"/>
      <c r="M59" s="58"/>
      <c r="N59" s="58"/>
      <c r="O59" s="44"/>
      <c r="P59" s="146"/>
      <c r="Q59" s="146"/>
      <c r="R59" s="146"/>
      <c r="S59" s="146"/>
    </row>
    <row r="60" spans="1:19" s="3" customFormat="1" ht="12.75">
      <c r="A60" s="21" t="s">
        <v>10</v>
      </c>
      <c r="B60" s="63" t="s">
        <v>8</v>
      </c>
      <c r="C60" s="40" t="s">
        <v>8</v>
      </c>
      <c r="D60" s="40" t="s">
        <v>8</v>
      </c>
      <c r="E60" s="40" t="s">
        <v>8</v>
      </c>
      <c r="F60" s="40" t="s">
        <v>8</v>
      </c>
      <c r="G60" s="40" t="s">
        <v>8</v>
      </c>
      <c r="H60" s="63" t="s">
        <v>8</v>
      </c>
      <c r="I60" s="40" t="s">
        <v>8</v>
      </c>
      <c r="J60" s="45" t="s">
        <v>8</v>
      </c>
      <c r="K60" s="45" t="s">
        <v>8</v>
      </c>
      <c r="L60" s="45" t="s">
        <v>8</v>
      </c>
      <c r="M60" s="89" t="s">
        <v>8</v>
      </c>
      <c r="N60" s="89" t="s">
        <v>8</v>
      </c>
      <c r="O60" s="40" t="s">
        <v>8</v>
      </c>
      <c r="P60" s="146"/>
      <c r="Q60" s="146"/>
      <c r="R60" s="146"/>
      <c r="S60" s="146"/>
    </row>
    <row r="61" spans="1:19" s="3" customFormat="1" ht="12.75">
      <c r="A61" s="15" t="s">
        <v>204</v>
      </c>
      <c r="B61" s="265">
        <f aca="true" t="shared" si="12" ref="B61:B69">SUM(C61:G61)</f>
        <v>1677956</v>
      </c>
      <c r="C61" s="265">
        <v>0</v>
      </c>
      <c r="D61" s="265">
        <v>0</v>
      </c>
      <c r="E61" s="265">
        <v>359018</v>
      </c>
      <c r="F61" s="265">
        <v>790151</v>
      </c>
      <c r="G61" s="265">
        <v>528787</v>
      </c>
      <c r="H61" s="267">
        <v>0</v>
      </c>
      <c r="I61" s="267">
        <v>742908</v>
      </c>
      <c r="J61" s="267">
        <v>1368138</v>
      </c>
      <c r="K61" s="267">
        <v>2217915</v>
      </c>
      <c r="L61" s="267">
        <v>1131306</v>
      </c>
      <c r="M61" s="267">
        <v>1461053.1</v>
      </c>
      <c r="N61" s="267">
        <v>2241371.2</v>
      </c>
      <c r="O61" s="265">
        <f aca="true" t="shared" si="13" ref="O61:O68">SUM(C61:N61)</f>
        <v>10840647.3</v>
      </c>
      <c r="P61" s="146"/>
      <c r="Q61" s="146"/>
      <c r="R61" s="250"/>
      <c r="S61" s="64"/>
    </row>
    <row r="62" spans="1:19" s="3" customFormat="1" ht="12.75">
      <c r="A62" s="15" t="s">
        <v>49</v>
      </c>
      <c r="B62" s="265">
        <f t="shared" si="12"/>
        <v>37299</v>
      </c>
      <c r="C62" s="265">
        <v>0</v>
      </c>
      <c r="D62" s="265">
        <v>0</v>
      </c>
      <c r="E62" s="265">
        <v>14318</v>
      </c>
      <c r="F62" s="265">
        <v>13773</v>
      </c>
      <c r="G62" s="267">
        <v>9208</v>
      </c>
      <c r="H62" s="267">
        <v>5418</v>
      </c>
      <c r="I62" s="267">
        <v>7672</v>
      </c>
      <c r="J62" s="267">
        <v>7722</v>
      </c>
      <c r="K62" s="267">
        <v>4246</v>
      </c>
      <c r="L62" s="267">
        <v>6386</v>
      </c>
      <c r="M62" s="267">
        <v>129.7</v>
      </c>
      <c r="N62" s="267"/>
      <c r="O62" s="265">
        <f t="shared" si="13"/>
        <v>68872.7</v>
      </c>
      <c r="P62" s="146"/>
      <c r="Q62" s="146"/>
      <c r="R62" s="250"/>
      <c r="S62" s="64"/>
    </row>
    <row r="63" spans="1:19" s="3" customFormat="1" ht="12.75">
      <c r="A63" s="15" t="s">
        <v>53</v>
      </c>
      <c r="B63" s="265">
        <f t="shared" si="12"/>
        <v>0</v>
      </c>
      <c r="C63" s="265"/>
      <c r="D63" s="265"/>
      <c r="E63" s="265"/>
      <c r="F63" s="265"/>
      <c r="G63" s="265"/>
      <c r="H63" s="265"/>
      <c r="I63" s="265"/>
      <c r="J63" s="265">
        <v>42549</v>
      </c>
      <c r="K63" s="265">
        <v>64961</v>
      </c>
      <c r="L63" s="265">
        <v>74979</v>
      </c>
      <c r="M63" s="267">
        <f>62130.4+12848.6+197.9</f>
        <v>75176.9</v>
      </c>
      <c r="N63" s="267">
        <f>69270.1+1003.6</f>
        <v>70273.70000000001</v>
      </c>
      <c r="O63" s="265">
        <f t="shared" si="13"/>
        <v>327939.6</v>
      </c>
      <c r="P63" s="146"/>
      <c r="Q63" s="146"/>
      <c r="R63" s="250"/>
      <c r="S63" s="64"/>
    </row>
    <row r="64" spans="1:19" s="3" customFormat="1" ht="12.75">
      <c r="A64" s="19" t="s">
        <v>227</v>
      </c>
      <c r="B64" s="265">
        <f t="shared" si="12"/>
        <v>0</v>
      </c>
      <c r="C64" s="265"/>
      <c r="D64" s="265"/>
      <c r="E64" s="265"/>
      <c r="F64" s="265"/>
      <c r="G64" s="265"/>
      <c r="H64" s="267"/>
      <c r="I64" s="267"/>
      <c r="J64" s="267">
        <v>3820</v>
      </c>
      <c r="K64" s="267">
        <v>6261</v>
      </c>
      <c r="L64" s="267">
        <v>4554</v>
      </c>
      <c r="M64" s="267">
        <v>307.7</v>
      </c>
      <c r="N64" s="267"/>
      <c r="O64" s="265">
        <f t="shared" si="13"/>
        <v>14942.7</v>
      </c>
      <c r="P64" s="146"/>
      <c r="Q64" s="146"/>
      <c r="R64" s="250"/>
      <c r="S64" s="64"/>
    </row>
    <row r="65" spans="1:19" s="3" customFormat="1" ht="12.75">
      <c r="A65" s="19" t="s">
        <v>244</v>
      </c>
      <c r="B65" s="265">
        <f t="shared" si="12"/>
        <v>0</v>
      </c>
      <c r="C65" s="265"/>
      <c r="D65" s="265"/>
      <c r="E65" s="265"/>
      <c r="F65" s="265"/>
      <c r="G65" s="265"/>
      <c r="H65" s="267"/>
      <c r="I65" s="267"/>
      <c r="J65" s="267"/>
      <c r="K65" s="267">
        <v>44319</v>
      </c>
      <c r="L65" s="267">
        <v>123909.4</v>
      </c>
      <c r="M65" s="267">
        <v>124487.2</v>
      </c>
      <c r="N65" s="267">
        <v>141268.3</v>
      </c>
      <c r="O65" s="265">
        <f t="shared" si="13"/>
        <v>433983.89999999997</v>
      </c>
      <c r="P65" s="132"/>
      <c r="Q65" s="146"/>
      <c r="R65" s="250"/>
      <c r="S65" s="64"/>
    </row>
    <row r="66" spans="1:19" s="3" customFormat="1" ht="12.75">
      <c r="A66" s="19" t="s">
        <v>301</v>
      </c>
      <c r="B66" s="265">
        <f t="shared" si="12"/>
        <v>0</v>
      </c>
      <c r="C66" s="265"/>
      <c r="D66" s="265"/>
      <c r="E66" s="265"/>
      <c r="F66" s="265"/>
      <c r="G66" s="265"/>
      <c r="H66" s="267"/>
      <c r="I66" s="267"/>
      <c r="J66" s="267"/>
      <c r="K66" s="267"/>
      <c r="L66" s="267">
        <v>30564.8</v>
      </c>
      <c r="M66" s="267">
        <v>35317.7</v>
      </c>
      <c r="N66" s="267">
        <v>32329.3</v>
      </c>
      <c r="O66" s="265">
        <f t="shared" si="13"/>
        <v>98211.8</v>
      </c>
      <c r="P66" s="132"/>
      <c r="Q66" s="146"/>
      <c r="R66" s="250"/>
      <c r="S66" s="64"/>
    </row>
    <row r="67" spans="1:19" s="3" customFormat="1" ht="12.75">
      <c r="A67" s="19" t="s">
        <v>331</v>
      </c>
      <c r="B67" s="265">
        <f t="shared" si="12"/>
        <v>0</v>
      </c>
      <c r="C67" s="265"/>
      <c r="D67" s="265"/>
      <c r="E67" s="265"/>
      <c r="F67" s="265"/>
      <c r="G67" s="265"/>
      <c r="H67" s="267"/>
      <c r="I67" s="267"/>
      <c r="J67" s="267"/>
      <c r="K67" s="267"/>
      <c r="L67" s="267"/>
      <c r="M67" s="267">
        <v>8769.9</v>
      </c>
      <c r="N67" s="267">
        <f>447.7+196</f>
        <v>643.7</v>
      </c>
      <c r="O67" s="265">
        <f t="shared" si="13"/>
        <v>9413.6</v>
      </c>
      <c r="P67" s="132"/>
      <c r="Q67" s="146"/>
      <c r="R67" s="250"/>
      <c r="S67" s="64"/>
    </row>
    <row r="68" spans="1:19" s="3" customFormat="1" ht="12.75">
      <c r="A68" s="19" t="s">
        <v>332</v>
      </c>
      <c r="B68" s="265">
        <f t="shared" si="12"/>
        <v>0</v>
      </c>
      <c r="C68" s="265"/>
      <c r="D68" s="265"/>
      <c r="E68" s="265"/>
      <c r="F68" s="265"/>
      <c r="G68" s="265"/>
      <c r="H68" s="267"/>
      <c r="I68" s="267"/>
      <c r="J68" s="267"/>
      <c r="K68" s="267"/>
      <c r="L68" s="267"/>
      <c r="M68" s="267">
        <v>1535.1</v>
      </c>
      <c r="N68" s="267">
        <v>0</v>
      </c>
      <c r="O68" s="265">
        <f t="shared" si="13"/>
        <v>1535.1</v>
      </c>
      <c r="P68" s="132"/>
      <c r="Q68" s="146"/>
      <c r="R68" s="250"/>
      <c r="S68" s="64"/>
    </row>
    <row r="69" spans="1:19" s="3" customFormat="1" ht="12.75">
      <c r="A69" s="16" t="s">
        <v>1</v>
      </c>
      <c r="B69" s="278">
        <f t="shared" si="12"/>
        <v>1715255</v>
      </c>
      <c r="C69" s="278">
        <f>SUM(C61:C64)</f>
        <v>0</v>
      </c>
      <c r="D69" s="278">
        <f>SUM(D61:D64)</f>
        <v>0</v>
      </c>
      <c r="E69" s="278">
        <f>SUM(E61:E64)</f>
        <v>373336</v>
      </c>
      <c r="F69" s="278">
        <f>SUM(F61:F64)</f>
        <v>803924</v>
      </c>
      <c r="G69" s="278">
        <f>SUM(G61:G68)</f>
        <v>537995</v>
      </c>
      <c r="H69" s="278">
        <f aca="true" t="shared" si="14" ref="H69:O69">SUM(H61:H68)</f>
        <v>5418</v>
      </c>
      <c r="I69" s="278">
        <f t="shared" si="14"/>
        <v>750580</v>
      </c>
      <c r="J69" s="278">
        <f t="shared" si="14"/>
        <v>1422229</v>
      </c>
      <c r="K69" s="278">
        <f t="shared" si="14"/>
        <v>2337702</v>
      </c>
      <c r="L69" s="278">
        <f t="shared" si="14"/>
        <v>1371699.2</v>
      </c>
      <c r="M69" s="278">
        <f t="shared" si="14"/>
        <v>1706777.2999999998</v>
      </c>
      <c r="N69" s="278">
        <f t="shared" si="14"/>
        <v>2485886.2</v>
      </c>
      <c r="O69" s="278">
        <f t="shared" si="14"/>
        <v>11795546.7</v>
      </c>
      <c r="P69" s="65"/>
      <c r="Q69" s="146"/>
      <c r="R69" s="250"/>
      <c r="S69" s="64"/>
    </row>
    <row r="70" spans="1:19" s="3" customFormat="1" ht="12.75">
      <c r="A70" s="21"/>
      <c r="B70" s="21"/>
      <c r="C70" s="40"/>
      <c r="D70" s="40"/>
      <c r="E70" s="44"/>
      <c r="F70" s="44"/>
      <c r="G70" s="44"/>
      <c r="H70" s="58"/>
      <c r="I70" s="58"/>
      <c r="J70" s="58"/>
      <c r="K70" s="58"/>
      <c r="L70" s="58"/>
      <c r="M70" s="58"/>
      <c r="N70" s="58"/>
      <c r="O70" s="44"/>
      <c r="P70" s="146"/>
      <c r="Q70" s="146"/>
      <c r="R70" s="146"/>
      <c r="S70" s="146"/>
    </row>
    <row r="71" spans="1:19" s="3" customFormat="1" ht="12.75">
      <c r="A71" s="21" t="s">
        <v>36</v>
      </c>
      <c r="B71" s="63" t="s">
        <v>11</v>
      </c>
      <c r="C71" s="40" t="s">
        <v>11</v>
      </c>
      <c r="D71" s="40" t="s">
        <v>11</v>
      </c>
      <c r="E71" s="40" t="s">
        <v>11</v>
      </c>
      <c r="F71" s="40" t="s">
        <v>11</v>
      </c>
      <c r="G71" s="40" t="s">
        <v>11</v>
      </c>
      <c r="H71" s="63" t="s">
        <v>11</v>
      </c>
      <c r="I71" s="63" t="s">
        <v>11</v>
      </c>
      <c r="J71" s="89" t="s">
        <v>11</v>
      </c>
      <c r="K71" s="89" t="s">
        <v>11</v>
      </c>
      <c r="L71" s="89" t="s">
        <v>11</v>
      </c>
      <c r="M71" s="89" t="s">
        <v>11</v>
      </c>
      <c r="N71" s="89" t="s">
        <v>11</v>
      </c>
      <c r="O71" s="40" t="s">
        <v>11</v>
      </c>
      <c r="P71" s="146"/>
      <c r="Q71" s="146"/>
      <c r="R71" s="250"/>
      <c r="S71" s="146"/>
    </row>
    <row r="72" spans="1:19" s="3" customFormat="1" ht="12.75">
      <c r="A72" s="15" t="s">
        <v>204</v>
      </c>
      <c r="B72" s="267">
        <f aca="true" t="shared" si="15" ref="B72:B80">SUM(C72:G72)</f>
        <v>11898</v>
      </c>
      <c r="C72" s="265">
        <v>0</v>
      </c>
      <c r="D72" s="265">
        <v>0</v>
      </c>
      <c r="E72" s="265">
        <v>3587</v>
      </c>
      <c r="F72" s="265">
        <v>5089</v>
      </c>
      <c r="G72" s="265">
        <v>3222</v>
      </c>
      <c r="H72" s="267">
        <v>0</v>
      </c>
      <c r="I72" s="267">
        <v>5792</v>
      </c>
      <c r="J72" s="267">
        <v>10752</v>
      </c>
      <c r="K72" s="267">
        <v>16252</v>
      </c>
      <c r="L72" s="267">
        <v>19190.4</v>
      </c>
      <c r="M72" s="267">
        <v>25435.7</v>
      </c>
      <c r="N72" s="268">
        <v>45156.8</v>
      </c>
      <c r="O72" s="265">
        <f aca="true" t="shared" si="16" ref="O72:O79">SUM(C72:N72)</f>
        <v>134476.90000000002</v>
      </c>
      <c r="P72" s="146"/>
      <c r="Q72" s="162"/>
      <c r="R72" s="250"/>
      <c r="S72" s="64"/>
    </row>
    <row r="73" spans="1:19" s="3" customFormat="1" ht="12.75">
      <c r="A73" s="15" t="s">
        <v>49</v>
      </c>
      <c r="B73" s="267">
        <f t="shared" si="15"/>
        <v>4602</v>
      </c>
      <c r="C73" s="265">
        <v>0</v>
      </c>
      <c r="D73" s="265">
        <v>0</v>
      </c>
      <c r="E73" s="265">
        <v>1499</v>
      </c>
      <c r="F73" s="265">
        <v>1441</v>
      </c>
      <c r="G73" s="265">
        <v>1662</v>
      </c>
      <c r="H73" s="267">
        <v>567</v>
      </c>
      <c r="I73" s="267">
        <v>803</v>
      </c>
      <c r="J73" s="267">
        <v>808</v>
      </c>
      <c r="K73" s="267">
        <v>444</v>
      </c>
      <c r="L73" s="267">
        <v>668</v>
      </c>
      <c r="M73" s="267">
        <v>13.6</v>
      </c>
      <c r="N73" s="267"/>
      <c r="O73" s="265">
        <f t="shared" si="16"/>
        <v>7905.6</v>
      </c>
      <c r="P73" s="146"/>
      <c r="Q73" s="162"/>
      <c r="R73" s="250"/>
      <c r="S73" s="64"/>
    </row>
    <row r="74" spans="1:19" s="3" customFormat="1" ht="12.75">
      <c r="A74" s="15" t="s">
        <v>53</v>
      </c>
      <c r="B74" s="267">
        <f t="shared" si="15"/>
        <v>0</v>
      </c>
      <c r="C74" s="265"/>
      <c r="D74" s="265"/>
      <c r="E74" s="265"/>
      <c r="F74" s="265"/>
      <c r="G74" s="265"/>
      <c r="H74" s="267"/>
      <c r="I74" s="267"/>
      <c r="J74" s="267">
        <v>377</v>
      </c>
      <c r="K74" s="267">
        <v>431</v>
      </c>
      <c r="L74" s="267">
        <v>497</v>
      </c>
      <c r="M74" s="267">
        <f>411.7+85.5+1.2</f>
        <v>498.4</v>
      </c>
      <c r="N74" s="267">
        <f>1395.6+20.2</f>
        <v>1415.8</v>
      </c>
      <c r="O74" s="265">
        <f t="shared" si="16"/>
        <v>3219.2</v>
      </c>
      <c r="P74" s="146"/>
      <c r="Q74" s="162"/>
      <c r="R74" s="250"/>
      <c r="S74" s="64"/>
    </row>
    <row r="75" spans="1:19" s="3" customFormat="1" ht="12.75">
      <c r="A75" s="19" t="s">
        <v>227</v>
      </c>
      <c r="B75" s="265">
        <f t="shared" si="15"/>
        <v>0</v>
      </c>
      <c r="C75" s="265"/>
      <c r="D75" s="265"/>
      <c r="E75" s="265"/>
      <c r="F75" s="265"/>
      <c r="G75" s="265"/>
      <c r="H75" s="265"/>
      <c r="I75" s="265"/>
      <c r="J75" s="265">
        <v>53</v>
      </c>
      <c r="K75" s="265">
        <v>79</v>
      </c>
      <c r="L75" s="265">
        <v>57</v>
      </c>
      <c r="M75" s="267">
        <v>3.9</v>
      </c>
      <c r="N75" s="267"/>
      <c r="O75" s="265">
        <f t="shared" si="16"/>
        <v>192.9</v>
      </c>
      <c r="P75" s="146"/>
      <c r="Q75" s="251"/>
      <c r="R75" s="250"/>
      <c r="S75" s="64"/>
    </row>
    <row r="76" spans="1:19" s="3" customFormat="1" ht="12.75">
      <c r="A76" s="19" t="s">
        <v>244</v>
      </c>
      <c r="B76" s="265">
        <f t="shared" si="15"/>
        <v>0</v>
      </c>
      <c r="C76" s="265"/>
      <c r="D76" s="265"/>
      <c r="E76" s="265"/>
      <c r="F76" s="265"/>
      <c r="G76" s="265"/>
      <c r="H76" s="265"/>
      <c r="I76" s="265"/>
      <c r="J76" s="265"/>
      <c r="K76" s="265">
        <v>1385</v>
      </c>
      <c r="L76" s="265">
        <v>3748.3</v>
      </c>
      <c r="M76" s="267">
        <v>3765.8</v>
      </c>
      <c r="N76" s="267">
        <v>2846.1</v>
      </c>
      <c r="O76" s="265">
        <f t="shared" si="16"/>
        <v>11745.2</v>
      </c>
      <c r="P76" s="132"/>
      <c r="Q76" s="251"/>
      <c r="R76" s="250"/>
      <c r="S76" s="64"/>
    </row>
    <row r="77" spans="1:19" s="3" customFormat="1" ht="12.75">
      <c r="A77" s="19" t="s">
        <v>301</v>
      </c>
      <c r="B77" s="265">
        <f t="shared" si="15"/>
        <v>0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>
        <v>526.9</v>
      </c>
      <c r="M77" s="267">
        <v>1005.1</v>
      </c>
      <c r="N77" s="267">
        <v>651.3</v>
      </c>
      <c r="O77" s="265">
        <f t="shared" si="16"/>
        <v>2183.3</v>
      </c>
      <c r="P77" s="132"/>
      <c r="Q77" s="251"/>
      <c r="R77" s="250"/>
      <c r="S77" s="64"/>
    </row>
    <row r="78" spans="1:19" s="3" customFormat="1" ht="12.75">
      <c r="A78" s="19" t="s">
        <v>331</v>
      </c>
      <c r="B78" s="265">
        <f t="shared" si="15"/>
        <v>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7">
        <v>60.2</v>
      </c>
      <c r="N78" s="267">
        <f>9+3.9</f>
        <v>12.9</v>
      </c>
      <c r="O78" s="265">
        <f t="shared" si="16"/>
        <v>73.10000000000001</v>
      </c>
      <c r="P78" s="132"/>
      <c r="Q78" s="251"/>
      <c r="R78" s="250"/>
      <c r="S78" s="64"/>
    </row>
    <row r="79" spans="1:19" s="3" customFormat="1" ht="12.75">
      <c r="A79" s="19" t="s">
        <v>332</v>
      </c>
      <c r="B79" s="265">
        <f t="shared" si="15"/>
        <v>0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7">
        <v>32.1</v>
      </c>
      <c r="N79" s="267">
        <v>0</v>
      </c>
      <c r="O79" s="265">
        <f t="shared" si="16"/>
        <v>32.1</v>
      </c>
      <c r="P79" s="132"/>
      <c r="Q79" s="251"/>
      <c r="R79" s="250"/>
      <c r="S79" s="64"/>
    </row>
    <row r="80" spans="1:19" s="3" customFormat="1" ht="12.75">
      <c r="A80" s="16" t="s">
        <v>1</v>
      </c>
      <c r="B80" s="278">
        <f t="shared" si="15"/>
        <v>16500</v>
      </c>
      <c r="C80" s="278">
        <f>SUM(C72:C75)</f>
        <v>0</v>
      </c>
      <c r="D80" s="278">
        <f>SUM(D72:D75)</f>
        <v>0</v>
      </c>
      <c r="E80" s="278">
        <f>SUM(E72:E75)</f>
        <v>5086</v>
      </c>
      <c r="F80" s="278">
        <f>SUM(F72:F75)</f>
        <v>6530</v>
      </c>
      <c r="G80" s="278">
        <f>SUM(G72:G79)</f>
        <v>4884</v>
      </c>
      <c r="H80" s="278">
        <f aca="true" t="shared" si="17" ref="H80:O80">SUM(H72:H79)</f>
        <v>567</v>
      </c>
      <c r="I80" s="278">
        <f t="shared" si="17"/>
        <v>6595</v>
      </c>
      <c r="J80" s="278">
        <f t="shared" si="17"/>
        <v>11990</v>
      </c>
      <c r="K80" s="278">
        <f t="shared" si="17"/>
        <v>18591</v>
      </c>
      <c r="L80" s="278">
        <f t="shared" si="17"/>
        <v>24687.600000000002</v>
      </c>
      <c r="M80" s="278">
        <f t="shared" si="17"/>
        <v>30814.8</v>
      </c>
      <c r="N80" s="278">
        <f t="shared" si="17"/>
        <v>50082.90000000001</v>
      </c>
      <c r="O80" s="278">
        <f t="shared" si="17"/>
        <v>159828.30000000005</v>
      </c>
      <c r="P80" s="146"/>
      <c r="Q80" s="146"/>
      <c r="R80" s="250"/>
      <c r="S80" s="64"/>
    </row>
    <row r="81" spans="1:16" s="3" customFormat="1" ht="12.75">
      <c r="A81" s="5"/>
      <c r="B81" s="5"/>
      <c r="M81" s="146"/>
      <c r="N81" s="146"/>
      <c r="P81" s="146"/>
    </row>
    <row r="82" spans="1:16" s="3" customFormat="1" ht="25.5">
      <c r="A82" s="43" t="s">
        <v>187</v>
      </c>
      <c r="B82" s="207" t="str">
        <f>B4</f>
        <v>Summary 
2001 to 2005*</v>
      </c>
      <c r="C82" s="28">
        <v>2001</v>
      </c>
      <c r="D82" s="28">
        <v>2002</v>
      </c>
      <c r="E82" s="28">
        <v>2003</v>
      </c>
      <c r="F82" s="28">
        <v>2004</v>
      </c>
      <c r="G82" s="28">
        <v>2005</v>
      </c>
      <c r="H82" s="28">
        <v>2006</v>
      </c>
      <c r="I82" s="28">
        <v>2007</v>
      </c>
      <c r="J82" s="28">
        <v>2008</v>
      </c>
      <c r="K82" s="28">
        <v>2009</v>
      </c>
      <c r="L82" s="28">
        <v>2010</v>
      </c>
      <c r="M82" s="107">
        <f>M4</f>
        <v>2011</v>
      </c>
      <c r="N82" s="361" t="str">
        <f>N4</f>
        <v>(18 month)
2012-2013</v>
      </c>
      <c r="O82" s="126" t="str">
        <f>O4</f>
        <v>Total 
2001-2013</v>
      </c>
      <c r="P82" s="146"/>
    </row>
    <row r="83" spans="1:16" s="3" customFormat="1" ht="12.75">
      <c r="A83" s="21" t="s">
        <v>14</v>
      </c>
      <c r="B83" s="40" t="s">
        <v>13</v>
      </c>
      <c r="C83" s="40" t="s">
        <v>13</v>
      </c>
      <c r="D83" s="40" t="s">
        <v>13</v>
      </c>
      <c r="E83" s="40" t="s">
        <v>13</v>
      </c>
      <c r="F83" s="40" t="s">
        <v>13</v>
      </c>
      <c r="G83" s="40" t="s">
        <v>13</v>
      </c>
      <c r="H83" s="40" t="s">
        <v>13</v>
      </c>
      <c r="I83" s="40" t="s">
        <v>13</v>
      </c>
      <c r="J83" s="40" t="s">
        <v>13</v>
      </c>
      <c r="K83" s="40" t="s">
        <v>13</v>
      </c>
      <c r="L83" s="40" t="s">
        <v>13</v>
      </c>
      <c r="M83" s="63" t="s">
        <v>13</v>
      </c>
      <c r="N83" s="63" t="s">
        <v>13</v>
      </c>
      <c r="O83" s="40" t="s">
        <v>13</v>
      </c>
      <c r="P83" s="146"/>
    </row>
    <row r="84" spans="1:16" s="3" customFormat="1" ht="12.75">
      <c r="A84" s="15" t="s">
        <v>204</v>
      </c>
      <c r="B84" s="267">
        <f>SUM(C84:G84)</f>
        <v>0</v>
      </c>
      <c r="C84" s="265">
        <v>0</v>
      </c>
      <c r="D84" s="265">
        <v>0</v>
      </c>
      <c r="E84" s="265">
        <v>0</v>
      </c>
      <c r="F84" s="265">
        <v>0</v>
      </c>
      <c r="G84" s="265">
        <v>0</v>
      </c>
      <c r="H84" s="267">
        <v>0</v>
      </c>
      <c r="I84" s="267">
        <v>1943</v>
      </c>
      <c r="J84" s="267"/>
      <c r="K84" s="267"/>
      <c r="L84" s="267"/>
      <c r="M84" s="267"/>
      <c r="N84" s="267"/>
      <c r="O84" s="265">
        <f>SUM(C84:N84)</f>
        <v>1943</v>
      </c>
      <c r="P84" s="146"/>
    </row>
    <row r="85" spans="1:16" ht="12.75">
      <c r="A85" s="15" t="s">
        <v>53</v>
      </c>
      <c r="B85" s="267">
        <f>SUM(C85:G85)</f>
        <v>0</v>
      </c>
      <c r="C85" s="265"/>
      <c r="D85" s="265"/>
      <c r="E85" s="265"/>
      <c r="F85" s="265"/>
      <c r="G85" s="265"/>
      <c r="H85" s="267"/>
      <c r="I85" s="267"/>
      <c r="J85" s="267">
        <v>20006</v>
      </c>
      <c r="K85" s="267">
        <v>22843</v>
      </c>
      <c r="L85" s="267">
        <v>26540</v>
      </c>
      <c r="M85" s="267">
        <v>26705</v>
      </c>
      <c r="N85" s="267">
        <v>24756</v>
      </c>
      <c r="O85" s="265">
        <f>SUM(C85:N85)</f>
        <v>120850</v>
      </c>
      <c r="P85" s="138"/>
    </row>
    <row r="86" spans="1:15" ht="12.75">
      <c r="A86" s="19" t="s">
        <v>332</v>
      </c>
      <c r="B86" s="267">
        <f>SUM(C86:G86)</f>
        <v>0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7">
        <v>350.6</v>
      </c>
      <c r="N86" s="267"/>
      <c r="O86" s="265">
        <f>SUM(C86:N86)</f>
        <v>350.6</v>
      </c>
    </row>
    <row r="87" spans="1:15" ht="12.75">
      <c r="A87" s="16" t="s">
        <v>1</v>
      </c>
      <c r="B87" s="269">
        <f>SUM(C87:G87)</f>
        <v>0</v>
      </c>
      <c r="C87" s="278">
        <f aca="true" t="shared" si="18" ref="C87:M87">SUM(C84:C86)</f>
        <v>0</v>
      </c>
      <c r="D87" s="278">
        <f t="shared" si="18"/>
        <v>0</v>
      </c>
      <c r="E87" s="278">
        <f t="shared" si="18"/>
        <v>0</v>
      </c>
      <c r="F87" s="278">
        <f t="shared" si="18"/>
        <v>0</v>
      </c>
      <c r="G87" s="278">
        <f t="shared" si="18"/>
        <v>0</v>
      </c>
      <c r="H87" s="278">
        <f t="shared" si="18"/>
        <v>0</v>
      </c>
      <c r="I87" s="278">
        <f t="shared" si="18"/>
        <v>1943</v>
      </c>
      <c r="J87" s="278">
        <f t="shared" si="18"/>
        <v>20006</v>
      </c>
      <c r="K87" s="278">
        <f t="shared" si="18"/>
        <v>22843</v>
      </c>
      <c r="L87" s="278">
        <f t="shared" si="18"/>
        <v>26540</v>
      </c>
      <c r="M87" s="269">
        <f t="shared" si="18"/>
        <v>27055.6</v>
      </c>
      <c r="N87" s="269">
        <v>24756</v>
      </c>
      <c r="O87" s="278">
        <f>SUM(C87:N87)</f>
        <v>123143.6</v>
      </c>
    </row>
    <row r="88" spans="1:15" ht="12.75">
      <c r="A88" s="21"/>
      <c r="B88" s="21"/>
      <c r="C88" s="40"/>
      <c r="D88" s="40"/>
      <c r="E88" s="44"/>
      <c r="F88" s="44"/>
      <c r="G88" s="44"/>
      <c r="H88" s="58"/>
      <c r="I88" s="58"/>
      <c r="J88" s="58"/>
      <c r="O88" s="44"/>
    </row>
    <row r="89" spans="1:15" ht="12.75">
      <c r="A89" s="21" t="s">
        <v>10</v>
      </c>
      <c r="B89" s="40" t="s">
        <v>13</v>
      </c>
      <c r="C89" s="40" t="s">
        <v>13</v>
      </c>
      <c r="D89" s="40" t="s">
        <v>13</v>
      </c>
      <c r="E89" s="40" t="s">
        <v>13</v>
      </c>
      <c r="F89" s="40" t="s">
        <v>13</v>
      </c>
      <c r="G89" s="40" t="s">
        <v>13</v>
      </c>
      <c r="H89" s="40" t="s">
        <v>13</v>
      </c>
      <c r="I89" s="40" t="s">
        <v>13</v>
      </c>
      <c r="J89" s="40" t="s">
        <v>13</v>
      </c>
      <c r="K89" s="40" t="s">
        <v>13</v>
      </c>
      <c r="L89" s="40" t="s">
        <v>13</v>
      </c>
      <c r="M89" s="63" t="s">
        <v>13</v>
      </c>
      <c r="N89" s="63" t="s">
        <v>13</v>
      </c>
      <c r="O89" s="40" t="s">
        <v>13</v>
      </c>
    </row>
    <row r="90" spans="1:15" ht="12.75">
      <c r="A90" s="15" t="s">
        <v>204</v>
      </c>
      <c r="B90" s="267">
        <f>SUM(C90:G90)</f>
        <v>0</v>
      </c>
      <c r="C90" s="265">
        <v>0</v>
      </c>
      <c r="D90" s="265">
        <v>0</v>
      </c>
      <c r="E90" s="265">
        <v>0</v>
      </c>
      <c r="F90" s="265">
        <v>0</v>
      </c>
      <c r="G90" s="265">
        <v>0</v>
      </c>
      <c r="H90" s="267">
        <v>0</v>
      </c>
      <c r="I90" s="267">
        <v>19430</v>
      </c>
      <c r="J90" s="267"/>
      <c r="K90" s="267"/>
      <c r="L90" s="267"/>
      <c r="M90" s="267"/>
      <c r="N90" s="267"/>
      <c r="O90" s="265">
        <f>SUM(C90:N90)</f>
        <v>19430</v>
      </c>
    </row>
    <row r="91" spans="1:16" ht="12.75">
      <c r="A91" s="15" t="s">
        <v>53</v>
      </c>
      <c r="B91" s="267">
        <f>SUM(C91:G91)</f>
        <v>0</v>
      </c>
      <c r="C91" s="265"/>
      <c r="D91" s="265"/>
      <c r="E91" s="265"/>
      <c r="F91" s="265"/>
      <c r="G91" s="267"/>
      <c r="H91" s="267"/>
      <c r="I91" s="267"/>
      <c r="J91" s="267">
        <v>300087</v>
      </c>
      <c r="K91" s="267">
        <v>456858</v>
      </c>
      <c r="L91" s="267">
        <v>530793</v>
      </c>
      <c r="M91" s="267">
        <v>534107</v>
      </c>
      <c r="N91" s="267">
        <v>495126</v>
      </c>
      <c r="O91" s="265">
        <f>SUM(C91:N91)</f>
        <v>2316971</v>
      </c>
      <c r="P91" s="138"/>
    </row>
    <row r="92" spans="1:15" ht="12.75">
      <c r="A92" s="19" t="s">
        <v>332</v>
      </c>
      <c r="B92" s="267">
        <f>SUM(C92:G92)</f>
        <v>0</v>
      </c>
      <c r="C92" s="265"/>
      <c r="D92" s="265"/>
      <c r="E92" s="265"/>
      <c r="F92" s="265"/>
      <c r="G92" s="267"/>
      <c r="H92" s="267"/>
      <c r="I92" s="267"/>
      <c r="J92" s="267"/>
      <c r="K92" s="267"/>
      <c r="L92" s="267"/>
      <c r="M92" s="267">
        <v>4558</v>
      </c>
      <c r="N92" s="267"/>
      <c r="O92" s="265">
        <f>SUM(C92:N92)</f>
        <v>4558</v>
      </c>
    </row>
    <row r="93" spans="1:15" ht="12.75">
      <c r="A93" s="16" t="s">
        <v>1</v>
      </c>
      <c r="B93" s="269">
        <f>SUM(C93:G93)</f>
        <v>0</v>
      </c>
      <c r="C93" s="278">
        <f aca="true" t="shared" si="19" ref="C93:M93">SUM(C90:C92)</f>
        <v>0</v>
      </c>
      <c r="D93" s="278">
        <f t="shared" si="19"/>
        <v>0</v>
      </c>
      <c r="E93" s="278">
        <f t="shared" si="19"/>
        <v>0</v>
      </c>
      <c r="F93" s="278">
        <f t="shared" si="19"/>
        <v>0</v>
      </c>
      <c r="G93" s="278">
        <f t="shared" si="19"/>
        <v>0</v>
      </c>
      <c r="H93" s="278">
        <f t="shared" si="19"/>
        <v>0</v>
      </c>
      <c r="I93" s="278">
        <f t="shared" si="19"/>
        <v>19430</v>
      </c>
      <c r="J93" s="278">
        <f t="shared" si="19"/>
        <v>300087</v>
      </c>
      <c r="K93" s="278">
        <f t="shared" si="19"/>
        <v>456858</v>
      </c>
      <c r="L93" s="278">
        <f t="shared" si="19"/>
        <v>530793</v>
      </c>
      <c r="M93" s="269">
        <f t="shared" si="19"/>
        <v>538665</v>
      </c>
      <c r="N93" s="269">
        <v>495126</v>
      </c>
      <c r="O93" s="278">
        <f>SUM(C93:N93)</f>
        <v>2340959</v>
      </c>
    </row>
    <row r="94" spans="1:16" ht="12.75">
      <c r="A94" s="2" t="str">
        <f>A45</f>
        <v>* These columns/years have been hidden in this worksheet for viewing &amp; printing purposes</v>
      </c>
      <c r="B94" s="2"/>
      <c r="C94" s="8"/>
      <c r="P94" s="150"/>
    </row>
    <row r="96" spans="1:26" ht="12.75">
      <c r="A96" s="2"/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147"/>
      <c r="N96" s="147"/>
      <c r="O96" s="9"/>
      <c r="P96" s="147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2"/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147"/>
      <c r="N97" s="147"/>
      <c r="O97" s="9"/>
      <c r="P97" s="147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2"/>
      <c r="B98" s="2"/>
      <c r="C98" s="9"/>
      <c r="D98" s="9"/>
      <c r="E98" s="9"/>
      <c r="F98" s="9"/>
      <c r="G98" s="9"/>
      <c r="H98" s="9"/>
      <c r="I98" s="9"/>
      <c r="J98" s="9"/>
      <c r="K98" s="9"/>
      <c r="L98" s="9"/>
      <c r="M98" s="147"/>
      <c r="N98" s="147"/>
      <c r="O98" s="9"/>
      <c r="P98" s="147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2"/>
      <c r="B99" s="2"/>
      <c r="C99" s="9"/>
      <c r="D99" s="9"/>
      <c r="E99" s="9"/>
      <c r="F99" s="9"/>
      <c r="G99" s="9"/>
      <c r="I99" s="9"/>
      <c r="J99" s="9"/>
      <c r="K99" s="9"/>
      <c r="L99" s="9"/>
      <c r="M99" s="147"/>
      <c r="N99" s="147"/>
      <c r="O99" s="9"/>
      <c r="P99" s="147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75">
      <c r="C100" s="8"/>
    </row>
    <row r="102" spans="1:18" ht="12.75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7"/>
      <c r="N102" s="147"/>
      <c r="O102" s="9"/>
      <c r="P102" s="147"/>
      <c r="Q102" s="9"/>
      <c r="R102" s="9"/>
    </row>
    <row r="103" spans="1:18" ht="12.7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7"/>
      <c r="N103" s="147"/>
      <c r="O103" s="9"/>
      <c r="P103" s="147"/>
      <c r="Q103" s="9"/>
      <c r="R103" s="9"/>
    </row>
    <row r="104" spans="1:18" ht="12.75">
      <c r="A104" s="2"/>
      <c r="B104" s="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7"/>
      <c r="N104" s="147"/>
      <c r="O104" s="9"/>
      <c r="P104" s="147"/>
      <c r="Q104" s="9"/>
      <c r="R104" s="9"/>
    </row>
    <row r="105" spans="3:18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47"/>
      <c r="N105" s="147"/>
      <c r="O105" s="9"/>
      <c r="P105" s="147"/>
      <c r="Q105" s="9"/>
      <c r="R105" s="9"/>
    </row>
    <row r="106" spans="1:16" ht="12.75">
      <c r="A106" s="2"/>
      <c r="B106" s="2"/>
      <c r="C106" s="8"/>
      <c r="P106" s="150"/>
    </row>
    <row r="108" spans="1:18" ht="12.75">
      <c r="A108" s="2"/>
      <c r="B108" s="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47"/>
      <c r="N108" s="147"/>
      <c r="O108" s="9"/>
      <c r="P108" s="147"/>
      <c r="Q108" s="9"/>
      <c r="R108" s="9"/>
    </row>
    <row r="109" spans="1:18" ht="12.75">
      <c r="A109" s="2"/>
      <c r="B109" s="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47"/>
      <c r="N109" s="147"/>
      <c r="O109" s="9"/>
      <c r="P109" s="147"/>
      <c r="Q109" s="9"/>
      <c r="R109" s="9"/>
    </row>
    <row r="110" spans="1:18" ht="12.75">
      <c r="A110" s="2"/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7"/>
      <c r="N110" s="147"/>
      <c r="O110" s="9"/>
      <c r="P110" s="147"/>
      <c r="Q110" s="9"/>
      <c r="R110" s="9"/>
    </row>
    <row r="111" spans="1:18" ht="12.75">
      <c r="A111" s="2"/>
      <c r="B111" s="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47"/>
      <c r="N111" s="147"/>
      <c r="O111" s="9"/>
      <c r="P111" s="147"/>
      <c r="Q111" s="9"/>
      <c r="R111" s="9"/>
    </row>
    <row r="112" ht="12.75">
      <c r="C112" s="8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</sheetData>
  <sheetProtection/>
  <mergeCells count="3">
    <mergeCell ref="A1:O1"/>
    <mergeCell ref="A46:O46"/>
    <mergeCell ref="A17:O17"/>
  </mergeCells>
  <printOptions/>
  <pageMargins left="0.35" right="0.39" top="0.57" bottom="0.56" header="0.5" footer="0.28"/>
  <pageSetup horizontalDpi="600" verticalDpi="600" orientation="landscape" scale="80" r:id="rId1"/>
  <headerFooter scaleWithDoc="0" alignWithMargins="0">
    <oddFooter>&amp;L&amp;8New Jersey's Clean Energy Program
Results by Program Year&amp;C&amp;8&amp;A&amp;R&amp;8printed &amp;D at &amp;T</oddFooter>
  </headerFooter>
  <rowBreaks count="1" manualBreakCount="1">
    <brk id="45" max="14" man="1"/>
  </rowBreaks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bdeecken</cp:lastModifiedBy>
  <cp:lastPrinted>2014-06-18T15:34:21Z</cp:lastPrinted>
  <dcterms:created xsi:type="dcterms:W3CDTF">2005-05-24T13:44:04Z</dcterms:created>
  <dcterms:modified xsi:type="dcterms:W3CDTF">2014-06-18T15:42:53Z</dcterms:modified>
  <cp:category/>
  <cp:version/>
  <cp:contentType/>
  <cp:contentStatus/>
</cp:coreProperties>
</file>