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825" windowWidth="24210" windowHeight="11625" tabRatio="863" activeTab="0"/>
  </bookViews>
  <sheets>
    <sheet name="Bar Charts" sheetId="1" r:id="rId1"/>
    <sheet name="Program Summary" sheetId="2" r:id="rId2"/>
    <sheet name="Summary Breakdown" sheetId="3" r:id="rId3"/>
    <sheet name="Annual Savings" sheetId="4" r:id="rId4"/>
    <sheet name="Lifetime Savings" sheetId="5" r:id="rId5"/>
    <sheet name="Participants" sheetId="6" r:id="rId6"/>
    <sheet name="Cumulative Demand" sheetId="7" r:id="rId7"/>
    <sheet name="FY2014 Summary" sheetId="8" r:id="rId8"/>
    <sheet name="Energy Star" sheetId="9" r:id="rId9"/>
    <sheet name="Home Perf" sheetId="10" r:id="rId10"/>
    <sheet name="Low-income" sheetId="11" r:id="rId11"/>
    <sheet name="Res HVAC" sheetId="12" r:id="rId12"/>
    <sheet name="C&amp;I" sheetId="13" r:id="rId13"/>
    <sheet name="CHP-FuelCell_Lrg-Small" sheetId="14" r:id="rId14"/>
    <sheet name="Direct Install" sheetId="15" r:id="rId15"/>
    <sheet name="LEUP" sheetId="16" r:id="rId16"/>
    <sheet name="LGEA" sheetId="17" r:id="rId17"/>
    <sheet name="P4P " sheetId="18" r:id="rId18"/>
    <sheet name="P4P NC" sheetId="19" r:id="rId19"/>
    <sheet name="RNC" sheetId="20" r:id="rId20"/>
    <sheet name="CORE" sheetId="21" r:id="rId21"/>
    <sheet name="REC" sheetId="22" r:id="rId22"/>
    <sheet name="REIP" sheetId="23" r:id="rId23"/>
    <sheet name="Other EE-RE" sheetId="24" r:id="rId24"/>
    <sheet name="Edison Inn CEF" sheetId="25" r:id="rId25"/>
    <sheet name="EDA" sheetId="26" r:id="rId26"/>
    <sheet name="RE Grid Connected" sheetId="27" r:id="rId27"/>
    <sheet name="Clean Power Choice" sheetId="28" r:id="rId28"/>
    <sheet name="Admin" sheetId="29" r:id="rId29"/>
    <sheet name="emision reductions FY2014" sheetId="30" r:id="rId30"/>
    <sheet name="emmission reductions" sheetId="31" r:id="rId31"/>
    <sheet name="Appliance Cycling" sheetId="32" r:id="rId32"/>
    <sheet name="Cool Cities" sheetId="33" r:id="rId33"/>
    <sheet name="RE Grants and Financing" sheetId="34" r:id="rId34"/>
    <sheet name="RE Business Venture Fin" sheetId="35" r:id="rId35"/>
  </sheets>
  <definedNames>
    <definedName name="_xlnm.Print_Area" localSheetId="28">'Admin'!$A$1:$K$21</definedName>
    <definedName name="_xlnm.Print_Area" localSheetId="3">'Annual Savings'!$A$1:$P$190</definedName>
    <definedName name="_xlnm.Print_Area" localSheetId="31">'Appliance Cycling'!$A$1:$F$18</definedName>
    <definedName name="_xlnm.Print_Area" localSheetId="12">'C&amp;I'!$A$1:$P$112</definedName>
    <definedName name="_xlnm.Print_Area" localSheetId="13">'CHP-FuelCell_Lrg-Small'!$A$1:$P$110</definedName>
    <definedName name="_xlnm.Print_Area" localSheetId="27">'Clean Power Choice'!$A$1:$K$13</definedName>
    <definedName name="_xlnm.Print_Area" localSheetId="32">'Cool Cities'!$A$1:$I$27</definedName>
    <definedName name="_xlnm.Print_Area" localSheetId="20">'CORE'!$A$1:$P$45</definedName>
    <definedName name="_xlnm.Print_Area" localSheetId="6">'Cumulative Demand'!$A$2:$P$50</definedName>
    <definedName name="_xlnm.Print_Area" localSheetId="14">'Direct Install'!$A$1:$H$46</definedName>
    <definedName name="_xlnm.Print_Area" localSheetId="24">'Edison Inn CEF'!$A$1:$G$16</definedName>
    <definedName name="_xlnm.Print_Area" localSheetId="29">'emision reductions FY2014'!$A$1:$F$25</definedName>
    <definedName name="_xlnm.Print_Area" localSheetId="30">'emmission reductions'!$A$1:$P$53</definedName>
    <definedName name="_xlnm.Print_Area" localSheetId="8">'Energy Star'!$A$1:$P$93</definedName>
    <definedName name="_xlnm.Print_Area" localSheetId="7">'FY2014 Summary'!$A$1:$E$61</definedName>
    <definedName name="_xlnm.Print_Area" localSheetId="9">'Home Perf'!$A$1:$J$51</definedName>
    <definedName name="_xlnm.Print_Area" localSheetId="15">'LEUP'!$A$2:$E$46</definedName>
    <definedName name="_xlnm.Print_Area" localSheetId="4">'Lifetime Savings'!$A$1:$P$114</definedName>
    <definedName name="_xlnm.Print_Area" localSheetId="10">'Low-income'!$A$1:$P$43</definedName>
    <definedName name="_xlnm.Print_Area" localSheetId="23">'Other EE-RE'!$A$1:$L$74</definedName>
    <definedName name="_xlnm.Print_Area" localSheetId="17">'P4P '!$A$1:$M$95</definedName>
    <definedName name="_xlnm.Print_Area" localSheetId="18">'P4P NC'!$A$1:$F$51</definedName>
    <definedName name="_xlnm.Print_Area" localSheetId="5">'Participants'!$A$2:$P$58</definedName>
    <definedName name="_xlnm.Print_Area" localSheetId="1">'Program Summary'!$A$1:$P$74</definedName>
    <definedName name="_xlnm.Print_Area" localSheetId="34">'RE Business Venture Fin'!$A$1:$L$15</definedName>
    <definedName name="_xlnm.Print_Area" localSheetId="33">'RE Grants and Financing'!$A$1:$L$52</definedName>
    <definedName name="_xlnm.Print_Area" localSheetId="26">'RE Grid Connected'!$A$1:$G$32</definedName>
    <definedName name="_xlnm.Print_Area" localSheetId="21">'REC'!$A$1:$I$35</definedName>
    <definedName name="_xlnm.Print_Area" localSheetId="22">'REIP'!$A$1:$G$42</definedName>
    <definedName name="_xlnm.Print_Area" localSheetId="11">'Res HVAC'!$A$1:$P$36</definedName>
    <definedName name="_xlnm.Print_Area" localSheetId="19">'RNC'!$A$1:$P$51</definedName>
    <definedName name="_xlnm.Print_Area" localSheetId="2">'Summary Breakdown'!$A$1:$P$57</definedName>
    <definedName name="_xlnm.Print_Titles" localSheetId="3">'Annual Savings'!$1:$2</definedName>
    <definedName name="_xlnm.Print_Titles" localSheetId="0">'Bar Charts'!$1:$1</definedName>
    <definedName name="_xlnm.Print_Titles" localSheetId="12">'C&amp;I'!$1:$2</definedName>
    <definedName name="_xlnm.Print_Titles" localSheetId="13">'CHP-FuelCell_Lrg-Small'!$1:$2</definedName>
    <definedName name="_xlnm.Print_Titles" localSheetId="6">'Cumulative Demand'!$1:$2</definedName>
    <definedName name="_xlnm.Print_Titles" localSheetId="8">'Energy Star'!$1:$2</definedName>
    <definedName name="_xlnm.Print_Titles" localSheetId="4">'Lifetime Savings'!$1:$2</definedName>
    <definedName name="_xlnm.Print_Titles" localSheetId="23">'Other EE-RE'!$1:$5</definedName>
    <definedName name="_xlnm.Print_Titles" localSheetId="17">'P4P '!$1:$2</definedName>
  </definedNames>
  <calcPr fullCalcOnLoad="1"/>
</workbook>
</file>

<file path=xl/sharedStrings.xml><?xml version="1.0" encoding="utf-8"?>
<sst xmlns="http://schemas.openxmlformats.org/spreadsheetml/2006/main" count="3068" uniqueCount="457">
  <si>
    <t>Residential Low-income Program Results</t>
  </si>
  <si>
    <t>Total</t>
  </si>
  <si>
    <t>Comfort Partners</t>
  </si>
  <si>
    <t>Senior Weatherization Pilot</t>
  </si>
  <si>
    <t>NA</t>
  </si>
  <si>
    <t>Participants</t>
  </si>
  <si>
    <t>Energy Savings</t>
  </si>
  <si>
    <t>Electric</t>
  </si>
  <si>
    <t>MWh</t>
  </si>
  <si>
    <t>KW</t>
  </si>
  <si>
    <t>Gas</t>
  </si>
  <si>
    <t>Dtherm</t>
  </si>
  <si>
    <t>Residential HVAC Program Results</t>
  </si>
  <si>
    <t>Res HVAC Electric</t>
  </si>
  <si>
    <t>Res HVAC Gas</t>
  </si>
  <si>
    <t>Residential New Construction Program Results</t>
  </si>
  <si>
    <t>Actual Expenditures</t>
  </si>
  <si>
    <t>Committed Expenditures</t>
  </si>
  <si>
    <t>Actual + Committed</t>
  </si>
  <si>
    <t>Committed</t>
  </si>
  <si>
    <t>Actual</t>
  </si>
  <si>
    <t xml:space="preserve">Energy Star Windows </t>
  </si>
  <si>
    <t>Energy Star Appliances</t>
  </si>
  <si>
    <t>Combined Program (02)</t>
  </si>
  <si>
    <t>MWH</t>
  </si>
  <si>
    <t>Appliance Cycling Program Results</t>
  </si>
  <si>
    <t>CORE Program Results</t>
  </si>
  <si>
    <t>Actual expenditures</t>
  </si>
  <si>
    <t>Actual &amp; committed expenditures</t>
  </si>
  <si>
    <t>2004</t>
  </si>
  <si>
    <t>Combined-Total Electric &amp; Gas</t>
  </si>
  <si>
    <t>Annual demand reductions</t>
  </si>
  <si>
    <t xml:space="preserve">Energy Savings </t>
  </si>
  <si>
    <t>Expenditures ($000)</t>
  </si>
  <si>
    <t># Participants</t>
  </si>
  <si>
    <t xml:space="preserve">Energy Star Lighting </t>
  </si>
  <si>
    <t xml:space="preserve">Energy Star Maintenance </t>
  </si>
  <si>
    <t xml:space="preserve">Room AC </t>
  </si>
  <si>
    <t xml:space="preserve">Lighting and Other </t>
  </si>
  <si>
    <t>Home Energy Audit</t>
  </si>
  <si>
    <t xml:space="preserve">  Room AC</t>
  </si>
  <si>
    <t xml:space="preserve">  Room AC </t>
  </si>
  <si>
    <t xml:space="preserve">  Home Energy Audit</t>
  </si>
  <si>
    <t xml:space="preserve">  Lighting Promotion</t>
  </si>
  <si>
    <t xml:space="preserve">  Clothes Washers</t>
  </si>
  <si>
    <t xml:space="preserve">  Thermostats</t>
  </si>
  <si>
    <t>C&amp;I Construction</t>
  </si>
  <si>
    <t>Building O&amp;M</t>
  </si>
  <si>
    <t>Compressed Air</t>
  </si>
  <si>
    <t>C&amp;I New Construction</t>
  </si>
  <si>
    <t>CHP</t>
  </si>
  <si>
    <t>Total C&amp;I</t>
  </si>
  <si>
    <t>C&amp;I Retrofit</t>
  </si>
  <si>
    <t>New School Construction</t>
  </si>
  <si>
    <t>Budget ($000)</t>
  </si>
  <si>
    <t>Cool Cities Program Results</t>
  </si>
  <si>
    <t># Trees Planted</t>
  </si>
  <si>
    <t>TBD</t>
  </si>
  <si>
    <t>Actual Expenditures *</t>
  </si>
  <si>
    <t>Energy Savings**</t>
  </si>
  <si>
    <t>* As of June 2004 this program is no longer funded through the NJCEP</t>
  </si>
  <si>
    <t>Renewable Energy Generation</t>
  </si>
  <si>
    <t>Gas Savings</t>
  </si>
  <si>
    <t>New Jersey's Clean Energy Program</t>
  </si>
  <si>
    <t xml:space="preserve">  Energy Efficiency</t>
  </si>
  <si>
    <t xml:space="preserve">  Renewable Energy</t>
  </si>
  <si>
    <t>Residential HVAC - Electric &amp; Gas</t>
  </si>
  <si>
    <t>Residential New Construction</t>
  </si>
  <si>
    <t>Energy Star Products</t>
  </si>
  <si>
    <t xml:space="preserve">     Room Air Conditioning</t>
  </si>
  <si>
    <t xml:space="preserve">     Lighting and Other</t>
  </si>
  <si>
    <t xml:space="preserve">     Home Energy Audit</t>
  </si>
  <si>
    <t>Residential Low Income</t>
  </si>
  <si>
    <t>Sub-Total:  Residential</t>
  </si>
  <si>
    <t>Commercial/Industrial Construction:</t>
  </si>
  <si>
    <t>Total Energy Efficiency</t>
  </si>
  <si>
    <t xml:space="preserve">  CORE</t>
  </si>
  <si>
    <t>** This program does result in any MWh savings</t>
  </si>
  <si>
    <t>C&amp;I Energy Efficient Construction Program Results</t>
  </si>
  <si>
    <t>Home Performance with Energy Star</t>
  </si>
  <si>
    <t>STAC SEER/EER Evaluation</t>
  </si>
  <si>
    <t>Pay for Performance</t>
  </si>
  <si>
    <t>Special Studies/Pilot Studies</t>
  </si>
  <si>
    <t>Energy Efficiency</t>
  </si>
  <si>
    <t>Renewable Energy</t>
  </si>
  <si>
    <t>Annual MWh</t>
  </si>
  <si>
    <t>Annual Dekatherms</t>
  </si>
  <si>
    <t>Cumulative Lifetime MWh</t>
  </si>
  <si>
    <t xml:space="preserve"> </t>
  </si>
  <si>
    <t>Annual Energy Savings</t>
  </si>
  <si>
    <t>Total Annual MWH Savings</t>
  </si>
  <si>
    <t>Cumulative Lifetime Dekatherms</t>
  </si>
  <si>
    <t>Lifetime Renewable Energy Generation</t>
  </si>
  <si>
    <t>CORE</t>
  </si>
  <si>
    <t>2005</t>
  </si>
  <si>
    <t>Renewable Energy Advanced Power Program/RE Grants &amp; Financing</t>
  </si>
  <si>
    <t>* BPU set overall RE budget but did not allocate to programs</t>
  </si>
  <si>
    <t>Infrastructure/REED/RE Business Venture Financing</t>
  </si>
  <si>
    <t>Committed Expenditures ($000)</t>
  </si>
  <si>
    <t>Renewable Energy Generation - Annual</t>
  </si>
  <si>
    <t>Renewable Energy Generation - Lifetime</t>
  </si>
  <si>
    <t>Cool Cities</t>
  </si>
  <si>
    <t>Administration</t>
  </si>
  <si>
    <t>OCE Admin &amp; Overhead</t>
  </si>
  <si>
    <t>Evaluation and related Research</t>
  </si>
  <si>
    <t>Outreach and Education</t>
  </si>
  <si>
    <t>BPU Grid Program</t>
  </si>
  <si>
    <t>Lifetime MWh</t>
  </si>
  <si>
    <t>Lifetime Dekatherms</t>
  </si>
  <si>
    <t>Annual Demand Reductions</t>
  </si>
  <si>
    <t>Appliance Cycling</t>
  </si>
  <si>
    <t>Demand</t>
  </si>
  <si>
    <t>Res New Construction</t>
  </si>
  <si>
    <t>All C&amp;I</t>
  </si>
  <si>
    <t># customers</t>
  </si>
  <si>
    <t>Public Entity Financing</t>
  </si>
  <si>
    <t xml:space="preserve">  Re Grants and Financing</t>
  </si>
  <si>
    <t>Renewable Energy Generation - Demand</t>
  </si>
  <si>
    <t xml:space="preserve">  C&amp;I New Construction</t>
  </si>
  <si>
    <t xml:space="preserve">  C&amp;I Retrofit</t>
  </si>
  <si>
    <t xml:space="preserve">  Schools</t>
  </si>
  <si>
    <t xml:space="preserve">  CHP</t>
  </si>
  <si>
    <t>NJDEP Cool Cities</t>
  </si>
  <si>
    <t>Committed Re Generation - Annual</t>
  </si>
  <si>
    <t>Committed RE Demand - Annual</t>
  </si>
  <si>
    <t>Committed RE Generation - Lifetime</t>
  </si>
  <si>
    <t xml:space="preserve">Sub-Total C&amp;I </t>
  </si>
  <si>
    <t>CO2</t>
  </si>
  <si>
    <t>NOX</t>
  </si>
  <si>
    <t>SO2</t>
  </si>
  <si>
    <t>HG (LBS)</t>
  </si>
  <si>
    <t>Total Annual</t>
  </si>
  <si>
    <t>RE Business Venture Financing Program Results</t>
  </si>
  <si>
    <t>Actual Participants</t>
  </si>
  <si>
    <t>RE Projects Grants and Financing Program Results</t>
  </si>
  <si>
    <t>2006</t>
  </si>
  <si>
    <t>DCA Weatherization</t>
  </si>
  <si>
    <t>WRAP</t>
  </si>
  <si>
    <t>Energy Savings - Annual</t>
  </si>
  <si>
    <t>Energy Savings - Lifetime</t>
  </si>
  <si>
    <t>Demand Reductions</t>
  </si>
  <si>
    <t>DCA Green Homes</t>
  </si>
  <si>
    <t>Energy Conservation Kits</t>
  </si>
  <si>
    <t>Clean Energy Financing for Business</t>
  </si>
  <si>
    <t>Other Programs</t>
  </si>
  <si>
    <t>RE</t>
  </si>
  <si>
    <t>Manufacturing Incentive</t>
  </si>
  <si>
    <t>Combined Heat and Power</t>
  </si>
  <si>
    <t xml:space="preserve">Budget </t>
  </si>
  <si>
    <t>OCE Oversight</t>
  </si>
  <si>
    <t>2005 corrected from 4Q05 report</t>
  </si>
  <si>
    <t xml:space="preserve">  CPC</t>
  </si>
  <si>
    <t>Cumulative Demand Reductions</t>
  </si>
  <si>
    <t>Annual*</t>
  </si>
  <si>
    <t>Lifetime*</t>
  </si>
  <si>
    <t>MWh **</t>
  </si>
  <si>
    <t>** corrected value provided subsequent to issuance of 4Q report.</t>
  </si>
  <si>
    <t>2007</t>
  </si>
  <si>
    <t>Home Performance w Energy Star</t>
  </si>
  <si>
    <t>Note:  prior to 2007 HPwES was incorporated as part of ES Products Program</t>
  </si>
  <si>
    <t>Res MM Transition</t>
  </si>
  <si>
    <t>C&amp;I MM Transition</t>
  </si>
  <si>
    <t>Utility Transition</t>
  </si>
  <si>
    <t>RE MM Transition</t>
  </si>
  <si>
    <t xml:space="preserve">  REC/SREC</t>
  </si>
  <si>
    <t xml:space="preserve">  Lighting and Other </t>
  </si>
  <si>
    <t>CHP Generation</t>
  </si>
  <si>
    <t>CHP Participants</t>
  </si>
  <si>
    <t>Renewable Energy Participants</t>
  </si>
  <si>
    <t>Energy Efficiency Participants</t>
  </si>
  <si>
    <t xml:space="preserve">CHP </t>
  </si>
  <si>
    <t>Lighting and Other</t>
  </si>
  <si>
    <t>Total RE</t>
  </si>
  <si>
    <t xml:space="preserve">Total </t>
  </si>
  <si>
    <t xml:space="preserve">     Clothes Washers</t>
  </si>
  <si>
    <t>Emission Reductions</t>
  </si>
  <si>
    <t>Dtherms</t>
  </si>
  <si>
    <t>Annual Generation</t>
  </si>
  <si>
    <t>Annual CO2 Reductions</t>
  </si>
  <si>
    <t>metric tons</t>
  </si>
  <si>
    <t>2008</t>
  </si>
  <si>
    <t xml:space="preserve">  Dehumidifier</t>
  </si>
  <si>
    <t xml:space="preserve">  Clothes Washer</t>
  </si>
  <si>
    <t>Direct Install</t>
  </si>
  <si>
    <t>TEACH</t>
  </si>
  <si>
    <t>Clean Energy Tech Fund</t>
  </si>
  <si>
    <t>REDI</t>
  </si>
  <si>
    <t>Offshore wind solicitation</t>
  </si>
  <si>
    <t>Clean Energy Manufacturing Fund</t>
  </si>
  <si>
    <t xml:space="preserve">     Dehumidifier</t>
  </si>
  <si>
    <t>EE (Electric)</t>
  </si>
  <si>
    <t>EE (Gas)</t>
  </si>
  <si>
    <t xml:space="preserve">  Energy Efficiency &amp; RE</t>
  </si>
  <si>
    <t>REC/SREC Program Results</t>
  </si>
  <si>
    <t>Electric Generation</t>
  </si>
  <si>
    <t>2009</t>
  </si>
  <si>
    <t xml:space="preserve">  Refrigerator Turn in</t>
  </si>
  <si>
    <t>REIP Program Results</t>
  </si>
  <si>
    <t xml:space="preserve">     Refrigerator Turn-In</t>
  </si>
  <si>
    <t xml:space="preserve">  REIP</t>
  </si>
  <si>
    <t xml:space="preserve">  Edison Innovation CEF (CST)</t>
  </si>
  <si>
    <t>REIP</t>
  </si>
  <si>
    <t>Edison Innovation CEF (CST)</t>
  </si>
  <si>
    <t>Sub-Total C&amp;I:</t>
  </si>
  <si>
    <t>HG</t>
  </si>
  <si>
    <t>Total to the $</t>
  </si>
  <si>
    <t xml:space="preserve">Program Budget </t>
  </si>
  <si>
    <t xml:space="preserve">Expenditures </t>
  </si>
  <si>
    <t>Other Budgets and Expenditures</t>
  </si>
  <si>
    <t>Residential Marketing</t>
  </si>
  <si>
    <t>C&amp;I Marketing</t>
  </si>
  <si>
    <t>Clean Energy Conference</t>
  </si>
  <si>
    <t>RE Marketing</t>
  </si>
  <si>
    <t>Tier 1</t>
  </si>
  <si>
    <t>LGEA</t>
  </si>
  <si>
    <t>Sub-Total:  C&amp;I</t>
  </si>
  <si>
    <t>C&amp;I Retro and New Construction</t>
  </si>
  <si>
    <t>Edison Innovation CEF Program Results</t>
  </si>
  <si>
    <t>Annual CO2 Emissions Reductions</t>
  </si>
  <si>
    <t>Renewable (Gas &amp; Electric)</t>
  </si>
  <si>
    <t>Annual NOX Emissions Reductions</t>
  </si>
  <si>
    <t>Annual S02 Emissions Reductions</t>
  </si>
  <si>
    <t>Annual Hg Emissions Reductions (lbs)</t>
  </si>
  <si>
    <t>Lifetime CO2 Emissions Reductions</t>
  </si>
  <si>
    <t>Lifetime NOX Emissions Reductions</t>
  </si>
  <si>
    <t>Lifetime SO2 Emissions Reductions</t>
  </si>
  <si>
    <t>Lifetime Hg Emissions Reductions (lbs)</t>
  </si>
  <si>
    <t>No energy savings were reported for the programs on this sheet for.</t>
  </si>
  <si>
    <t>Total = Cumulative Lifetime Emission Reductions</t>
  </si>
  <si>
    <t>2010</t>
  </si>
  <si>
    <t>Actual Expenses</t>
  </si>
  <si>
    <t>Committed Expenses</t>
  </si>
  <si>
    <t>Approved ERPs</t>
  </si>
  <si>
    <t>Completed Projects</t>
  </si>
  <si>
    <t>Pay-for Performance New Construction Program</t>
  </si>
  <si>
    <t>Direct Install Program</t>
  </si>
  <si>
    <t>Pay-for-Performance</t>
  </si>
  <si>
    <t>Pay-for-Performance New Construction</t>
  </si>
  <si>
    <t>Pay for Performance NC</t>
  </si>
  <si>
    <t>Starting in 2009 REC program expenses are included in REIP program budget</t>
  </si>
  <si>
    <t>2003*</t>
  </si>
  <si>
    <t>Edison Innovation CEMF (EDA)</t>
  </si>
  <si>
    <t>*Included in EE emissions reductions</t>
  </si>
  <si>
    <t>Expenses</t>
  </si>
  <si>
    <t xml:space="preserve">  </t>
  </si>
  <si>
    <t>Participants by Program</t>
  </si>
  <si>
    <t xml:space="preserve">  Consumer Electronics</t>
  </si>
  <si>
    <t>Actual Energy Generation</t>
  </si>
  <si>
    <t>Committed Energy Generation</t>
  </si>
  <si>
    <t>RE Grid Connected (REDI) Program Results</t>
  </si>
  <si>
    <t>RE Grid Connected (REDI)</t>
  </si>
  <si>
    <t xml:space="preserve">  RE Grid Connected (REDI)</t>
  </si>
  <si>
    <t xml:space="preserve">     Consumer Electronics</t>
  </si>
  <si>
    <t>Expenditures</t>
  </si>
  <si>
    <t>Program Budget</t>
  </si>
  <si>
    <t xml:space="preserve">Program Expenditures </t>
  </si>
  <si>
    <t xml:space="preserve">Actual Expenditures </t>
  </si>
  <si>
    <t>2011</t>
  </si>
  <si>
    <t xml:space="preserve">EE Budgets </t>
  </si>
  <si>
    <t xml:space="preserve">RE Budgets </t>
  </si>
  <si>
    <t xml:space="preserve">EE Actual Expenditures </t>
  </si>
  <si>
    <t xml:space="preserve">RE Actual Expenditures </t>
  </si>
  <si>
    <t xml:space="preserve"> Res = Res + LI</t>
  </si>
  <si>
    <t>C&amp;I = C&amp;I + Other EE</t>
  </si>
  <si>
    <t>Multi-family financing pilot</t>
  </si>
  <si>
    <t>Green jobs and building code training</t>
  </si>
  <si>
    <t>Sustainable Jersey</t>
  </si>
  <si>
    <t>Competitive grant loan solicitation</t>
  </si>
  <si>
    <t>admin includes memberships</t>
  </si>
  <si>
    <t>Tier 2</t>
  </si>
  <si>
    <t>EDA</t>
  </si>
  <si>
    <t>True Grant</t>
  </si>
  <si>
    <t>Total Expenses + Commitments</t>
  </si>
  <si>
    <t xml:space="preserve">  Refrigerator</t>
  </si>
  <si>
    <t xml:space="preserve">  Dishwasher</t>
  </si>
  <si>
    <t xml:space="preserve">     Dishwasher</t>
  </si>
  <si>
    <t xml:space="preserve">     Refrigerator </t>
  </si>
  <si>
    <t>Audits Reviewed and Processed</t>
  </si>
  <si>
    <t>Local Government Energy Audit Program (LGEA)</t>
  </si>
  <si>
    <t>Budgets</t>
  </si>
  <si>
    <t>Commitments</t>
  </si>
  <si>
    <t>Year End Commitments</t>
  </si>
  <si>
    <t>Note:  Prior to 2009 budgets and expenditures were reported to the $000.  The total line rounds up to the $000 so these amounts can be added to more recent amounts which are now reported to the $.</t>
  </si>
  <si>
    <t>Res. Energy Efficiency</t>
  </si>
  <si>
    <t>C&amp;I Energy Efficiency</t>
  </si>
  <si>
    <t>Refrigerator Turn In</t>
  </si>
  <si>
    <t>Community Based Efficiency Initiative</t>
  </si>
  <si>
    <t>DEP Ecological Baseline Study</t>
  </si>
  <si>
    <t>Large Energy User Pilot (LEUP)</t>
  </si>
  <si>
    <t>Summary 
2001 to 2005*</t>
  </si>
  <si>
    <t>Summary 
2004 to 2005*</t>
  </si>
  <si>
    <t>* These columns/years have been hidden in this worksheet for viewing &amp; printing purposes</t>
  </si>
  <si>
    <t>2006 Demand Correction = 13,285</t>
  </si>
  <si>
    <t>2006 Demand Reported  =  36,575</t>
  </si>
  <si>
    <t>2005 Corrected = 120,818</t>
  </si>
  <si>
    <t>2005 Reported =  260,238</t>
  </si>
  <si>
    <t>Commercial/Industrial Construction</t>
  </si>
  <si>
    <t>2007**</t>
  </si>
  <si>
    <t>**2007 MWh, KW and Dtherms updated to include revised PSEG reported savings.</t>
  </si>
  <si>
    <t>2011, 2012 participants = completions</t>
  </si>
  <si>
    <t>Edison Innovation EIGGF (EDA)</t>
  </si>
  <si>
    <t>Edison Innovation EERLF (EDA)</t>
  </si>
  <si>
    <t>Green Growth Fund</t>
  </si>
  <si>
    <t>EDA - Edison Innovation Program Results</t>
  </si>
  <si>
    <r>
      <t xml:space="preserve">Sub-Total C&amp;I </t>
    </r>
    <r>
      <rPr>
        <b/>
        <sz val="10"/>
        <rFont val="Arial"/>
        <family val="2"/>
      </rPr>
      <t>Construction:</t>
    </r>
  </si>
  <si>
    <t>Program Terminated in 2010</t>
  </si>
  <si>
    <t>*The annual generation data listed above has been updated in response to a data quality verification performed in 2010. The old data reported by the NJBPU is listed in the table at the bottom of this page.</t>
  </si>
  <si>
    <t>*The lifetime generation data listed above has been updated in response to a data quality verification performed in 2010. The old data reported by the NJBPU is listed in the table at the bottom of this page.</t>
  </si>
  <si>
    <t>*The demand data listed above has been updated in response to a data quality verification performed in 2010. The old data reported by the NJBPU is listed in the table at the bottom of this page.</t>
  </si>
  <si>
    <t>Note:  Prior to 2009 budgets and expenditures were reported to the $000.
The total line rounds up to the $000 so these amounts can be added to more recent amounts which are now reported to the $.</t>
  </si>
  <si>
    <t>Note:  Prior to 2009 budgets and expenditures were reported to the $000.  
The total line rounds up to the $000 so these amounts can be added to more recent amounts which are now reported to the $.</t>
  </si>
  <si>
    <t>Note: Prior to 2009 budgets and expenditures were reported to the $000.  
The total line rounds up to the $000 so these amounts can be added to more recent amounts which are now reported to the $.</t>
  </si>
  <si>
    <t>Tier 3</t>
  </si>
  <si>
    <t>Note:  Prior to 2009 budgets and expenditures were reported to the $000. 
The total line rounds up to the $000 so these amounts can be added to more recent amounts which are now reported to the $.</t>
  </si>
  <si>
    <r>
      <t>Sub-Total C&amp;I</t>
    </r>
    <r>
      <rPr>
        <b/>
        <sz val="10"/>
        <rFont val="Arial"/>
        <family val="2"/>
      </rPr>
      <t xml:space="preserve"> Construction:</t>
    </r>
  </si>
  <si>
    <t>Energy Efficiency - Electric</t>
  </si>
  <si>
    <t>Energy Efficiency - Gas</t>
  </si>
  <si>
    <t>Schools</t>
  </si>
  <si>
    <t>CHP Electric Demand Reductions</t>
  </si>
  <si>
    <t>RE Grants and Financing</t>
  </si>
  <si>
    <t>RE Certificates/SREC</t>
  </si>
  <si>
    <t>Re Grants and Financing</t>
  </si>
  <si>
    <t>RE Business Venture Financing</t>
  </si>
  <si>
    <t>REC/SREC (subscribed)</t>
  </si>
  <si>
    <t>Edison Innovation CEMF</t>
  </si>
  <si>
    <t>Edison Innovation CEF</t>
  </si>
  <si>
    <t>CPC</t>
  </si>
  <si>
    <t>Room Air Conditioning</t>
  </si>
  <si>
    <t>Clothes Washer</t>
  </si>
  <si>
    <t>Dehumidifier</t>
  </si>
  <si>
    <t>Refrigerator Turn-In</t>
  </si>
  <si>
    <t>Consumer Electronics</t>
  </si>
  <si>
    <t>Refrigerator</t>
  </si>
  <si>
    <t>Dishwasher</t>
  </si>
  <si>
    <t>REC/SREC</t>
  </si>
  <si>
    <t>CORE (Fuel Cells)</t>
  </si>
  <si>
    <t>Pay for Performance Program</t>
  </si>
  <si>
    <t>Clean Power Choice</t>
  </si>
  <si>
    <t xml:space="preserve">Emission Reductions </t>
  </si>
  <si>
    <t>Participants - Enrollments</t>
  </si>
  <si>
    <t>Participants - Completions</t>
  </si>
  <si>
    <t>Pay-for-Performance CHP</t>
  </si>
  <si>
    <t>Large Energy Users Pilot</t>
  </si>
  <si>
    <t>Generation</t>
  </si>
  <si>
    <t>Annual</t>
  </si>
  <si>
    <t>Lifetime</t>
  </si>
  <si>
    <t>Audits Rebated</t>
  </si>
  <si>
    <t>(18 month)
2012-2013</t>
  </si>
  <si>
    <t>Combined Heat &amp; Power (CHP)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</si>
  <si>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</si>
  <si>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r>
      <t>(18 month)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</si>
  <si>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b/>
        <sz val="8"/>
        <rFont val="Arial"/>
        <family val="2"/>
      </rPr>
      <t>(18 month)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
2012-2013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</si>
  <si>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New Jersey Clean Energy Program converted from a Calendar Year to Fiscal year starting July 1, 2013 with Fiscal Year 2014.  2012 calendar year includes the first six months of 2013 making it an 18 month program year. </t>
    </r>
  </si>
  <si>
    <t>FY2014</t>
  </si>
  <si>
    <t>Emission Reductions - FY 2014</t>
  </si>
  <si>
    <t>Cumulative Lifetime Emission Reductions (Metric Tons) 2001 - FY 2014</t>
  </si>
  <si>
    <t>Annual Emission Reductions (Metric Tons) from Measures Installed in FY 2014</t>
  </si>
  <si>
    <t>Lifetime Emission Reductions (Metric Tons) from Measures Installed in FY 2014</t>
  </si>
  <si>
    <t>All CHP/Fuel Cell Programs</t>
  </si>
  <si>
    <t>grams</t>
  </si>
  <si>
    <t>Input</t>
  </si>
  <si>
    <t>CHP-Fuel Cells Large/Small</t>
  </si>
  <si>
    <t>EE Revolving Loan Fund (Program Retired)</t>
  </si>
  <si>
    <t>FY2014 Energy Savings</t>
  </si>
  <si>
    <t>FY2014 CHP Generation</t>
  </si>
  <si>
    <t>CHP-Fuel Cell Large and Small</t>
  </si>
  <si>
    <t xml:space="preserve">  CHP-Fuel Cell Large and Small</t>
  </si>
  <si>
    <t>CHP-Fuel Cell Lrg/Small</t>
  </si>
  <si>
    <t>Large CHP Solicitation</t>
  </si>
  <si>
    <t>Clean Energy Business Website</t>
  </si>
  <si>
    <t>Program Transition</t>
  </si>
  <si>
    <t>P4P</t>
  </si>
  <si>
    <t>Annual P4P CHP</t>
  </si>
  <si>
    <t>Lifetime P4P CHP</t>
  </si>
  <si>
    <t>P4P CHP</t>
  </si>
  <si>
    <t>Applications Completed</t>
  </si>
  <si>
    <t>Lifetime Generation</t>
  </si>
  <si>
    <t xml:space="preserve">Annual Demand </t>
  </si>
  <si>
    <t>Actual &amp; Committed Expenditures</t>
  </si>
  <si>
    <t>Summary</t>
  </si>
  <si>
    <t>Expenditures + Commitments</t>
  </si>
  <si>
    <t>CHP-Fuel Cell Lrg and Small</t>
  </si>
  <si>
    <t xml:space="preserve">1 New Jersey Clean Energy Program converted from a Calendar Year to Fiscal year starting July 1, 2013 with Fiscal Year 2014.  2012 calendar year includes the first six months of 2013 making it an 18 month program year. </t>
  </si>
  <si>
    <t>=0.000001*G4</t>
  </si>
  <si>
    <t>Grams to Tons</t>
  </si>
  <si>
    <t>Tons to Grams</t>
  </si>
  <si>
    <t>=F4/0.000001</t>
  </si>
  <si>
    <t>* Annual and lifetime emission reductions are for measures installed in FY2014</t>
  </si>
  <si>
    <t>Commissioning Report</t>
  </si>
  <si>
    <t>*Approved or Proposed ERP</t>
  </si>
  <si>
    <t>*As-Built ERP</t>
  </si>
  <si>
    <t>Pay-for Performance - Installations Completed (Non-CHP)</t>
  </si>
  <si>
    <t>M&amp;V Completed</t>
  </si>
  <si>
    <t xml:space="preserve">        Refrigerator</t>
  </si>
  <si>
    <t>Electric Savings</t>
  </si>
  <si>
    <t>Electric Energy Savings</t>
  </si>
  <si>
    <t>MWh (a)</t>
  </si>
  <si>
    <t>RE Generation (b)</t>
  </si>
  <si>
    <t>EE Sav (a) + RE Gen (b)</t>
  </si>
  <si>
    <t>Metric Tons</t>
  </si>
  <si>
    <t>Program Breakdown</t>
  </si>
  <si>
    <t>Program Summary</t>
  </si>
  <si>
    <t>Installed</t>
  </si>
  <si>
    <t>Demand Reduction</t>
  </si>
  <si>
    <t>Total EE Annual MWH Savings</t>
  </si>
  <si>
    <t>Total EE Annual Dtherm Savings</t>
  </si>
  <si>
    <t>Total EE Annual KW Reduction</t>
  </si>
  <si>
    <t xml:space="preserve">New Jersey's Clean Energy Program </t>
  </si>
  <si>
    <t>Total EE Lifetime Dtherm Savings</t>
  </si>
  <si>
    <t>Lifetime Energy Savings and Renewable Energy Generation by Program</t>
  </si>
  <si>
    <t>Total EE Lifetime MWh Savings</t>
  </si>
  <si>
    <t>kW</t>
  </si>
  <si>
    <t>Total Lifetime Dtherm Savings</t>
  </si>
  <si>
    <t>Total EE+CHP+RE</t>
  </si>
  <si>
    <t>Total Expenditures All Programs</t>
  </si>
  <si>
    <t>C&amp;I  Energy Efficiency</t>
  </si>
  <si>
    <t>Note: Fluctuations in participant participation; cumulative total not calculated</t>
  </si>
  <si>
    <t xml:space="preserve">Annual </t>
  </si>
  <si>
    <t>Total EE Demand Reduction</t>
  </si>
  <si>
    <r>
      <t>Residential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Products Program Results</t>
    </r>
  </si>
  <si>
    <r>
      <t>Home Performance with Energy Star</t>
    </r>
    <r>
      <rPr>
        <b/>
        <sz val="8"/>
        <rFont val="Calibri"/>
        <family val="2"/>
      </rPr>
      <t>©</t>
    </r>
    <r>
      <rPr>
        <b/>
        <sz val="10"/>
        <rFont val="Arial"/>
        <family val="2"/>
      </rPr>
      <t xml:space="preserve"> Program Results</t>
    </r>
  </si>
  <si>
    <t>Annual Electric</t>
  </si>
  <si>
    <t>Lifetime Electric</t>
  </si>
  <si>
    <t>Annual Gas</t>
  </si>
  <si>
    <t>Lifetime Gas</t>
  </si>
  <si>
    <t>HPwES</t>
  </si>
  <si>
    <t>Annual Demand Reduction</t>
  </si>
  <si>
    <t>Participants - Committed</t>
  </si>
  <si>
    <t>Participants - Installed</t>
  </si>
  <si>
    <t>LEUP</t>
  </si>
  <si>
    <t>Participants Committed</t>
  </si>
  <si>
    <t>P4P NC</t>
  </si>
  <si>
    <t>Actual + Committed Total</t>
  </si>
  <si>
    <t>Actual Expenditures to the $</t>
  </si>
  <si>
    <t>Enrollments</t>
  </si>
  <si>
    <t>Completed</t>
  </si>
  <si>
    <t>Core</t>
  </si>
  <si>
    <t>REC / SREC</t>
  </si>
  <si>
    <t>Annual Reductions</t>
  </si>
  <si>
    <t>Annual Reduction</t>
  </si>
  <si>
    <t>Summary 
2004 to 05*</t>
  </si>
  <si>
    <t>% of Budget</t>
  </si>
  <si>
    <t>Sub-Total RE Electric Capacity</t>
  </si>
  <si>
    <t>Annual Energy Savings and Renewable Energy / CHP Generation by Program</t>
  </si>
  <si>
    <t>Demand Reduction Savings</t>
  </si>
  <si>
    <t>Capacity CHP Generation</t>
  </si>
  <si>
    <t>Capacity Renewable Energy Generation</t>
  </si>
  <si>
    <t>Total EE Reduction + CHP Generation</t>
  </si>
  <si>
    <t>FY2014 Renewable Energy Generation</t>
  </si>
  <si>
    <t>Capacity: kW</t>
  </si>
  <si>
    <t>Demand Reduction Savings: KW</t>
  </si>
  <si>
    <t>Demand Reduction (Savings)</t>
  </si>
  <si>
    <t>Electric Capacity (Generation)</t>
  </si>
  <si>
    <t>CHP Capacity (Generation)</t>
  </si>
  <si>
    <t>Renewable Energy Capacity (Generation)</t>
  </si>
  <si>
    <t>Annual Capacity</t>
  </si>
  <si>
    <t>Capacity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</si>
</sst>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%"/>
    <numFmt numFmtId="167" formatCode="#,##0.0000"/>
    <numFmt numFmtId="168" formatCode="0.0000"/>
    <numFmt numFmtId="169" formatCode="&quot;$&quot;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00000000000000000000000000000"/>
    <numFmt numFmtId="175" formatCode="0.00_);[Red]\(0.00\)"/>
    <numFmt numFmtId="176" formatCode="0_);[Red]\(0\)"/>
    <numFmt numFmtId="177" formatCode="&quot;$&quot;#,##0.##_ &quot;KWh&quot;;[Red]\(&quot;$&quot;#,##0.##\ &quot;KWh&quot;\)"/>
    <numFmt numFmtId="178" formatCode="#,##0_ &quot;KWh&quot;;[Red]\(#,##0\ &quot;KWh&quot;\)"/>
    <numFmt numFmtId="179" formatCode="&quot;$&quot;#,##0.#0_ &quot;KWh&quot;;[Red]\(&quot;$&quot;#,##0.##\ &quot;KWh&quot;\)"/>
    <numFmt numFmtId="180" formatCode="&quot;$&quot;#,##0.00_ &quot;KWh&quot;;[Red]\(&quot;$&quot;#,##0.00\ &quot;KWh&quot;\)"/>
    <numFmt numFmtId="181" formatCode="&quot;$&quot;#,##0.000_ &quot;KWh&quot;;[Red]\(&quot;$&quot;#,##0.000\ &quot;KWh&quot;\)"/>
    <numFmt numFmtId="182" formatCode="0.0000000"/>
    <numFmt numFmtId="183" formatCode="[$-409]dddd\,\ mmmm\ dd\,\ yyyy"/>
    <numFmt numFmtId="184" formatCode="[$-409]h:mm:ss\ AM/PM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sz val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7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3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0" xfId="0" applyNumberForma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0" xfId="58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0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/>
    </xf>
    <xf numFmtId="164" fontId="0" fillId="0" borderId="0" xfId="0" applyNumberFormat="1" applyBorder="1" applyAlignment="1">
      <alignment/>
    </xf>
    <xf numFmtId="0" fontId="5" fillId="0" borderId="0" xfId="58" applyFont="1" applyFill="1" applyBorder="1" applyAlignment="1">
      <alignment wrapText="1"/>
      <protection/>
    </xf>
    <xf numFmtId="3" fontId="0" fillId="0" borderId="0" xfId="0" applyNumberForma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0" xfId="58" applyFont="1" applyFill="1" applyBorder="1" applyAlignment="1">
      <alignment wrapText="1"/>
      <protection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1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5" fillId="0" borderId="10" xfId="58" applyFont="1" applyBorder="1" applyAlignment="1">
      <alignment wrapText="1"/>
      <protection/>
    </xf>
    <xf numFmtId="3" fontId="0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ill="1" applyBorder="1" applyAlignment="1">
      <alignment/>
    </xf>
    <xf numFmtId="0" fontId="4" fillId="0" borderId="0" xfId="58" applyFont="1" applyFill="1" applyBorder="1" applyAlignment="1">
      <alignment wrapText="1"/>
      <protection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32" borderId="0" xfId="0" applyFill="1" applyBorder="1" applyAlignment="1">
      <alignment horizontal="left"/>
    </xf>
    <xf numFmtId="0" fontId="0" fillId="0" borderId="0" xfId="0" applyNumberFormat="1" applyAlignment="1">
      <alignment horizontal="center"/>
    </xf>
    <xf numFmtId="3" fontId="0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58" applyFont="1" applyBorder="1" applyAlignment="1">
      <alignment wrapText="1"/>
      <protection/>
    </xf>
    <xf numFmtId="3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Fill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/>
    </xf>
    <xf numFmtId="168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169" fontId="0" fillId="0" borderId="1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168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69" fontId="0" fillId="0" borderId="1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 horizontal="right"/>
    </xf>
    <xf numFmtId="49" fontId="4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 vertical="top"/>
    </xf>
    <xf numFmtId="3" fontId="0" fillId="0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4" fontId="0" fillId="0" borderId="0" xfId="0" applyNumberFormat="1" applyFill="1" applyAlignment="1">
      <alignment horizontal="left"/>
    </xf>
    <xf numFmtId="0" fontId="0" fillId="0" borderId="0" xfId="57">
      <alignment/>
      <protection/>
    </xf>
    <xf numFmtId="0" fontId="0" fillId="0" borderId="10" xfId="57" applyFont="1" applyBorder="1" applyAlignment="1">
      <alignment horizontal="left"/>
      <protection/>
    </xf>
    <xf numFmtId="0" fontId="0" fillId="0" borderId="0" xfId="57" applyBorder="1" applyAlignment="1">
      <alignment horizontal="center"/>
      <protection/>
    </xf>
    <xf numFmtId="0" fontId="4" fillId="0" borderId="0" xfId="57" applyFont="1" applyBorder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0" fillId="0" borderId="0" xfId="57" applyBorder="1" applyAlignment="1">
      <alignment horizontal="right"/>
      <protection/>
    </xf>
    <xf numFmtId="49" fontId="0" fillId="0" borderId="0" xfId="57" applyNumberFormat="1" applyBorder="1" applyAlignment="1">
      <alignment horizontal="right"/>
      <protection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3" fontId="0" fillId="0" borderId="0" xfId="57" applyNumberFormat="1" applyAlignment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1" xfId="0" applyNumberFormat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12" xfId="0" applyFont="1" applyFill="1" applyBorder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/>
    </xf>
    <xf numFmtId="0" fontId="0" fillId="0" borderId="11" xfId="0" applyBorder="1" applyAlignment="1">
      <alignment/>
    </xf>
    <xf numFmtId="6" fontId="0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0" xfId="57" applyFont="1" applyFill="1" applyBorder="1">
      <alignment/>
      <protection/>
    </xf>
    <xf numFmtId="0" fontId="7" fillId="0" borderId="0" xfId="0" applyFont="1" applyAlignment="1">
      <alignment horizontal="center" wrapText="1"/>
    </xf>
    <xf numFmtId="0" fontId="0" fillId="0" borderId="13" xfId="0" applyFill="1" applyBorder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ill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0" fillId="0" borderId="0" xfId="58" applyNumberFormat="1" applyFont="1" applyBorder="1" applyAlignment="1">
      <alignment wrapText="1"/>
      <protection/>
    </xf>
    <xf numFmtId="0" fontId="0" fillId="0" borderId="10" xfId="58" applyFont="1" applyBorder="1" applyAlignment="1">
      <alignment horizontal="left" wrapText="1" indent="1"/>
      <protection/>
    </xf>
    <xf numFmtId="0" fontId="4" fillId="0" borderId="0" xfId="0" applyFont="1" applyFill="1" applyAlignment="1">
      <alignment horizontal="center" wrapText="1"/>
    </xf>
    <xf numFmtId="3" fontId="4" fillId="0" borderId="14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9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9" fontId="4" fillId="0" borderId="10" xfId="0" applyNumberFormat="1" applyFont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0" fontId="0" fillId="0" borderId="0" xfId="57" applyFill="1" applyBorder="1" applyAlignment="1">
      <alignment horizontal="right"/>
      <protection/>
    </xf>
    <xf numFmtId="49" fontId="0" fillId="0" borderId="0" xfId="57" applyNumberFormat="1" applyFill="1" applyBorder="1" applyAlignment="1">
      <alignment horizontal="right"/>
      <protection/>
    </xf>
    <xf numFmtId="0" fontId="0" fillId="0" borderId="0" xfId="57" applyFill="1" applyBorder="1" applyAlignment="1">
      <alignment horizontal="center"/>
      <protection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left" indent="1"/>
    </xf>
    <xf numFmtId="0" fontId="5" fillId="0" borderId="10" xfId="58" applyFont="1" applyBorder="1" applyAlignment="1">
      <alignment horizontal="left" wrapText="1"/>
      <protection/>
    </xf>
    <xf numFmtId="3" fontId="0" fillId="0" borderId="10" xfId="0" applyNumberFormat="1" applyFont="1" applyBorder="1" applyAlignment="1">
      <alignment horizontal="left" indent="1"/>
    </xf>
    <xf numFmtId="0" fontId="0" fillId="0" borderId="10" xfId="58" applyFont="1" applyBorder="1" applyAlignment="1">
      <alignment horizontal="left" wrapText="1" indent="2"/>
      <protection/>
    </xf>
    <xf numFmtId="0" fontId="0" fillId="0" borderId="10" xfId="0" applyFont="1" applyBorder="1" applyAlignment="1">
      <alignment horizontal="left" indent="2"/>
    </xf>
    <xf numFmtId="0" fontId="0" fillId="0" borderId="10" xfId="58" applyFont="1" applyFill="1" applyBorder="1" applyAlignment="1">
      <alignment horizontal="left" wrapText="1" indent="1"/>
      <protection/>
    </xf>
    <xf numFmtId="0" fontId="5" fillId="0" borderId="14" xfId="58" applyFont="1" applyFill="1" applyBorder="1" applyAlignment="1">
      <alignment horizontal="left" wrapText="1" indent="1"/>
      <protection/>
    </xf>
    <xf numFmtId="0" fontId="0" fillId="0" borderId="0" xfId="58" applyFont="1" applyFill="1" applyBorder="1" applyAlignment="1">
      <alignment horizontal="left" wrapText="1" indent="1"/>
      <protection/>
    </xf>
    <xf numFmtId="0" fontId="0" fillId="0" borderId="12" xfId="0" applyBorder="1" applyAlignment="1">
      <alignment horizontal="left" indent="1"/>
    </xf>
    <xf numFmtId="169" fontId="4" fillId="0" borderId="10" xfId="0" applyNumberFormat="1" applyFont="1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6" fontId="0" fillId="0" borderId="10" xfId="0" applyNumberFormat="1" applyBorder="1" applyAlignment="1">
      <alignment/>
    </xf>
    <xf numFmtId="6" fontId="0" fillId="0" borderId="10" xfId="0" applyNumberFormat="1" applyFont="1" applyBorder="1" applyAlignment="1">
      <alignment horizontal="right" vertical="center"/>
    </xf>
    <xf numFmtId="6" fontId="0" fillId="0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8" fontId="4" fillId="0" borderId="10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0" fillId="0" borderId="1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6" fontId="0" fillId="0" borderId="10" xfId="0" applyNumberFormat="1" applyFill="1" applyBorder="1" applyAlignment="1">
      <alignment horizontal="right"/>
    </xf>
    <xf numFmtId="6" fontId="0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 horizontal="right"/>
    </xf>
    <xf numFmtId="38" fontId="4" fillId="0" borderId="10" xfId="0" applyNumberFormat="1" applyFont="1" applyFill="1" applyBorder="1" applyAlignment="1">
      <alignment horizontal="right"/>
    </xf>
    <xf numFmtId="38" fontId="0" fillId="0" borderId="0" xfId="0" applyNumberFormat="1" applyBorder="1" applyAlignment="1">
      <alignment/>
    </xf>
    <xf numFmtId="38" fontId="0" fillId="0" borderId="10" xfId="0" applyNumberFormat="1" applyFill="1" applyBorder="1" applyAlignment="1">
      <alignment/>
    </xf>
    <xf numFmtId="38" fontId="0" fillId="0" borderId="0" xfId="0" applyNumberFormat="1" applyFill="1" applyBorder="1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4" xfId="0" applyNumberForma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14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/>
    </xf>
    <xf numFmtId="38" fontId="4" fillId="0" borderId="10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Border="1" applyAlignment="1">
      <alignment horizontal="center"/>
    </xf>
    <xf numFmtId="38" fontId="0" fillId="0" borderId="0" xfId="0" applyNumberFormat="1" applyFont="1" applyBorder="1" applyAlignment="1">
      <alignment horizontal="right"/>
    </xf>
    <xf numFmtId="38" fontId="5" fillId="0" borderId="10" xfId="0" applyNumberFormat="1" applyFont="1" applyFill="1" applyBorder="1" applyAlignment="1">
      <alignment horizontal="right"/>
    </xf>
    <xf numFmtId="6" fontId="0" fillId="0" borderId="10" xfId="0" applyNumberFormat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/>
    </xf>
    <xf numFmtId="8" fontId="4" fillId="0" borderId="10" xfId="0" applyNumberFormat="1" applyFont="1" applyBorder="1" applyAlignment="1">
      <alignment/>
    </xf>
    <xf numFmtId="8" fontId="4" fillId="0" borderId="10" xfId="0" applyNumberFormat="1" applyFont="1" applyFill="1" applyBorder="1" applyAlignment="1">
      <alignment/>
    </xf>
    <xf numFmtId="38" fontId="0" fillId="0" borderId="10" xfId="0" applyNumberFormat="1" applyBorder="1" applyAlignment="1">
      <alignment horizontal="center"/>
    </xf>
    <xf numFmtId="8" fontId="0" fillId="0" borderId="10" xfId="0" applyNumberFormat="1" applyBorder="1" applyAlignment="1">
      <alignment horizontal="right"/>
    </xf>
    <xf numFmtId="8" fontId="0" fillId="0" borderId="10" xfId="0" applyNumberFormat="1" applyFill="1" applyBorder="1" applyAlignment="1">
      <alignment horizontal="right"/>
    </xf>
    <xf numFmtId="6" fontId="0" fillId="0" borderId="10" xfId="0" applyNumberFormat="1" applyBorder="1" applyAlignment="1">
      <alignment horizontal="center"/>
    </xf>
    <xf numFmtId="8" fontId="4" fillId="0" borderId="10" xfId="0" applyNumberFormat="1" applyFont="1" applyBorder="1" applyAlignment="1">
      <alignment horizontal="right"/>
    </xf>
    <xf numFmtId="8" fontId="4" fillId="0" borderId="10" xfId="0" applyNumberFormat="1" applyFont="1" applyBorder="1" applyAlignment="1">
      <alignment horizontal="center"/>
    </xf>
    <xf numFmtId="6" fontId="4" fillId="0" borderId="10" xfId="0" applyNumberFormat="1" applyFon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32" borderId="10" xfId="0" applyNumberFormat="1" applyFill="1" applyBorder="1" applyAlignment="1">
      <alignment horizontal="right"/>
    </xf>
    <xf numFmtId="6" fontId="0" fillId="0" borderId="0" xfId="0" applyNumberFormat="1" applyBorder="1" applyAlignment="1">
      <alignment/>
    </xf>
    <xf numFmtId="8" fontId="0" fillId="0" borderId="10" xfId="0" applyNumberFormat="1" applyFont="1" applyBorder="1" applyAlignment="1">
      <alignment horizontal="right"/>
    </xf>
    <xf numFmtId="8" fontId="4" fillId="0" borderId="10" xfId="0" applyNumberFormat="1" applyFont="1" applyFill="1" applyBorder="1" applyAlignment="1">
      <alignment horizontal="right"/>
    </xf>
    <xf numFmtId="38" fontId="4" fillId="0" borderId="10" xfId="0" applyNumberFormat="1" applyFont="1" applyBorder="1" applyAlignment="1">
      <alignment horizontal="left"/>
    </xf>
    <xf numFmtId="6" fontId="0" fillId="0" borderId="10" xfId="57" applyNumberFormat="1" applyBorder="1" applyAlignment="1">
      <alignment horizontal="right"/>
      <protection/>
    </xf>
    <xf numFmtId="6" fontId="0" fillId="0" borderId="10" xfId="57" applyNumberFormat="1" applyFill="1" applyBorder="1" applyAlignment="1">
      <alignment horizontal="right"/>
      <protection/>
    </xf>
    <xf numFmtId="6" fontId="0" fillId="0" borderId="0" xfId="57" applyNumberFormat="1" applyBorder="1" applyAlignment="1">
      <alignment horizontal="right"/>
      <protection/>
    </xf>
    <xf numFmtId="38" fontId="0" fillId="0" borderId="10" xfId="57" applyNumberFormat="1" applyFill="1" applyBorder="1" applyAlignment="1">
      <alignment horizontal="right"/>
      <protection/>
    </xf>
    <xf numFmtId="8" fontId="0" fillId="0" borderId="0" xfId="0" applyNumberFormat="1" applyBorder="1" applyAlignment="1">
      <alignment horizontal="right"/>
    </xf>
    <xf numFmtId="8" fontId="0" fillId="0" borderId="15" xfId="0" applyNumberFormat="1" applyBorder="1" applyAlignment="1">
      <alignment horizontal="right"/>
    </xf>
    <xf numFmtId="6" fontId="4" fillId="0" borderId="10" xfId="0" applyNumberFormat="1" applyFont="1" applyFill="1" applyBorder="1" applyAlignment="1">
      <alignment horizontal="right"/>
    </xf>
    <xf numFmtId="6" fontId="4" fillId="0" borderId="10" xfId="0" applyNumberFormat="1" applyFont="1" applyFill="1" applyBorder="1" applyAlignment="1">
      <alignment horizontal="center"/>
    </xf>
    <xf numFmtId="6" fontId="0" fillId="0" borderId="10" xfId="0" applyNumberFormat="1" applyFill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38" fontId="0" fillId="0" borderId="0" xfId="0" applyNumberFormat="1" applyFont="1" applyFill="1" applyBorder="1" applyAlignment="1">
      <alignment horizontal="right"/>
    </xf>
    <xf numFmtId="6" fontId="0" fillId="0" borderId="10" xfId="0" applyNumberFormat="1" applyFont="1" applyFill="1" applyBorder="1" applyAlignment="1">
      <alignment/>
    </xf>
    <xf numFmtId="6" fontId="0" fillId="0" borderId="10" xfId="0" applyNumberFormat="1" applyFont="1" applyBorder="1" applyAlignment="1">
      <alignment/>
    </xf>
    <xf numFmtId="6" fontId="0" fillId="0" borderId="12" xfId="0" applyNumberFormat="1" applyBorder="1" applyAlignment="1">
      <alignment horizontal="right"/>
    </xf>
    <xf numFmtId="6" fontId="0" fillId="0" borderId="12" xfId="0" applyNumberFormat="1" applyBorder="1" applyAlignment="1">
      <alignment/>
    </xf>
    <xf numFmtId="6" fontId="4" fillId="0" borderId="10" xfId="0" applyNumberFormat="1" applyFont="1" applyFill="1" applyBorder="1" applyAlignment="1">
      <alignment/>
    </xf>
    <xf numFmtId="6" fontId="4" fillId="0" borderId="10" xfId="0" applyNumberFormat="1" applyFont="1" applyBorder="1" applyAlignment="1">
      <alignment/>
    </xf>
    <xf numFmtId="8" fontId="0" fillId="0" borderId="16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38" fontId="0" fillId="0" borderId="15" xfId="0" applyNumberFormat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38" fontId="0" fillId="0" borderId="10" xfId="0" applyNumberFormat="1" applyFont="1" applyBorder="1" applyAlignment="1">
      <alignment horizontal="right" vertical="center"/>
    </xf>
    <xf numFmtId="38" fontId="0" fillId="0" borderId="12" xfId="0" applyNumberFormat="1" applyBorder="1" applyAlignment="1">
      <alignment/>
    </xf>
    <xf numFmtId="38" fontId="4" fillId="0" borderId="12" xfId="0" applyNumberFormat="1" applyFont="1" applyBorder="1" applyAlignment="1">
      <alignment/>
    </xf>
    <xf numFmtId="7" fontId="0" fillId="0" borderId="10" xfId="0" applyNumberFormat="1" applyBorder="1" applyAlignment="1">
      <alignment horizontal="right"/>
    </xf>
    <xf numFmtId="38" fontId="0" fillId="34" borderId="10" xfId="0" applyNumberFormat="1" applyFill="1" applyBorder="1" applyAlignment="1">
      <alignment horizontal="right"/>
    </xf>
    <xf numFmtId="38" fontId="0" fillId="34" borderId="12" xfId="0" applyNumberFormat="1" applyFill="1" applyBorder="1" applyAlignment="1">
      <alignment horizontal="right"/>
    </xf>
    <xf numFmtId="38" fontId="0" fillId="0" borderId="10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center"/>
    </xf>
    <xf numFmtId="38" fontId="0" fillId="0" borderId="14" xfId="0" applyNumberFormat="1" applyFill="1" applyBorder="1" applyAlignment="1">
      <alignment horizontal="right"/>
    </xf>
    <xf numFmtId="38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10" xfId="58" applyFont="1" applyFill="1" applyBorder="1" applyAlignment="1">
      <alignment horizontal="left" wrapText="1" indent="2"/>
      <protection/>
    </xf>
    <xf numFmtId="0" fontId="0" fillId="0" borderId="10" xfId="0" applyFont="1" applyFill="1" applyBorder="1" applyAlignment="1">
      <alignment horizontal="left" indent="2"/>
    </xf>
    <xf numFmtId="3" fontId="0" fillId="0" borderId="10" xfId="0" applyNumberForma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8" fontId="14" fillId="0" borderId="0" xfId="0" applyNumberFormat="1" applyFont="1" applyFill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57" applyFont="1" applyBorder="1" applyAlignment="1">
      <alignment horizontal="center" wrapText="1"/>
      <protection/>
    </xf>
    <xf numFmtId="0" fontId="4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 horizont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/>
    </xf>
    <xf numFmtId="176" fontId="4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38" fontId="4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38" fontId="0" fillId="0" borderId="15" xfId="0" applyNumberFormat="1" applyFill="1" applyBorder="1" applyAlignment="1">
      <alignment horizontal="right"/>
    </xf>
    <xf numFmtId="38" fontId="4" fillId="0" borderId="15" xfId="0" applyNumberFormat="1" applyFont="1" applyFill="1" applyBorder="1" applyAlignment="1">
      <alignment horizontal="right"/>
    </xf>
    <xf numFmtId="38" fontId="4" fillId="0" borderId="17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182" fontId="0" fillId="0" borderId="0" xfId="0" applyNumberFormat="1" applyAlignment="1">
      <alignment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2" fontId="0" fillId="35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168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7" fillId="36" borderId="0" xfId="0" applyFont="1" applyFill="1" applyAlignment="1">
      <alignment horizontal="center"/>
    </xf>
    <xf numFmtId="169" fontId="0" fillId="0" borderId="10" xfId="0" applyNumberFormat="1" applyFont="1" applyFill="1" applyBorder="1" applyAlignment="1">
      <alignment/>
    </xf>
    <xf numFmtId="6" fontId="0" fillId="34" borderId="10" xfId="0" applyNumberFormat="1" applyFill="1" applyBorder="1" applyAlignment="1">
      <alignment horizontal="right"/>
    </xf>
    <xf numFmtId="8" fontId="0" fillId="34" borderId="10" xfId="0" applyNumberFormat="1" applyFill="1" applyBorder="1" applyAlignment="1">
      <alignment horizontal="right"/>
    </xf>
    <xf numFmtId="0" fontId="4" fillId="37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6" fontId="0" fillId="37" borderId="10" xfId="0" applyNumberFormat="1" applyFill="1" applyBorder="1" applyAlignment="1">
      <alignment horizontal="right"/>
    </xf>
    <xf numFmtId="8" fontId="0" fillId="37" borderId="10" xfId="0" applyNumberFormat="1" applyFill="1" applyBorder="1" applyAlignment="1">
      <alignment horizontal="righ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 horizontal="right"/>
    </xf>
    <xf numFmtId="49" fontId="0" fillId="37" borderId="0" xfId="0" applyNumberFormat="1" applyFill="1" applyBorder="1" applyAlignment="1">
      <alignment horizontal="right"/>
    </xf>
    <xf numFmtId="8" fontId="0" fillId="37" borderId="0" xfId="0" applyNumberFormat="1" applyFill="1" applyBorder="1" applyAlignment="1">
      <alignment horizontal="right"/>
    </xf>
    <xf numFmtId="0" fontId="0" fillId="37" borderId="0" xfId="0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38" fontId="0" fillId="37" borderId="10" xfId="0" applyNumberFormat="1" applyFill="1" applyBorder="1" applyAlignment="1">
      <alignment horizontal="right"/>
    </xf>
    <xf numFmtId="38" fontId="0" fillId="37" borderId="15" xfId="0" applyNumberFormat="1" applyFill="1" applyBorder="1" applyAlignment="1">
      <alignment horizontal="right"/>
    </xf>
    <xf numFmtId="38" fontId="0" fillId="37" borderId="0" xfId="0" applyNumberFormat="1" applyFill="1" applyBorder="1" applyAlignment="1">
      <alignment horizontal="right"/>
    </xf>
    <xf numFmtId="169" fontId="0" fillId="34" borderId="10" xfId="0" applyNumberFormat="1" applyFill="1" applyBorder="1" applyAlignment="1">
      <alignment horizontal="right"/>
    </xf>
    <xf numFmtId="6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ill="1" applyAlignment="1" quotePrefix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64" fontId="0" fillId="0" borderId="11" xfId="0" applyNumberForma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38" fontId="4" fillId="0" borderId="17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38" fontId="0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6" fontId="0" fillId="0" borderId="14" xfId="0" applyNumberFormat="1" applyFont="1" applyBorder="1" applyAlignment="1">
      <alignment horizontal="right" vertical="center"/>
    </xf>
    <xf numFmtId="38" fontId="0" fillId="0" borderId="17" xfId="0" applyNumberFormat="1" applyBorder="1" applyAlignment="1">
      <alignment/>
    </xf>
    <xf numFmtId="38" fontId="0" fillId="0" borderId="11" xfId="0" applyNumberFormat="1" applyBorder="1" applyAlignment="1">
      <alignment/>
    </xf>
    <xf numFmtId="0" fontId="0" fillId="0" borderId="17" xfId="0" applyBorder="1" applyAlignment="1">
      <alignment horizontal="left" indent="1"/>
    </xf>
    <xf numFmtId="0" fontId="2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21" fillId="0" borderId="0" xfId="0" applyFont="1" applyBorder="1" applyAlignment="1">
      <alignment horizontal="left"/>
    </xf>
    <xf numFmtId="1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4" fillId="0" borderId="10" xfId="58" applyFont="1" applyFill="1" applyBorder="1" applyAlignment="1">
      <alignment horizontal="left" wrapText="1" indent="1"/>
      <protection/>
    </xf>
    <xf numFmtId="0" fontId="5" fillId="0" borderId="18" xfId="58" applyFont="1" applyFill="1" applyBorder="1" applyAlignment="1">
      <alignment wrapText="1"/>
      <protection/>
    </xf>
    <xf numFmtId="3" fontId="4" fillId="0" borderId="19" xfId="0" applyNumberFormat="1" applyFont="1" applyFill="1" applyBorder="1" applyAlignment="1">
      <alignment horizontal="right"/>
    </xf>
    <xf numFmtId="0" fontId="5" fillId="0" borderId="12" xfId="58" applyFont="1" applyFill="1" applyBorder="1" applyAlignment="1">
      <alignment wrapText="1"/>
      <protection/>
    </xf>
    <xf numFmtId="3" fontId="4" fillId="0" borderId="19" xfId="0" applyNumberFormat="1" applyFont="1" applyBorder="1" applyAlignment="1">
      <alignment horizontal="center"/>
    </xf>
    <xf numFmtId="0" fontId="5" fillId="0" borderId="12" xfId="58" applyFont="1" applyFill="1" applyBorder="1" applyAlignment="1">
      <alignment horizontal="left" wrapText="1" indent="1"/>
      <protection/>
    </xf>
    <xf numFmtId="3" fontId="4" fillId="0" borderId="15" xfId="0" applyNumberFormat="1" applyFont="1" applyBorder="1" applyAlignment="1">
      <alignment horizontal="right"/>
    </xf>
    <xf numFmtId="0" fontId="4" fillId="0" borderId="10" xfId="58" applyFont="1" applyBorder="1" applyAlignment="1">
      <alignment horizontal="left" wrapText="1"/>
      <protection/>
    </xf>
    <xf numFmtId="38" fontId="4" fillId="0" borderId="15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indent="3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0" fillId="0" borderId="10" xfId="57" applyBorder="1" applyAlignment="1">
      <alignment horizontal="left" indent="1"/>
      <protection/>
    </xf>
    <xf numFmtId="0" fontId="4" fillId="0" borderId="10" xfId="57" applyFont="1" applyBorder="1" applyAlignment="1">
      <alignment horizontal="left"/>
      <protection/>
    </xf>
    <xf numFmtId="6" fontId="4" fillId="0" borderId="10" xfId="57" applyNumberFormat="1" applyFont="1" applyBorder="1" applyAlignment="1">
      <alignment horizontal="right"/>
      <protection/>
    </xf>
    <xf numFmtId="6" fontId="4" fillId="0" borderId="10" xfId="57" applyNumberFormat="1" applyFont="1" applyFill="1" applyBorder="1" applyAlignment="1">
      <alignment horizontal="right"/>
      <protection/>
    </xf>
    <xf numFmtId="0" fontId="3" fillId="0" borderId="0" xfId="0" applyFont="1" applyBorder="1" applyAlignment="1">
      <alignment vertical="top" wrapText="1"/>
    </xf>
    <xf numFmtId="0" fontId="4" fillId="37" borderId="10" xfId="0" applyFont="1" applyFill="1" applyBorder="1" applyAlignment="1">
      <alignment horizontal="left"/>
    </xf>
    <xf numFmtId="6" fontId="4" fillId="37" borderId="10" xfId="0" applyNumberFormat="1" applyFont="1" applyFill="1" applyBorder="1" applyAlignment="1">
      <alignment horizontal="right"/>
    </xf>
    <xf numFmtId="8" fontId="4" fillId="37" borderId="10" xfId="0" applyNumberFormat="1" applyFont="1" applyFill="1" applyBorder="1" applyAlignment="1">
      <alignment horizontal="right"/>
    </xf>
    <xf numFmtId="0" fontId="0" fillId="37" borderId="10" xfId="0" applyFill="1" applyBorder="1" applyAlignment="1">
      <alignment horizontal="left" indent="1"/>
    </xf>
    <xf numFmtId="38" fontId="4" fillId="37" borderId="10" xfId="0" applyNumberFormat="1" applyFont="1" applyFill="1" applyBorder="1" applyAlignment="1">
      <alignment horizontal="right"/>
    </xf>
    <xf numFmtId="0" fontId="4" fillId="37" borderId="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indent="1"/>
    </xf>
    <xf numFmtId="0" fontId="23" fillId="0" borderId="10" xfId="58" applyFont="1" applyFill="1" applyBorder="1" applyAlignment="1">
      <alignment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15" fillId="0" borderId="17" xfId="0" applyFont="1" applyBorder="1" applyAlignment="1">
      <alignment horizontal="left" wrapText="1"/>
    </xf>
    <xf numFmtId="0" fontId="15" fillId="0" borderId="17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/>
    </xf>
    <xf numFmtId="0" fontId="20" fillId="37" borderId="0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RDC Budget and Incentives 000112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Electric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13375"/>
          <c:w val="0.989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Charts'!$H$4:$N$4</c:f>
              <c:numCache/>
            </c:numRef>
          </c:val>
        </c:ser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16575"/>
        <c:crosses val="autoZero"/>
        <c:auto val="1"/>
        <c:lblOffset val="100"/>
        <c:tickLblSkip val="1"/>
        <c:noMultiLvlLbl val="0"/>
      </c:catAx>
      <c:valAx>
        <c:axId val="260165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43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RE Systems 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Annual MWh from measures installed in year shown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1625"/>
          <c:w val="0.978"/>
          <c:h val="0.8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Charts'!$H$9:$N$9</c:f>
              <c:numCache/>
            </c:numRef>
          </c:val>
        </c:ser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67801"/>
        <c:crosses val="autoZero"/>
        <c:auto val="1"/>
        <c:lblOffset val="100"/>
        <c:tickLblSkip val="1"/>
        <c:noMultiLvlLbl val="0"/>
      </c:catAx>
      <c:valAx>
        <c:axId val="269678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22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CO2 Emission Reduction             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(Metric Tons reduced from measures installed in year shown)</a:t>
            </a:r>
          </a:p>
        </c:rich>
      </c:tx>
      <c:layout>
        <c:manualLayout>
          <c:xMode val="factor"/>
          <c:yMode val="factor"/>
          <c:x val="0.048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142"/>
          <c:w val="0.9765"/>
          <c:h val="0.85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Charts'!$H$14:$N$14</c:f>
              <c:numCache/>
            </c:numRef>
          </c:val>
        </c:ser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908243"/>
        <c:crosses val="autoZero"/>
        <c:auto val="1"/>
        <c:lblOffset val="100"/>
        <c:tickLblSkip val="1"/>
        <c:noMultiLvlLbl val="0"/>
      </c:catAx>
      <c:valAx>
        <c:axId val="36908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83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Savings from Natural Gas     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Dtherms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141"/>
          <c:w val="0.97775"/>
          <c:h val="0.8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Charts'!$H$5:$N$5</c:f>
              <c:numCache/>
            </c:numRef>
          </c:val>
        </c:ser>
        <c:axId val="63738732"/>
        <c:axId val="36777677"/>
      </c:barChart>
      <c:catAx>
        <c:axId val="63738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77677"/>
        <c:crosses val="autoZero"/>
        <c:auto val="1"/>
        <c:lblOffset val="100"/>
        <c:tickLblSkip val="1"/>
        <c:noMultiLvlLbl val="0"/>
      </c:catAx>
      <c:valAx>
        <c:axId val="367776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738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Annual Generation from CHP Systems                   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3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4325"/>
          <c:w val="0.978"/>
          <c:h val="0.8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Charts'!$H$10:$N$10</c:f>
              <c:numCache/>
            </c:numRef>
          </c:val>
        </c:ser>
        <c:axId val="62563638"/>
        <c:axId val="26201831"/>
      </c:bar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01831"/>
        <c:crosses val="autoZero"/>
        <c:auto val="1"/>
        <c:lblOffset val="100"/>
        <c:tickLblSkip val="1"/>
        <c:noMultiLvlLbl val="0"/>
      </c:catAx>
      <c:valAx>
        <c:axId val="2620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63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EE Savings  + RE Generation                                   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(Annual MWh from measures installed in year shown)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75"/>
          <c:y val="0.1395"/>
          <c:w val="0.98"/>
          <c:h val="0.85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'Bar Charts'!$H$3:$N$3</c:f>
              <c:strCache/>
            </c:strRef>
          </c:cat>
          <c:val>
            <c:numRef>
              <c:f>'Bar Charts'!$H$11:$N$11</c:f>
              <c:numCache/>
            </c:numRef>
          </c:val>
        </c:ser>
        <c:axId val="34489888"/>
        <c:axId val="41973537"/>
      </c:bar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3537"/>
        <c:crosses val="autoZero"/>
        <c:auto val="1"/>
        <c:lblOffset val="100"/>
        <c:tickLblSkip val="1"/>
        <c:noMultiLvlLbl val="0"/>
      </c:catAx>
      <c:valAx>
        <c:axId val="41973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8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Budget</a:t>
            </a:r>
          </a:p>
        </c:rich>
      </c:tx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855"/>
          <c:w val="0.97575"/>
          <c:h val="0.9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Summary'!$A$12</c:f>
              <c:strCache>
                <c:ptCount val="1"/>
                <c:pt idx="0">
                  <c:v>Budgets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Summary'!$I$19:$O$19</c:f>
              <c:numCache>
                <c:ptCount val="7"/>
                <c:pt idx="0">
                  <c:v>349555000</c:v>
                </c:pt>
                <c:pt idx="1">
                  <c:v>419491000</c:v>
                </c:pt>
                <c:pt idx="2">
                  <c:v>525380811.39</c:v>
                </c:pt>
                <c:pt idx="3">
                  <c:v>460728352.16999996</c:v>
                </c:pt>
                <c:pt idx="4">
                  <c:v>506323547.37</c:v>
                </c:pt>
                <c:pt idx="5">
                  <c:v>511366306.14</c:v>
                </c:pt>
                <c:pt idx="6">
                  <c:v>418086273.54</c:v>
                </c:pt>
              </c:numCache>
            </c:numRef>
          </c:val>
        </c:ser>
        <c:axId val="42217514"/>
        <c:axId val="44413307"/>
      </c:bar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413307"/>
        <c:crosses val="autoZero"/>
        <c:auto val="1"/>
        <c:lblOffset val="100"/>
        <c:tickLblSkip val="1"/>
        <c:noMultiLvlLbl val="0"/>
      </c:catAx>
      <c:valAx>
        <c:axId val="4441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Annual Expenditures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5"/>
          <c:y val="0.07675"/>
          <c:w val="0.98325"/>
          <c:h val="0.9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Summary'!$A$21</c:f>
              <c:strCache>
                <c:ptCount val="1"/>
                <c:pt idx="0">
                  <c:v>Expenditures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Summary'!$I$28:$O$28</c:f>
              <c:numCache>
                <c:ptCount val="7"/>
                <c:pt idx="0">
                  <c:v>176811000</c:v>
                </c:pt>
                <c:pt idx="1">
                  <c:v>147550000</c:v>
                </c:pt>
                <c:pt idx="2">
                  <c:v>178164199.73</c:v>
                </c:pt>
                <c:pt idx="3">
                  <c:v>219585204.35999998</c:v>
                </c:pt>
                <c:pt idx="4">
                  <c:v>191875940.36</c:v>
                </c:pt>
                <c:pt idx="5">
                  <c:v>277843944.14</c:v>
                </c:pt>
                <c:pt idx="6">
                  <c:v>202221164.29000005</c:v>
                </c:pt>
              </c:numCache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08085"/>
        <c:crosses val="autoZero"/>
        <c:auto val="1"/>
        <c:lblOffset val="100"/>
        <c:tickLblSkip val="1"/>
        <c:noMultiLvlLbl val="0"/>
      </c:catAx>
      <c:valAx>
        <c:axId val="40708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7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Year End Commitments</a:t>
            </a:r>
          </a:p>
        </c:rich>
      </c:tx>
      <c:layout>
        <c:manualLayout>
          <c:xMode val="factor"/>
          <c:yMode val="factor"/>
          <c:x val="-0.0017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875"/>
          <c:y val="0.08775"/>
          <c:w val="0.98375"/>
          <c:h val="0.9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'Program Summary'!$A$30</c:f>
              <c:strCache>
                <c:ptCount val="1"/>
                <c:pt idx="0">
                  <c:v>Year End Commitments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'Program Summary'!$I$12:$O$12</c:f>
              <c:strCach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(18 month)1
2012-2013</c:v>
                </c:pt>
                <c:pt idx="6">
                  <c:v>FY2014</c:v>
                </c:pt>
              </c:strCache>
            </c:strRef>
          </c:cat>
          <c:val>
            <c:numRef>
              <c:f>'Program Summary'!$I$37:$O$37</c:f>
              <c:numCache>
                <c:ptCount val="7"/>
                <c:pt idx="0">
                  <c:v>115348000</c:v>
                </c:pt>
                <c:pt idx="1">
                  <c:v>155425000</c:v>
                </c:pt>
                <c:pt idx="2">
                  <c:v>167687937.8</c:v>
                </c:pt>
                <c:pt idx="3">
                  <c:v>141768354.47</c:v>
                </c:pt>
                <c:pt idx="4">
                  <c:v>124590088.59</c:v>
                </c:pt>
                <c:pt idx="5">
                  <c:v>135449403.45</c:v>
                </c:pt>
                <c:pt idx="6">
                  <c:v>118973831.49999999</c:v>
                </c:pt>
              </c:numCache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20559"/>
        <c:crosses val="autoZero"/>
        <c:auto val="1"/>
        <c:lblOffset val="100"/>
        <c:tickLblSkip val="1"/>
        <c:noMultiLvlLbl val="0"/>
      </c:catAx>
      <c:valAx>
        <c:axId val="9020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284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53</xdr:row>
      <xdr:rowOff>57150</xdr:rowOff>
    </xdr:from>
    <xdr:to>
      <xdr:col>9</xdr:col>
      <xdr:colOff>1333500</xdr:colOff>
      <xdr:row>75</xdr:row>
      <xdr:rowOff>152400</xdr:rowOff>
    </xdr:to>
    <xdr:graphicFrame>
      <xdr:nvGraphicFramePr>
        <xdr:cNvPr id="1" name="Chart 4"/>
        <xdr:cNvGraphicFramePr/>
      </xdr:nvGraphicFramePr>
      <xdr:xfrm>
        <a:off x="66675" y="8801100"/>
        <a:ext cx="55626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23</xdr:row>
      <xdr:rowOff>47625</xdr:rowOff>
    </xdr:from>
    <xdr:to>
      <xdr:col>9</xdr:col>
      <xdr:colOff>1295400</xdr:colOff>
      <xdr:row>45</xdr:row>
      <xdr:rowOff>152400</xdr:rowOff>
    </xdr:to>
    <xdr:graphicFrame>
      <xdr:nvGraphicFramePr>
        <xdr:cNvPr id="2" name="Chart 6"/>
        <xdr:cNvGraphicFramePr/>
      </xdr:nvGraphicFramePr>
      <xdr:xfrm>
        <a:off x="38100" y="3933825"/>
        <a:ext cx="55530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180975</xdr:colOff>
      <xdr:row>77</xdr:row>
      <xdr:rowOff>142875</xdr:rowOff>
    </xdr:from>
    <xdr:to>
      <xdr:col>14</xdr:col>
      <xdr:colOff>171450</xdr:colOff>
      <xdr:row>100</xdr:row>
      <xdr:rowOff>76200</xdr:rowOff>
    </xdr:to>
    <xdr:graphicFrame>
      <xdr:nvGraphicFramePr>
        <xdr:cNvPr id="3" name="Chart 8"/>
        <xdr:cNvGraphicFramePr/>
      </xdr:nvGraphicFramePr>
      <xdr:xfrm>
        <a:off x="5867400" y="12773025"/>
        <a:ext cx="55530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171450</xdr:colOff>
      <xdr:row>53</xdr:row>
      <xdr:rowOff>57150</xdr:rowOff>
    </xdr:from>
    <xdr:to>
      <xdr:col>14</xdr:col>
      <xdr:colOff>142875</xdr:colOff>
      <xdr:row>76</xdr:row>
      <xdr:rowOff>9525</xdr:rowOff>
    </xdr:to>
    <xdr:graphicFrame>
      <xdr:nvGraphicFramePr>
        <xdr:cNvPr id="4" name="Chart 5"/>
        <xdr:cNvGraphicFramePr/>
      </xdr:nvGraphicFramePr>
      <xdr:xfrm>
        <a:off x="5857875" y="8801100"/>
        <a:ext cx="55340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133350</xdr:colOff>
      <xdr:row>23</xdr:row>
      <xdr:rowOff>57150</xdr:rowOff>
    </xdr:from>
    <xdr:to>
      <xdr:col>14</xdr:col>
      <xdr:colOff>123825</xdr:colOff>
      <xdr:row>45</xdr:row>
      <xdr:rowOff>152400</xdr:rowOff>
    </xdr:to>
    <xdr:graphicFrame>
      <xdr:nvGraphicFramePr>
        <xdr:cNvPr id="5" name="Chart 7"/>
        <xdr:cNvGraphicFramePr/>
      </xdr:nvGraphicFramePr>
      <xdr:xfrm>
        <a:off x="5819775" y="3943350"/>
        <a:ext cx="5553075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77</xdr:row>
      <xdr:rowOff>142875</xdr:rowOff>
    </xdr:from>
    <xdr:to>
      <xdr:col>9</xdr:col>
      <xdr:colOff>1314450</xdr:colOff>
      <xdr:row>100</xdr:row>
      <xdr:rowOff>76200</xdr:rowOff>
    </xdr:to>
    <xdr:graphicFrame>
      <xdr:nvGraphicFramePr>
        <xdr:cNvPr id="6" name="Chart 3"/>
        <xdr:cNvGraphicFramePr/>
      </xdr:nvGraphicFramePr>
      <xdr:xfrm>
        <a:off x="57150" y="12773025"/>
        <a:ext cx="5553075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1076325</xdr:colOff>
      <xdr:row>108</xdr:row>
      <xdr:rowOff>47625</xdr:rowOff>
    </xdr:from>
    <xdr:to>
      <xdr:col>12</xdr:col>
      <xdr:colOff>381000</xdr:colOff>
      <xdr:row>132</xdr:row>
      <xdr:rowOff>57150</xdr:rowOff>
    </xdr:to>
    <xdr:graphicFrame>
      <xdr:nvGraphicFramePr>
        <xdr:cNvPr id="7" name="Chart 7"/>
        <xdr:cNvGraphicFramePr/>
      </xdr:nvGraphicFramePr>
      <xdr:xfrm>
        <a:off x="2590800" y="17697450"/>
        <a:ext cx="6257925" cy="3895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133</xdr:row>
      <xdr:rowOff>0</xdr:rowOff>
    </xdr:from>
    <xdr:to>
      <xdr:col>9</xdr:col>
      <xdr:colOff>1352550</xdr:colOff>
      <xdr:row>157</xdr:row>
      <xdr:rowOff>9525</xdr:rowOff>
    </xdr:to>
    <xdr:graphicFrame>
      <xdr:nvGraphicFramePr>
        <xdr:cNvPr id="8" name="Chart 7"/>
        <xdr:cNvGraphicFramePr/>
      </xdr:nvGraphicFramePr>
      <xdr:xfrm>
        <a:off x="57150" y="21697950"/>
        <a:ext cx="5591175" cy="3895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142875</xdr:colOff>
      <xdr:row>132</xdr:row>
      <xdr:rowOff>161925</xdr:rowOff>
    </xdr:from>
    <xdr:to>
      <xdr:col>14</xdr:col>
      <xdr:colOff>142875</xdr:colOff>
      <xdr:row>157</xdr:row>
      <xdr:rowOff>9525</xdr:rowOff>
    </xdr:to>
    <xdr:graphicFrame>
      <xdr:nvGraphicFramePr>
        <xdr:cNvPr id="9" name="Chart 7"/>
        <xdr:cNvGraphicFramePr/>
      </xdr:nvGraphicFramePr>
      <xdr:xfrm>
        <a:off x="5829300" y="21697950"/>
        <a:ext cx="5562600" cy="38957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O41"/>
  <sheetViews>
    <sheetView showGridLines="0" tabSelected="1" zoomScalePageLayoutView="0" workbookViewId="0" topLeftCell="A1">
      <selection activeCell="A1" sqref="A1:O1"/>
    </sheetView>
  </sheetViews>
  <sheetFormatPr defaultColWidth="9.140625" defaultRowHeight="12.75"/>
  <cols>
    <col min="1" max="1" width="22.7109375" style="0" bestFit="1" customWidth="1"/>
    <col min="2" max="4" width="11.7109375" style="0" hidden="1" customWidth="1"/>
    <col min="5" max="7" width="12.7109375" style="0" hidden="1" customWidth="1"/>
    <col min="8" max="14" width="20.8515625" style="0" customWidth="1"/>
  </cols>
  <sheetData>
    <row r="1" spans="1:15" ht="12.75">
      <c r="A1" s="458" t="s">
        <v>63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</row>
    <row r="2" spans="2:7" ht="12.75">
      <c r="B2" s="28">
        <v>2001</v>
      </c>
      <c r="C2" s="28">
        <v>2002</v>
      </c>
      <c r="D2" s="28">
        <v>2003</v>
      </c>
      <c r="E2" s="28">
        <v>2004</v>
      </c>
      <c r="F2" s="28">
        <v>2005</v>
      </c>
      <c r="G2" s="28">
        <v>2006</v>
      </c>
    </row>
    <row r="3" spans="1:14" ht="25.5">
      <c r="A3" s="1" t="s">
        <v>89</v>
      </c>
      <c r="B3" s="3"/>
      <c r="C3" s="3"/>
      <c r="D3" s="3"/>
      <c r="E3" s="3"/>
      <c r="F3" s="3"/>
      <c r="G3" s="3"/>
      <c r="H3" s="28">
        <v>2007</v>
      </c>
      <c r="I3" s="106">
        <v>2008</v>
      </c>
      <c r="J3" s="106">
        <v>2009</v>
      </c>
      <c r="K3" s="28">
        <v>2010</v>
      </c>
      <c r="L3" s="28">
        <v>2011</v>
      </c>
      <c r="M3" s="197" t="s">
        <v>351</v>
      </c>
      <c r="N3" s="197" t="s">
        <v>353</v>
      </c>
    </row>
    <row r="4" spans="1:14" ht="12.75">
      <c r="A4" s="18" t="s">
        <v>396</v>
      </c>
      <c r="B4" s="248">
        <f>'Annual Savings'!C34</f>
        <v>50672</v>
      </c>
      <c r="C4" s="248">
        <f>'Annual Savings'!D34</f>
        <v>168796</v>
      </c>
      <c r="D4" s="248">
        <f>'Annual Savings'!E34</f>
        <v>285577</v>
      </c>
      <c r="E4" s="248">
        <f>'Annual Savings'!F34</f>
        <v>328513</v>
      </c>
      <c r="F4" s="248">
        <f>'Annual Savings'!G34</f>
        <v>242659</v>
      </c>
      <c r="G4" s="248">
        <f>'Annual Savings'!H34</f>
        <v>128252</v>
      </c>
      <c r="H4" s="248">
        <f>'Annual Savings'!I34</f>
        <v>228721</v>
      </c>
      <c r="I4" s="248">
        <f>'Annual Savings'!J34</f>
        <v>335001</v>
      </c>
      <c r="J4" s="248">
        <f>'Program Summary'!K44</f>
        <v>462162</v>
      </c>
      <c r="K4" s="248">
        <f>'Program Summary'!L44</f>
        <v>347906.80000000005</v>
      </c>
      <c r="L4" s="248">
        <f>'Program Summary'!M44</f>
        <v>453682.1</v>
      </c>
      <c r="M4" s="258">
        <f>'Program Summary'!N44</f>
        <v>638802</v>
      </c>
      <c r="N4" s="258">
        <f>'Program Summary'!O44</f>
        <v>518814</v>
      </c>
    </row>
    <row r="5" spans="1:14" ht="12.75">
      <c r="A5" s="18" t="s">
        <v>176</v>
      </c>
      <c r="B5" s="248">
        <f>'Program Summary'!C60</f>
        <v>243146</v>
      </c>
      <c r="C5" s="248">
        <f>'Program Summary'!D60</f>
        <v>339172</v>
      </c>
      <c r="D5" s="248">
        <f>'Program Summary'!E60</f>
        <v>410818</v>
      </c>
      <c r="E5" s="248">
        <f>'Program Summary'!F60</f>
        <v>432759</v>
      </c>
      <c r="F5" s="248">
        <f>'Program Summary'!G60</f>
        <v>617261</v>
      </c>
      <c r="G5" s="248">
        <f>'Program Summary'!H60</f>
        <v>640179</v>
      </c>
      <c r="H5" s="248">
        <f>'Program Summary'!I60</f>
        <v>979662</v>
      </c>
      <c r="I5" s="248">
        <f>'Program Summary'!J60</f>
        <v>489724</v>
      </c>
      <c r="J5" s="248">
        <f>'Program Summary'!K60</f>
        <v>636343</v>
      </c>
      <c r="K5" s="248">
        <f>'Program Summary'!L60</f>
        <v>934826</v>
      </c>
      <c r="L5" s="248">
        <f>'Program Summary'!M60</f>
        <v>782556.95</v>
      </c>
      <c r="M5" s="248">
        <f>'Program Summary'!N60</f>
        <v>1229205</v>
      </c>
      <c r="N5" s="248">
        <f>'Program Summary'!O60</f>
        <v>921791</v>
      </c>
    </row>
    <row r="6" spans="1:14" ht="12.75">
      <c r="A6" s="55" t="s">
        <v>243</v>
      </c>
      <c r="B6" s="239">
        <v>57555000</v>
      </c>
      <c r="C6" s="239">
        <v>99904000</v>
      </c>
      <c r="D6" s="239">
        <v>97786000</v>
      </c>
      <c r="E6" s="239">
        <v>107502000</v>
      </c>
      <c r="F6" s="239">
        <v>124592542</v>
      </c>
      <c r="G6" s="239">
        <v>171197000</v>
      </c>
      <c r="H6" s="239">
        <v>176811000</v>
      </c>
      <c r="I6" s="239">
        <v>147550000</v>
      </c>
      <c r="J6" s="239">
        <v>178164199.73</v>
      </c>
      <c r="K6" s="239">
        <v>219585204.35999998</v>
      </c>
      <c r="L6" s="239">
        <f>'Program Summary'!M28</f>
        <v>191875940.36</v>
      </c>
      <c r="M6" s="239">
        <f>'Program Summary'!N28</f>
        <v>277843944.14</v>
      </c>
      <c r="N6" s="239">
        <f>'Program Summary'!O28</f>
        <v>202221164.29000005</v>
      </c>
    </row>
    <row r="7" spans="1:8" ht="12.75">
      <c r="A7" s="87"/>
      <c r="B7" s="23"/>
      <c r="C7" s="23"/>
      <c r="D7" s="23"/>
      <c r="E7" s="23"/>
      <c r="F7" s="23"/>
      <c r="G7" s="23"/>
      <c r="H7" s="23"/>
    </row>
    <row r="8" spans="1:8" ht="12.75">
      <c r="A8" s="75" t="s">
        <v>177</v>
      </c>
      <c r="B8" s="23"/>
      <c r="C8" s="23"/>
      <c r="D8" s="23"/>
      <c r="E8" s="23"/>
      <c r="F8" s="23"/>
      <c r="G8" s="23"/>
      <c r="H8" s="23"/>
    </row>
    <row r="9" spans="1:14" ht="12.75">
      <c r="A9" s="55" t="s">
        <v>397</v>
      </c>
      <c r="B9" s="248">
        <f>'Program Summary'!C48</f>
        <v>11</v>
      </c>
      <c r="C9" s="248">
        <f>'Program Summary'!D48</f>
        <v>2896</v>
      </c>
      <c r="D9" s="248">
        <f>'Program Summary'!E48</f>
        <v>7239</v>
      </c>
      <c r="E9" s="248">
        <f>'Program Summary'!F48</f>
        <v>6515</v>
      </c>
      <c r="F9" s="248">
        <f>'Program Summary'!G48</f>
        <v>29136</v>
      </c>
      <c r="G9" s="248">
        <f>'Program Summary'!H48</f>
        <v>44659</v>
      </c>
      <c r="H9" s="248">
        <f>'Program Summary'!I48</f>
        <v>140229</v>
      </c>
      <c r="I9" s="248">
        <f>'Program Summary'!J48</f>
        <v>188968.72</v>
      </c>
      <c r="J9" s="248">
        <f>'Program Summary'!K48</f>
        <v>169101</v>
      </c>
      <c r="K9" s="248">
        <f>'Program Summary'!L48</f>
        <v>327579</v>
      </c>
      <c r="L9" s="248">
        <f>'Program Summary'!M48</f>
        <v>382066</v>
      </c>
      <c r="M9" s="248">
        <f>'Program Summary'!N48</f>
        <v>640636</v>
      </c>
      <c r="N9" s="248">
        <f>'Program Summary'!O48</f>
        <v>261660</v>
      </c>
    </row>
    <row r="10" spans="1:14" ht="12.75">
      <c r="A10" s="55" t="s">
        <v>166</v>
      </c>
      <c r="B10" s="248">
        <f>'Program Summary'!C47</f>
        <v>0</v>
      </c>
      <c r="C10" s="248">
        <f>'Program Summary'!D47</f>
        <v>0</v>
      </c>
      <c r="D10" s="248">
        <f>'Program Summary'!E47</f>
        <v>0</v>
      </c>
      <c r="E10" s="248">
        <f>'Program Summary'!F47</f>
        <v>0</v>
      </c>
      <c r="F10" s="248">
        <f>'Program Summary'!G47</f>
        <v>767</v>
      </c>
      <c r="G10" s="248">
        <f>'Program Summary'!H47</f>
        <v>12575</v>
      </c>
      <c r="H10" s="248">
        <f>'Program Summary'!I47</f>
        <v>102125</v>
      </c>
      <c r="I10" s="248">
        <f>'Program Summary'!J47</f>
        <v>9114</v>
      </c>
      <c r="J10" s="248">
        <f>'Program Summary'!K47</f>
        <v>35317</v>
      </c>
      <c r="K10" s="248">
        <f>'Program Summary'!L47</f>
        <v>47743</v>
      </c>
      <c r="L10" s="248">
        <f>'Program Summary'!M47</f>
        <v>0</v>
      </c>
      <c r="M10" s="248">
        <f>'Program Summary'!N47</f>
        <v>17520</v>
      </c>
      <c r="N10" s="248">
        <f>'Program Summary'!O47</f>
        <v>9409</v>
      </c>
    </row>
    <row r="11" spans="1:14" ht="12.75">
      <c r="A11" s="55" t="s">
        <v>398</v>
      </c>
      <c r="B11" s="248">
        <f aca="true" t="shared" si="0" ref="B11:M11">B4+B9</f>
        <v>50683</v>
      </c>
      <c r="C11" s="248">
        <f t="shared" si="0"/>
        <v>171692</v>
      </c>
      <c r="D11" s="248">
        <f t="shared" si="0"/>
        <v>292816</v>
      </c>
      <c r="E11" s="248">
        <f t="shared" si="0"/>
        <v>335028</v>
      </c>
      <c r="F11" s="248">
        <f t="shared" si="0"/>
        <v>271795</v>
      </c>
      <c r="G11" s="248">
        <f t="shared" si="0"/>
        <v>172911</v>
      </c>
      <c r="H11" s="248">
        <f t="shared" si="0"/>
        <v>368950</v>
      </c>
      <c r="I11" s="248">
        <f t="shared" si="0"/>
        <v>523969.72</v>
      </c>
      <c r="J11" s="248">
        <f t="shared" si="0"/>
        <v>631263</v>
      </c>
      <c r="K11" s="248">
        <f t="shared" si="0"/>
        <v>675485.8</v>
      </c>
      <c r="L11" s="248">
        <f t="shared" si="0"/>
        <v>835748.1</v>
      </c>
      <c r="M11" s="248">
        <f t="shared" si="0"/>
        <v>1279438</v>
      </c>
      <c r="N11" s="248">
        <f>N4+N9</f>
        <v>780474</v>
      </c>
    </row>
    <row r="12" spans="2:8" ht="12.75">
      <c r="B12" s="23"/>
      <c r="C12" s="83" t="s">
        <v>244</v>
      </c>
      <c r="D12" s="23"/>
      <c r="E12" s="23"/>
      <c r="F12" s="23"/>
      <c r="G12" s="23"/>
      <c r="H12" s="23"/>
    </row>
    <row r="13" spans="1:8" ht="12.75">
      <c r="A13" s="1" t="s">
        <v>178</v>
      </c>
      <c r="B13" s="23"/>
      <c r="C13" s="23"/>
      <c r="D13" s="23"/>
      <c r="E13" s="23"/>
      <c r="F13" s="23"/>
      <c r="G13" s="23"/>
      <c r="H13" s="23"/>
    </row>
    <row r="14" spans="1:14" ht="12.75">
      <c r="A14" s="18" t="s">
        <v>399</v>
      </c>
      <c r="B14" s="248">
        <f>'emmission reductions'!C9</f>
        <v>27484.5522</v>
      </c>
      <c r="C14" s="248">
        <f>'emmission reductions'!D9</f>
        <v>150036.71596</v>
      </c>
      <c r="D14" s="248">
        <f>'emmission reductions'!E9</f>
        <v>224140.7448</v>
      </c>
      <c r="E14" s="248">
        <f>'emmission reductions'!F9</f>
        <v>254488.3624</v>
      </c>
      <c r="F14" s="248">
        <f>'emmission reductions'!G9</f>
        <v>317468.2243</v>
      </c>
      <c r="G14" s="248">
        <f>'emmission reductions'!H9</f>
        <v>153435</v>
      </c>
      <c r="H14" s="248">
        <f>'emmission reductions'!I9</f>
        <v>396550</v>
      </c>
      <c r="I14" s="248">
        <f>'emmission reductions'!J9</f>
        <v>418463</v>
      </c>
      <c r="J14" s="248">
        <f>'emmission reductions'!K9</f>
        <v>583468</v>
      </c>
      <c r="K14" s="248">
        <f>'emmission reductions'!L9</f>
        <v>464605</v>
      </c>
      <c r="L14" s="248">
        <f>'emmission reductions'!M9</f>
        <v>730728.7884216309</v>
      </c>
      <c r="M14" s="248">
        <f>'emmission reductions'!N9</f>
        <v>1115897</v>
      </c>
      <c r="N14" s="248">
        <f>'emmission reductions'!O9</f>
        <v>585823</v>
      </c>
    </row>
    <row r="15" spans="2:8" ht="12.75">
      <c r="B15" s="23"/>
      <c r="C15" s="23"/>
      <c r="D15" s="23"/>
      <c r="E15" s="23"/>
      <c r="F15" s="23"/>
      <c r="G15" s="23"/>
      <c r="H15" s="23"/>
    </row>
    <row r="16" ht="12.75">
      <c r="A16" s="361" t="s">
        <v>352</v>
      </c>
    </row>
    <row r="23" ht="12.75">
      <c r="K23" t="s">
        <v>88</v>
      </c>
    </row>
    <row r="41" ht="12.75">
      <c r="I41" s="87" t="s">
        <v>244</v>
      </c>
    </row>
  </sheetData>
  <sheetProtection/>
  <mergeCells count="1">
    <mergeCell ref="A1:O1"/>
  </mergeCells>
  <printOptions horizontalCentered="1"/>
  <pageMargins left="0.17" right="0.17" top="0.4" bottom="0.6" header="0.24" footer="0.24"/>
  <pageSetup fitToHeight="10" horizontalDpi="600" verticalDpi="600" orientation="landscape" scale="77" r:id="rId2"/>
  <headerFooter scaleWithDoc="0" alignWithMargins="0">
    <oddFooter>&amp;L&amp;6&amp;A - Results by Program Year &amp;R&amp;6printed &amp;D at &amp;T</oddFooter>
  </headerFooter>
  <rowBreaks count="2" manualBreakCount="2">
    <brk id="50" max="255" man="1"/>
    <brk id="105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140625" style="3" customWidth="1"/>
    <col min="2" max="2" width="10.8515625" style="6" bestFit="1" customWidth="1"/>
    <col min="3" max="3" width="13.57421875" style="6" customWidth="1"/>
    <col min="4" max="4" width="13.421875" style="6" customWidth="1"/>
    <col min="5" max="5" width="14.57421875" style="6" customWidth="1"/>
    <col min="6" max="8" width="14.421875" style="6" bestFit="1" customWidth="1"/>
    <col min="9" max="9" width="14.421875" style="6" customWidth="1"/>
    <col min="10" max="10" width="17.140625" style="6" customWidth="1"/>
    <col min="11" max="16384" width="10.7109375" style="6" customWidth="1"/>
  </cols>
  <sheetData>
    <row r="1" spans="1:10" ht="12.75">
      <c r="A1" s="459" t="s">
        <v>407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12.75">
      <c r="A2" s="459" t="s">
        <v>420</v>
      </c>
      <c r="B2" s="461"/>
      <c r="C2" s="461"/>
      <c r="D2" s="461"/>
      <c r="E2" s="461"/>
      <c r="F2" s="461"/>
      <c r="G2" s="461"/>
      <c r="H2" s="461"/>
      <c r="I2" s="461"/>
      <c r="J2" s="461"/>
    </row>
    <row r="3" ht="12.75">
      <c r="A3" s="40"/>
    </row>
    <row r="4" spans="1:10" ht="25.5">
      <c r="A4" s="30" t="s">
        <v>206</v>
      </c>
      <c r="B4" s="28">
        <v>2006</v>
      </c>
      <c r="C4" s="28">
        <v>2007</v>
      </c>
      <c r="D4" s="28">
        <v>2008</v>
      </c>
      <c r="E4" s="28">
        <v>2009</v>
      </c>
      <c r="F4" s="28">
        <v>2010</v>
      </c>
      <c r="G4" s="28">
        <v>2011</v>
      </c>
      <c r="H4" s="197" t="s">
        <v>347</v>
      </c>
      <c r="I4" s="197" t="s">
        <v>353</v>
      </c>
      <c r="J4" s="197" t="str">
        <f>"Total "&amp;CHAR(10)&amp;B4&amp;" ~ "&amp;I4</f>
        <v>Total 
2006 ~ FY2014</v>
      </c>
    </row>
    <row r="5" spans="1:11" ht="12.75">
      <c r="A5" s="19" t="s">
        <v>425</v>
      </c>
      <c r="B5" s="280"/>
      <c r="C5" s="280">
        <f>7368*1000</f>
        <v>7368000</v>
      </c>
      <c r="D5" s="280">
        <f>9829*1000</f>
        <v>9829000</v>
      </c>
      <c r="E5" s="280">
        <v>23652926.69</v>
      </c>
      <c r="F5" s="280">
        <v>58782277.65</v>
      </c>
      <c r="G5" s="280">
        <v>29760156.05</v>
      </c>
      <c r="H5" s="281">
        <v>44008734.71</v>
      </c>
      <c r="I5" s="281">
        <v>41478594.09</v>
      </c>
      <c r="J5" s="280">
        <f>SUM(B5:I5)</f>
        <v>214879689.19</v>
      </c>
      <c r="K5" s="12"/>
    </row>
    <row r="6" spans="1:13" ht="12.75">
      <c r="A6" s="21"/>
      <c r="B6" s="121"/>
      <c r="C6" s="121"/>
      <c r="D6" s="121"/>
      <c r="E6" s="121"/>
      <c r="F6" s="121"/>
      <c r="G6" s="121"/>
      <c r="H6" s="121"/>
      <c r="I6" s="121"/>
      <c r="J6" s="121"/>
      <c r="K6" s="3"/>
      <c r="L6" s="3"/>
      <c r="M6" s="3"/>
    </row>
    <row r="7" spans="1:13" ht="12.75">
      <c r="A7" s="30" t="s">
        <v>207</v>
      </c>
      <c r="B7" s="121"/>
      <c r="C7" s="121"/>
      <c r="D7" s="121"/>
      <c r="E7" s="121"/>
      <c r="F7" s="121"/>
      <c r="G7" s="121"/>
      <c r="H7" s="121"/>
      <c r="I7" s="121"/>
      <c r="J7" s="121"/>
      <c r="K7" s="3"/>
      <c r="L7" s="3"/>
      <c r="M7" s="3"/>
    </row>
    <row r="8" spans="1:11" s="3" customFormat="1" ht="12.75">
      <c r="A8" s="19" t="s">
        <v>425</v>
      </c>
      <c r="B8" s="120"/>
      <c r="C8" s="280">
        <f>3441*1000</f>
        <v>3441000</v>
      </c>
      <c r="D8" s="280">
        <f>5002*1000</f>
        <v>5002000</v>
      </c>
      <c r="E8" s="280">
        <v>10248143.7</v>
      </c>
      <c r="F8" s="280">
        <v>41380830.32</v>
      </c>
      <c r="G8" s="280">
        <v>15266819.3</v>
      </c>
      <c r="H8" s="281">
        <v>35243215.71</v>
      </c>
      <c r="I8" s="281">
        <v>31922364.9</v>
      </c>
      <c r="J8" s="280">
        <f>SUM(B8:I8)</f>
        <v>142504373.93</v>
      </c>
      <c r="K8" s="4"/>
    </row>
    <row r="9" spans="1:10" s="3" customFormat="1" ht="12.75">
      <c r="A9" s="21"/>
      <c r="B9" s="40"/>
      <c r="C9" s="40"/>
      <c r="D9" s="40"/>
      <c r="E9" s="40"/>
      <c r="F9" s="40"/>
      <c r="G9" s="40"/>
      <c r="H9" s="40"/>
      <c r="I9" s="40"/>
      <c r="J9" s="40"/>
    </row>
    <row r="10" spans="1:10" s="3" customFormat="1" ht="12.75">
      <c r="A10" s="43"/>
      <c r="B10" s="44"/>
      <c r="C10" s="44"/>
      <c r="D10" s="44"/>
      <c r="E10" s="44"/>
      <c r="F10" s="44"/>
      <c r="G10" s="44"/>
      <c r="H10" s="44"/>
      <c r="I10" s="44"/>
      <c r="J10" s="44"/>
    </row>
    <row r="11" spans="1:10" s="3" customFormat="1" ht="12.75">
      <c r="A11" s="43" t="s">
        <v>339</v>
      </c>
      <c r="B11" s="44"/>
      <c r="C11" s="44"/>
      <c r="D11" s="44"/>
      <c r="E11" s="44"/>
      <c r="F11" s="44"/>
      <c r="G11" s="44"/>
      <c r="H11" s="44"/>
      <c r="I11" s="44"/>
      <c r="J11" s="44"/>
    </row>
    <row r="12" spans="1:10" s="3" customFormat="1" ht="12.75">
      <c r="A12" s="182" t="s">
        <v>213</v>
      </c>
      <c r="B12" s="252"/>
      <c r="C12" s="252"/>
      <c r="D12" s="252"/>
      <c r="E12" s="252"/>
      <c r="F12" s="318"/>
      <c r="G12" s="318"/>
      <c r="H12" s="318"/>
      <c r="I12" s="318"/>
      <c r="J12" s="252"/>
    </row>
    <row r="13" spans="1:11" s="3" customFormat="1" ht="12.75">
      <c r="A13" s="182" t="s">
        <v>269</v>
      </c>
      <c r="B13" s="252"/>
      <c r="C13" s="252"/>
      <c r="D13" s="252"/>
      <c r="E13" s="252"/>
      <c r="F13" s="254"/>
      <c r="G13" s="254">
        <v>360</v>
      </c>
      <c r="H13" s="254">
        <v>352</v>
      </c>
      <c r="I13" s="254">
        <v>510</v>
      </c>
      <c r="J13" s="252"/>
      <c r="K13" s="7"/>
    </row>
    <row r="14" spans="1:10" s="3" customFormat="1" ht="12.75">
      <c r="A14" s="182" t="s">
        <v>312</v>
      </c>
      <c r="B14" s="252"/>
      <c r="C14" s="252"/>
      <c r="D14" s="252"/>
      <c r="E14" s="252"/>
      <c r="F14" s="252"/>
      <c r="G14" s="252">
        <v>2515</v>
      </c>
      <c r="H14" s="254">
        <v>6209</v>
      </c>
      <c r="I14" s="254">
        <v>5626</v>
      </c>
      <c r="J14" s="252"/>
    </row>
    <row r="15" spans="1:10" s="3" customFormat="1" ht="12.75">
      <c r="A15" s="16" t="s">
        <v>1</v>
      </c>
      <c r="B15" s="265"/>
      <c r="C15" s="265"/>
      <c r="D15" s="265">
        <v>94</v>
      </c>
      <c r="E15" s="265"/>
      <c r="F15" s="265" t="s">
        <v>88</v>
      </c>
      <c r="G15" s="265">
        <f>SUM(G12:G14)</f>
        <v>2875</v>
      </c>
      <c r="H15" s="265">
        <f>SUM(H12:H14)</f>
        <v>6561</v>
      </c>
      <c r="I15" s="265">
        <f>SUM(I12:I14)</f>
        <v>6136</v>
      </c>
      <c r="J15" s="265">
        <f>SUM(B15:I15)</f>
        <v>15666</v>
      </c>
    </row>
    <row r="16" spans="1:10" s="3" customFormat="1" ht="12.75">
      <c r="A16" s="43"/>
      <c r="B16" s="267"/>
      <c r="C16" s="267"/>
      <c r="D16" s="267"/>
      <c r="E16" s="267"/>
      <c r="F16" s="267"/>
      <c r="G16" s="267"/>
      <c r="H16" s="267"/>
      <c r="I16" s="267"/>
      <c r="J16" s="267"/>
    </row>
    <row r="17" spans="1:10" s="3" customFormat="1" ht="12.75">
      <c r="A17" s="43" t="s">
        <v>340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1" s="3" customFormat="1" ht="12.75">
      <c r="A18" s="182" t="s">
        <v>213</v>
      </c>
      <c r="B18" s="252"/>
      <c r="C18" s="252"/>
      <c r="D18" s="252"/>
      <c r="E18" s="252">
        <v>2170</v>
      </c>
      <c r="F18" s="318"/>
      <c r="G18" s="318"/>
      <c r="H18" s="318"/>
      <c r="I18" s="318"/>
      <c r="J18" s="252"/>
      <c r="K18" s="131"/>
    </row>
    <row r="19" spans="1:11" s="3" customFormat="1" ht="12.75">
      <c r="A19" s="182" t="s">
        <v>269</v>
      </c>
      <c r="B19" s="252"/>
      <c r="C19" s="252"/>
      <c r="D19" s="252"/>
      <c r="E19" s="252"/>
      <c r="F19" s="254"/>
      <c r="G19" s="254">
        <v>296</v>
      </c>
      <c r="H19" s="254">
        <v>282</v>
      </c>
      <c r="I19" s="254">
        <v>416</v>
      </c>
      <c r="J19" s="252"/>
      <c r="K19" s="131"/>
    </row>
    <row r="20" spans="1:11" s="3" customFormat="1" ht="12.75">
      <c r="A20" s="182" t="s">
        <v>312</v>
      </c>
      <c r="B20" s="252"/>
      <c r="C20" s="252"/>
      <c r="D20" s="252"/>
      <c r="E20" s="252">
        <v>1140</v>
      </c>
      <c r="F20" s="252">
        <v>3245</v>
      </c>
      <c r="G20" s="252">
        <v>2288</v>
      </c>
      <c r="H20" s="254">
        <v>5490</v>
      </c>
      <c r="I20" s="254">
        <v>4886</v>
      </c>
      <c r="J20" s="252"/>
      <c r="K20" s="7"/>
    </row>
    <row r="21" spans="1:10" s="3" customFormat="1" ht="12.75">
      <c r="A21" s="16" t="s">
        <v>1</v>
      </c>
      <c r="B21" s="265">
        <v>3</v>
      </c>
      <c r="C21" s="265">
        <v>20</v>
      </c>
      <c r="D21" s="265">
        <v>163</v>
      </c>
      <c r="E21" s="265">
        <f>SUM(E18:E20)</f>
        <v>3310</v>
      </c>
      <c r="F21" s="265">
        <f>SUM(F18:F20)</f>
        <v>3245</v>
      </c>
      <c r="G21" s="265">
        <f>SUM(G18:G20)</f>
        <v>2584</v>
      </c>
      <c r="H21" s="265">
        <f>SUM(H18:H20)</f>
        <v>5772</v>
      </c>
      <c r="I21" s="265">
        <f>SUM(I18:I20)</f>
        <v>5302</v>
      </c>
      <c r="J21" s="265">
        <f>SUM(B21:I21)</f>
        <v>20399</v>
      </c>
    </row>
    <row r="22" spans="1:10" s="3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</row>
    <row r="23" spans="1:10" s="3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</row>
    <row r="24" spans="1:11" s="3" customFormat="1" ht="12.75">
      <c r="A24" s="432" t="s">
        <v>402</v>
      </c>
      <c r="B24" s="40"/>
      <c r="C24" s="40"/>
      <c r="D24" s="40"/>
      <c r="E24" s="40"/>
      <c r="F24" s="40"/>
      <c r="G24" s="40"/>
      <c r="H24" s="40"/>
      <c r="I24" s="40"/>
      <c r="J24" s="40"/>
      <c r="K24" s="7"/>
    </row>
    <row r="25" spans="1:10" s="3" customFormat="1" ht="25.5">
      <c r="A25" s="43" t="s">
        <v>6</v>
      </c>
      <c r="B25" s="28">
        <v>2006</v>
      </c>
      <c r="C25" s="28">
        <v>2007</v>
      </c>
      <c r="D25" s="28">
        <v>2008</v>
      </c>
      <c r="E25" s="28">
        <v>2009</v>
      </c>
      <c r="F25" s="28">
        <v>2010</v>
      </c>
      <c r="G25" s="28">
        <v>2011</v>
      </c>
      <c r="H25" s="197" t="str">
        <f>H4</f>
        <v>(18 month)
2012-2013</v>
      </c>
      <c r="I25" s="197" t="str">
        <f>I4</f>
        <v>FY2014</v>
      </c>
      <c r="J25" s="197" t="str">
        <f>J4</f>
        <v>Total 
2006 ~ FY2014</v>
      </c>
    </row>
    <row r="26" spans="1:10" s="3" customFormat="1" ht="12.75">
      <c r="A26" s="43" t="s">
        <v>7</v>
      </c>
      <c r="B26" s="40" t="s">
        <v>8</v>
      </c>
      <c r="C26" s="40" t="s">
        <v>8</v>
      </c>
      <c r="D26" s="45" t="s">
        <v>8</v>
      </c>
      <c r="E26" s="45" t="s">
        <v>8</v>
      </c>
      <c r="F26" s="45" t="s">
        <v>8</v>
      </c>
      <c r="G26" s="45" t="s">
        <v>8</v>
      </c>
      <c r="H26" s="45" t="s">
        <v>8</v>
      </c>
      <c r="I26" s="45" t="s">
        <v>8</v>
      </c>
      <c r="J26" s="40" t="s">
        <v>8</v>
      </c>
    </row>
    <row r="27" spans="1:11" s="3" customFormat="1" ht="12.75">
      <c r="A27" s="19" t="s">
        <v>344</v>
      </c>
      <c r="B27" s="254">
        <v>2</v>
      </c>
      <c r="C27" s="254">
        <v>22</v>
      </c>
      <c r="D27" s="254">
        <v>108</v>
      </c>
      <c r="E27" s="254">
        <v>1155</v>
      </c>
      <c r="F27" s="254">
        <v>939</v>
      </c>
      <c r="G27" s="254">
        <v>2131</v>
      </c>
      <c r="H27" s="254">
        <v>3479</v>
      </c>
      <c r="I27" s="254">
        <v>4661</v>
      </c>
      <c r="J27" s="252">
        <f>SUM(B27:I27)</f>
        <v>12497</v>
      </c>
      <c r="K27" s="7"/>
    </row>
    <row r="28" spans="1:12" s="3" customFormat="1" ht="12.75">
      <c r="A28" s="19" t="s">
        <v>345</v>
      </c>
      <c r="B28" s="254">
        <v>26</v>
      </c>
      <c r="C28" s="254">
        <v>442</v>
      </c>
      <c r="D28" s="254">
        <v>1456</v>
      </c>
      <c r="E28" s="254">
        <v>18378</v>
      </c>
      <c r="F28" s="254">
        <v>20889</v>
      </c>
      <c r="G28" s="254">
        <v>38314</v>
      </c>
      <c r="H28" s="254">
        <v>56224</v>
      </c>
      <c r="I28" s="254">
        <v>76998</v>
      </c>
      <c r="J28" s="252">
        <f>SUM(B28:I28)</f>
        <v>212727</v>
      </c>
      <c r="K28" s="142"/>
      <c r="L28" s="142"/>
    </row>
    <row r="29" spans="1:12" ht="12.75">
      <c r="A29" s="21"/>
      <c r="B29" s="58"/>
      <c r="C29" s="58"/>
      <c r="D29" s="58"/>
      <c r="E29" s="58"/>
      <c r="F29" s="58"/>
      <c r="G29" s="58"/>
      <c r="H29" s="58"/>
      <c r="I29" s="58"/>
      <c r="J29" s="44"/>
      <c r="K29" s="131"/>
      <c r="L29" s="65"/>
    </row>
    <row r="30" spans="1:12" ht="12.75">
      <c r="A30" s="43" t="s">
        <v>111</v>
      </c>
      <c r="B30" s="63" t="s">
        <v>411</v>
      </c>
      <c r="C30" s="63" t="s">
        <v>411</v>
      </c>
      <c r="D30" s="88" t="s">
        <v>411</v>
      </c>
      <c r="E30" s="88" t="s">
        <v>411</v>
      </c>
      <c r="F30" s="88" t="s">
        <v>411</v>
      </c>
      <c r="G30" s="88" t="s">
        <v>411</v>
      </c>
      <c r="H30" s="88" t="s">
        <v>411</v>
      </c>
      <c r="I30" s="88" t="s">
        <v>411</v>
      </c>
      <c r="J30" s="40" t="s">
        <v>411</v>
      </c>
      <c r="K30" s="65"/>
      <c r="L30" s="65"/>
    </row>
    <row r="31" spans="1:12" ht="12.75">
      <c r="A31" s="19" t="s">
        <v>438</v>
      </c>
      <c r="B31" s="254">
        <v>0</v>
      </c>
      <c r="C31" s="254"/>
      <c r="D31" s="254">
        <v>51</v>
      </c>
      <c r="E31" s="254">
        <v>366</v>
      </c>
      <c r="F31" s="254">
        <v>815</v>
      </c>
      <c r="G31" s="254">
        <v>894</v>
      </c>
      <c r="H31" s="254">
        <v>1081</v>
      </c>
      <c r="I31" s="254">
        <v>1551</v>
      </c>
      <c r="J31" s="252">
        <f>SUM(B31:I31)</f>
        <v>4758</v>
      </c>
      <c r="K31" s="65"/>
      <c r="L31" s="65"/>
    </row>
    <row r="32" spans="1:12" ht="12.75">
      <c r="A32" s="5"/>
      <c r="B32" s="3"/>
      <c r="C32" s="3"/>
      <c r="D32" s="3"/>
      <c r="E32" s="3"/>
      <c r="F32" s="3"/>
      <c r="G32" s="3"/>
      <c r="H32" s="3"/>
      <c r="I32" s="3"/>
      <c r="J32" s="3"/>
      <c r="K32" s="131"/>
      <c r="L32" s="65"/>
    </row>
    <row r="33" spans="1:10" ht="12.75">
      <c r="A33" s="43" t="s">
        <v>10</v>
      </c>
      <c r="B33" s="40" t="s">
        <v>11</v>
      </c>
      <c r="C33" s="40" t="s">
        <v>11</v>
      </c>
      <c r="D33" s="45" t="s">
        <v>11</v>
      </c>
      <c r="E33" s="45" t="s">
        <v>11</v>
      </c>
      <c r="F33" s="45" t="s">
        <v>11</v>
      </c>
      <c r="G33" s="88" t="s">
        <v>11</v>
      </c>
      <c r="H33" s="88" t="s">
        <v>11</v>
      </c>
      <c r="I33" s="88" t="s">
        <v>11</v>
      </c>
      <c r="J33" s="63" t="s">
        <v>11</v>
      </c>
    </row>
    <row r="34" spans="1:22" ht="12.75">
      <c r="A34" s="19" t="s">
        <v>344</v>
      </c>
      <c r="B34" s="254">
        <v>108</v>
      </c>
      <c r="C34" s="254">
        <v>803</v>
      </c>
      <c r="D34" s="254">
        <v>3835</v>
      </c>
      <c r="E34" s="254">
        <v>23909</v>
      </c>
      <c r="F34" s="254">
        <v>73438</v>
      </c>
      <c r="G34" s="254">
        <v>95298.35</v>
      </c>
      <c r="H34" s="254">
        <v>136412</v>
      </c>
      <c r="I34" s="254">
        <v>82585</v>
      </c>
      <c r="J34" s="254">
        <f>SUM(B34:I34)</f>
        <v>416388.35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12.75">
      <c r="A35" s="19" t="s">
        <v>345</v>
      </c>
      <c r="B35" s="254">
        <v>2152</v>
      </c>
      <c r="C35" s="254">
        <v>19299</v>
      </c>
      <c r="D35" s="254">
        <v>88013</v>
      </c>
      <c r="E35" s="254">
        <v>537652</v>
      </c>
      <c r="F35" s="254">
        <v>1635192</v>
      </c>
      <c r="G35" s="254">
        <v>2058386.84</v>
      </c>
      <c r="H35" s="254">
        <v>2972663</v>
      </c>
      <c r="I35" s="254">
        <v>2005100</v>
      </c>
      <c r="J35" s="254">
        <f>SUM(B35:I35)</f>
        <v>9318457.84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ht="12.75">
      <c r="A36" s="2"/>
    </row>
    <row r="37" spans="1:14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2.75">
      <c r="A38" s="432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25.5">
      <c r="A39" s="43" t="s">
        <v>6</v>
      </c>
      <c r="B39" s="28">
        <v>2006</v>
      </c>
      <c r="C39" s="28">
        <v>2007</v>
      </c>
      <c r="D39" s="28">
        <v>2008</v>
      </c>
      <c r="E39" s="28">
        <v>2009</v>
      </c>
      <c r="F39" s="28">
        <v>2010</v>
      </c>
      <c r="G39" s="28">
        <v>2011</v>
      </c>
      <c r="H39" s="197" t="str">
        <f>H4</f>
        <v>(18 month)
2012-2013</v>
      </c>
      <c r="I39" s="197" t="str">
        <f>I4</f>
        <v>FY2014</v>
      </c>
      <c r="J39" s="197" t="str">
        <f>J4</f>
        <v>Total 
2006 ~ FY2014</v>
      </c>
      <c r="K39" s="9"/>
      <c r="L39" s="9"/>
      <c r="M39" s="9"/>
      <c r="N39" s="9"/>
    </row>
    <row r="40" spans="1:14" ht="12.75">
      <c r="A40" s="43" t="s">
        <v>7</v>
      </c>
      <c r="B40" s="40" t="s">
        <v>8</v>
      </c>
      <c r="C40" s="40" t="s">
        <v>8</v>
      </c>
      <c r="D40" s="45" t="s">
        <v>8</v>
      </c>
      <c r="E40" s="45" t="s">
        <v>8</v>
      </c>
      <c r="F40" s="45" t="s">
        <v>8</v>
      </c>
      <c r="G40" s="45" t="s">
        <v>8</v>
      </c>
      <c r="H40" s="45" t="s">
        <v>8</v>
      </c>
      <c r="I40" s="45" t="s">
        <v>8</v>
      </c>
      <c r="J40" s="40" t="s">
        <v>8</v>
      </c>
      <c r="K40" s="9"/>
      <c r="L40" s="9"/>
      <c r="M40" s="9"/>
      <c r="N40" s="9"/>
    </row>
    <row r="41" spans="1:11" ht="12.75">
      <c r="A41" s="19" t="s">
        <v>344</v>
      </c>
      <c r="B41" s="254"/>
      <c r="C41" s="254"/>
      <c r="D41" s="254"/>
      <c r="E41" s="254"/>
      <c r="F41" s="254"/>
      <c r="G41" s="254"/>
      <c r="H41" s="254"/>
      <c r="I41" s="254">
        <v>240</v>
      </c>
      <c r="J41" s="252">
        <f>SUM(B41:I41)</f>
        <v>240</v>
      </c>
      <c r="K41" s="8"/>
    </row>
    <row r="42" spans="1:10" ht="12.75">
      <c r="A42" s="19" t="s">
        <v>345</v>
      </c>
      <c r="B42" s="254"/>
      <c r="C42" s="254"/>
      <c r="D42" s="254"/>
      <c r="E42" s="254"/>
      <c r="F42" s="254"/>
      <c r="G42" s="254"/>
      <c r="H42" s="254"/>
      <c r="I42" s="254">
        <v>3970</v>
      </c>
      <c r="J42" s="252">
        <f>SUM(B42:I42)</f>
        <v>3970</v>
      </c>
    </row>
    <row r="43" spans="1:14" ht="12.75">
      <c r="A43" s="21"/>
      <c r="B43" s="58"/>
      <c r="C43" s="58"/>
      <c r="D43" s="58"/>
      <c r="E43" s="58"/>
      <c r="F43" s="58"/>
      <c r="G43" s="58"/>
      <c r="H43" s="58"/>
      <c r="I43" s="58"/>
      <c r="J43" s="44"/>
      <c r="K43" s="9"/>
      <c r="L43" s="9"/>
      <c r="M43" s="9"/>
      <c r="N43" s="9"/>
    </row>
    <row r="44" spans="1:14" ht="12.75">
      <c r="A44" s="43" t="s">
        <v>111</v>
      </c>
      <c r="B44" s="63" t="s">
        <v>411</v>
      </c>
      <c r="C44" s="63" t="s">
        <v>411</v>
      </c>
      <c r="D44" s="88" t="s">
        <v>411</v>
      </c>
      <c r="E44" s="88" t="s">
        <v>411</v>
      </c>
      <c r="F44" s="88" t="s">
        <v>411</v>
      </c>
      <c r="G44" s="88" t="s">
        <v>411</v>
      </c>
      <c r="H44" s="88" t="s">
        <v>411</v>
      </c>
      <c r="I44" s="88" t="s">
        <v>411</v>
      </c>
      <c r="J44" s="40" t="s">
        <v>411</v>
      </c>
      <c r="K44" s="9"/>
      <c r="L44" s="9"/>
      <c r="M44" s="9"/>
      <c r="N44" s="9"/>
    </row>
    <row r="45" spans="1:14" ht="12.75">
      <c r="A45" s="19" t="s">
        <v>438</v>
      </c>
      <c r="B45" s="254"/>
      <c r="C45" s="254"/>
      <c r="D45" s="254"/>
      <c r="E45" s="254"/>
      <c r="F45" s="254"/>
      <c r="G45" s="254"/>
      <c r="H45" s="254"/>
      <c r="I45" s="254">
        <v>80</v>
      </c>
      <c r="J45" s="252">
        <f>SUM(B45:I45)</f>
        <v>80</v>
      </c>
      <c r="K45" s="9"/>
      <c r="L45" s="9"/>
      <c r="M45" s="9"/>
      <c r="N45" s="9"/>
    </row>
    <row r="46" spans="1:14" ht="12.75">
      <c r="A46" s="5"/>
      <c r="B46" s="3"/>
      <c r="C46" s="3"/>
      <c r="D46" s="3"/>
      <c r="E46" s="3"/>
      <c r="F46" s="3"/>
      <c r="G46" s="3"/>
      <c r="H46" s="3"/>
      <c r="I46" s="3"/>
      <c r="J46" s="3"/>
      <c r="K46" s="9"/>
      <c r="L46" s="9"/>
      <c r="M46" s="9"/>
      <c r="N46" s="9"/>
    </row>
    <row r="47" spans="1:10" ht="12.75">
      <c r="A47" s="43" t="s">
        <v>10</v>
      </c>
      <c r="B47" s="40" t="s">
        <v>11</v>
      </c>
      <c r="C47" s="40" t="s">
        <v>11</v>
      </c>
      <c r="D47" s="45" t="s">
        <v>11</v>
      </c>
      <c r="E47" s="45" t="s">
        <v>11</v>
      </c>
      <c r="F47" s="45" t="s">
        <v>11</v>
      </c>
      <c r="G47" s="88" t="s">
        <v>11</v>
      </c>
      <c r="H47" s="88" t="s">
        <v>11</v>
      </c>
      <c r="I47" s="88" t="s">
        <v>11</v>
      </c>
      <c r="J47" s="63" t="s">
        <v>11</v>
      </c>
    </row>
    <row r="48" spans="1:10" ht="12.75">
      <c r="A48" s="19" t="s">
        <v>344</v>
      </c>
      <c r="B48" s="254"/>
      <c r="C48" s="254"/>
      <c r="D48" s="254"/>
      <c r="E48" s="254"/>
      <c r="F48" s="254"/>
      <c r="G48" s="254"/>
      <c r="H48" s="254"/>
      <c r="I48" s="254">
        <v>4258</v>
      </c>
      <c r="J48" s="254">
        <f>SUM(B48:I48)</f>
        <v>4258</v>
      </c>
    </row>
    <row r="49" spans="1:10" ht="12.75">
      <c r="A49" s="19" t="s">
        <v>345</v>
      </c>
      <c r="B49" s="254"/>
      <c r="C49" s="254"/>
      <c r="D49" s="254"/>
      <c r="E49" s="254"/>
      <c r="F49" s="254"/>
      <c r="G49" s="254"/>
      <c r="H49" s="254"/>
      <c r="I49" s="254">
        <v>103386</v>
      </c>
      <c r="J49" s="254">
        <f>SUM(B49:I49)</f>
        <v>103386</v>
      </c>
    </row>
    <row r="50" ht="12.75">
      <c r="A50" s="2"/>
    </row>
    <row r="51" spans="1:2" ht="12.75">
      <c r="A51" s="118" t="s">
        <v>159</v>
      </c>
      <c r="B51" s="118"/>
    </row>
    <row r="54" ht="12.75">
      <c r="A54" s="2"/>
    </row>
    <row r="55" ht="12.75">
      <c r="A55" s="2"/>
    </row>
    <row r="56" ht="12.75">
      <c r="A56" s="2"/>
    </row>
  </sheetData>
  <sheetProtection/>
  <mergeCells count="2">
    <mergeCell ref="A1:J1"/>
    <mergeCell ref="A2:J2"/>
  </mergeCells>
  <printOptions/>
  <pageMargins left="0.17" right="0.17" top="0.4" bottom="0.6" header="0.24" footer="0.24"/>
  <pageSetup fitToHeight="1" fitToWidth="1" horizontalDpi="600" verticalDpi="600" orientation="landscape" scale="81" r:id="rId1"/>
  <headerFooter scaleWithDoc="0" alignWithMargins="0">
    <oddFooter>&amp;L&amp;6&amp;A - Results by Program Year&amp;R&amp;6printed &amp;D at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2" width="15.28125" style="3" customWidth="1"/>
    <col min="3" max="3" width="15.140625" style="6" hidden="1" customWidth="1"/>
    <col min="4" max="4" width="15.421875" style="6" hidden="1" customWidth="1"/>
    <col min="5" max="5" width="14.8515625" style="6" hidden="1" customWidth="1"/>
    <col min="6" max="6" width="15.421875" style="6" hidden="1" customWidth="1"/>
    <col min="7" max="7" width="15.57421875" style="6" hidden="1" customWidth="1"/>
    <col min="8" max="8" width="15.421875" style="6" bestFit="1" customWidth="1"/>
    <col min="9" max="11" width="15.57421875" style="6" bestFit="1" customWidth="1"/>
    <col min="12" max="15" width="15.57421875" style="6" customWidth="1"/>
    <col min="16" max="16" width="16.28125" style="6" bestFit="1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6" ht="15.75">
      <c r="A3" s="111"/>
      <c r="B3" s="111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8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 t="s">
        <v>297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227" t="s">
        <v>2</v>
      </c>
      <c r="B5" s="274">
        <f aca="true" t="shared" si="0" ref="B5:B10">SUM(C5:G5)</f>
        <v>85733</v>
      </c>
      <c r="C5" s="282">
        <v>15224</v>
      </c>
      <c r="D5" s="282">
        <v>15497</v>
      </c>
      <c r="E5" s="282">
        <v>15412</v>
      </c>
      <c r="F5" s="282">
        <v>14640</v>
      </c>
      <c r="G5" s="274">
        <v>24960</v>
      </c>
      <c r="H5" s="274">
        <v>21330</v>
      </c>
      <c r="I5" s="274">
        <v>20175</v>
      </c>
      <c r="J5" s="274">
        <v>26373</v>
      </c>
      <c r="K5" s="274">
        <v>36309764.38</v>
      </c>
      <c r="L5" s="274">
        <v>32206497.01</v>
      </c>
      <c r="M5" s="274">
        <v>30829308.11</v>
      </c>
      <c r="N5" s="249">
        <v>50000000</v>
      </c>
      <c r="O5" s="249">
        <v>35102476.2</v>
      </c>
      <c r="P5" s="274"/>
      <c r="Q5" s="3"/>
      <c r="R5" s="3"/>
    </row>
    <row r="6" spans="1:18" ht="12.75">
      <c r="A6" s="227" t="s">
        <v>3</v>
      </c>
      <c r="B6" s="274">
        <f t="shared" si="0"/>
        <v>1255</v>
      </c>
      <c r="C6" s="282"/>
      <c r="D6" s="282"/>
      <c r="E6" s="282">
        <v>722</v>
      </c>
      <c r="F6" s="282">
        <v>493</v>
      </c>
      <c r="G6" s="274">
        <v>40</v>
      </c>
      <c r="H6" s="274" t="s">
        <v>4</v>
      </c>
      <c r="I6" s="378"/>
      <c r="J6" s="378"/>
      <c r="K6" s="378"/>
      <c r="L6" s="378"/>
      <c r="M6" s="378"/>
      <c r="N6" s="378"/>
      <c r="O6" s="378"/>
      <c r="P6" s="274"/>
      <c r="Q6" s="3"/>
      <c r="R6" s="3"/>
    </row>
    <row r="7" spans="1:18" ht="12.75">
      <c r="A7" s="227" t="s">
        <v>136</v>
      </c>
      <c r="B7" s="274">
        <f t="shared" si="0"/>
        <v>0</v>
      </c>
      <c r="C7" s="282"/>
      <c r="D7" s="282"/>
      <c r="E7" s="282"/>
      <c r="F7" s="282"/>
      <c r="G7" s="274"/>
      <c r="H7" s="274">
        <v>3725</v>
      </c>
      <c r="I7" s="274">
        <v>6933</v>
      </c>
      <c r="J7" s="274">
        <v>1859</v>
      </c>
      <c r="K7" s="378"/>
      <c r="L7" s="378"/>
      <c r="M7" s="378"/>
      <c r="N7" s="378"/>
      <c r="O7" s="378"/>
      <c r="P7" s="274"/>
      <c r="Q7" s="3"/>
      <c r="R7" s="3"/>
    </row>
    <row r="8" spans="1:18" ht="12.75">
      <c r="A8" s="227" t="s">
        <v>137</v>
      </c>
      <c r="B8" s="274">
        <f t="shared" si="0"/>
        <v>0</v>
      </c>
      <c r="C8" s="282"/>
      <c r="D8" s="282"/>
      <c r="E8" s="282"/>
      <c r="F8" s="282"/>
      <c r="G8" s="274"/>
      <c r="H8" s="274">
        <v>200</v>
      </c>
      <c r="I8" s="274">
        <v>300</v>
      </c>
      <c r="J8" s="274">
        <v>300</v>
      </c>
      <c r="K8" s="378"/>
      <c r="L8" s="378"/>
      <c r="M8" s="378"/>
      <c r="N8" s="378"/>
      <c r="O8" s="378"/>
      <c r="P8" s="274"/>
      <c r="Q8" s="3"/>
      <c r="R8" s="3"/>
    </row>
    <row r="9" spans="1:18" ht="12.75">
      <c r="A9" s="16" t="s">
        <v>1</v>
      </c>
      <c r="B9" s="274">
        <f t="shared" si="0"/>
        <v>86988</v>
      </c>
      <c r="C9" s="282">
        <f>SUM(C5:C7)</f>
        <v>15224</v>
      </c>
      <c r="D9" s="282">
        <f>SUM(D5:D7)</f>
        <v>15497</v>
      </c>
      <c r="E9" s="282">
        <f>SUM(E5:E7)</f>
        <v>16134</v>
      </c>
      <c r="F9" s="282">
        <f>SUM(F5:F7)</f>
        <v>15133</v>
      </c>
      <c r="G9" s="274">
        <f>SUM(G5:G7)</f>
        <v>25000</v>
      </c>
      <c r="H9" s="274">
        <f>SUM(H5:H8)</f>
        <v>25255</v>
      </c>
      <c r="I9" s="274">
        <f>SUM(I5:I8)</f>
        <v>27408</v>
      </c>
      <c r="J9" s="274">
        <f>SUM(J5:J8)</f>
        <v>28532</v>
      </c>
      <c r="K9" s="378"/>
      <c r="L9" s="378"/>
      <c r="M9" s="378"/>
      <c r="N9" s="378"/>
      <c r="O9" s="378"/>
      <c r="P9" s="274"/>
      <c r="Q9" s="4"/>
      <c r="R9" s="3"/>
    </row>
    <row r="10" spans="1:18" ht="12.75">
      <c r="A10" s="16" t="s">
        <v>205</v>
      </c>
      <c r="B10" s="283">
        <f t="shared" si="0"/>
        <v>86988000</v>
      </c>
      <c r="C10" s="284">
        <f>C9*1000</f>
        <v>15224000</v>
      </c>
      <c r="D10" s="284">
        <f aca="true" t="shared" si="1" ref="D10:J10">D9*1000</f>
        <v>15497000</v>
      </c>
      <c r="E10" s="284">
        <f t="shared" si="1"/>
        <v>16134000</v>
      </c>
      <c r="F10" s="284">
        <f t="shared" si="1"/>
        <v>15133000</v>
      </c>
      <c r="G10" s="283">
        <f t="shared" si="1"/>
        <v>25000000</v>
      </c>
      <c r="H10" s="283">
        <f t="shared" si="1"/>
        <v>25255000</v>
      </c>
      <c r="I10" s="283">
        <f t="shared" si="1"/>
        <v>27408000</v>
      </c>
      <c r="J10" s="283">
        <f t="shared" si="1"/>
        <v>28532000</v>
      </c>
      <c r="K10" s="283">
        <f>SUM(K5:K8)</f>
        <v>36309764.38</v>
      </c>
      <c r="L10" s="283">
        <f>SUM(L5:L8)</f>
        <v>32206497.01</v>
      </c>
      <c r="M10" s="283">
        <f>SUM(M5:M8)</f>
        <v>30829308.11</v>
      </c>
      <c r="N10" s="283">
        <f>SUM(N5:N8)</f>
        <v>50000000</v>
      </c>
      <c r="O10" s="283">
        <f>SUM(O5:O8)</f>
        <v>35102476.2</v>
      </c>
      <c r="P10" s="283">
        <f>SUM(C10:O10)</f>
        <v>352631045.7</v>
      </c>
      <c r="Q10" s="4"/>
      <c r="R10" s="3"/>
    </row>
    <row r="11" spans="1:18" ht="24.75" customHeight="1">
      <c r="A11" s="462" t="s">
        <v>310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2"/>
      <c r="N11" s="462"/>
      <c r="O11" s="462"/>
      <c r="P11" s="462"/>
      <c r="Q11" s="3"/>
      <c r="R11" s="3"/>
    </row>
    <row r="12" spans="1:18" ht="12.7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3"/>
      <c r="R12" s="3"/>
    </row>
    <row r="13" spans="1:18" ht="12.75">
      <c r="A13" s="30" t="s">
        <v>207</v>
      </c>
      <c r="B13" s="30"/>
      <c r="C13" s="41"/>
      <c r="D13" s="41"/>
      <c r="E13" s="41"/>
      <c r="F13" s="41"/>
      <c r="G13" s="122"/>
      <c r="H13" s="122"/>
      <c r="I13" s="122"/>
      <c r="J13" s="122"/>
      <c r="K13" s="122"/>
      <c r="L13" s="122"/>
      <c r="M13" s="122"/>
      <c r="N13" s="122"/>
      <c r="O13" s="122"/>
      <c r="P13" s="103"/>
      <c r="Q13" s="3"/>
      <c r="R13" s="3"/>
    </row>
    <row r="14" spans="1:16" s="3" customFormat="1" ht="12.75">
      <c r="A14" s="227" t="s">
        <v>2</v>
      </c>
      <c r="B14" s="274">
        <f aca="true" t="shared" si="2" ref="B14:B19">SUM(C14:G14)</f>
        <v>67812</v>
      </c>
      <c r="C14" s="282">
        <v>10354</v>
      </c>
      <c r="D14" s="282">
        <v>13268</v>
      </c>
      <c r="E14" s="282">
        <v>14756</v>
      </c>
      <c r="F14" s="282">
        <v>13974</v>
      </c>
      <c r="G14" s="274">
        <v>15460</v>
      </c>
      <c r="H14" s="274">
        <v>16557</v>
      </c>
      <c r="I14" s="274">
        <v>21096</v>
      </c>
      <c r="J14" s="274">
        <v>20682</v>
      </c>
      <c r="K14" s="274">
        <v>30741450.93</v>
      </c>
      <c r="L14" s="274">
        <v>31377188.9</v>
      </c>
      <c r="M14" s="274">
        <v>28405761.97</v>
      </c>
      <c r="N14" s="249">
        <v>48397526.8</v>
      </c>
      <c r="O14" s="249">
        <v>31739536.69</v>
      </c>
      <c r="P14" s="274"/>
    </row>
    <row r="15" spans="1:16" s="3" customFormat="1" ht="12.75">
      <c r="A15" s="227" t="s">
        <v>3</v>
      </c>
      <c r="B15" s="274">
        <f t="shared" si="2"/>
        <v>978</v>
      </c>
      <c r="C15" s="282" t="s">
        <v>4</v>
      </c>
      <c r="D15" s="282" t="s">
        <v>4</v>
      </c>
      <c r="E15" s="282">
        <v>679</v>
      </c>
      <c r="F15" s="282">
        <v>292</v>
      </c>
      <c r="G15" s="274">
        <v>7</v>
      </c>
      <c r="H15" s="274" t="s">
        <v>4</v>
      </c>
      <c r="I15" s="378"/>
      <c r="J15" s="378"/>
      <c r="K15" s="378"/>
      <c r="L15" s="378"/>
      <c r="M15" s="378"/>
      <c r="N15" s="378"/>
      <c r="O15" s="378"/>
      <c r="P15" s="274"/>
    </row>
    <row r="16" spans="1:16" s="3" customFormat="1" ht="12.75">
      <c r="A16" s="227" t="s">
        <v>136</v>
      </c>
      <c r="B16" s="274">
        <f t="shared" si="2"/>
        <v>0</v>
      </c>
      <c r="C16" s="282"/>
      <c r="D16" s="282"/>
      <c r="E16" s="282"/>
      <c r="F16" s="282"/>
      <c r="G16" s="274"/>
      <c r="H16" s="274">
        <v>1652</v>
      </c>
      <c r="I16" s="274">
        <v>5074</v>
      </c>
      <c r="J16" s="274">
        <v>-27</v>
      </c>
      <c r="K16" s="378"/>
      <c r="L16" s="378"/>
      <c r="M16" s="378"/>
      <c r="N16" s="378"/>
      <c r="O16" s="378"/>
      <c r="P16" s="274"/>
    </row>
    <row r="17" spans="1:16" s="3" customFormat="1" ht="12.75">
      <c r="A17" s="227" t="s">
        <v>137</v>
      </c>
      <c r="B17" s="274">
        <f t="shared" si="2"/>
        <v>0</v>
      </c>
      <c r="C17" s="282"/>
      <c r="D17" s="282"/>
      <c r="E17" s="282"/>
      <c r="F17" s="282"/>
      <c r="G17" s="274"/>
      <c r="H17" s="274">
        <v>0</v>
      </c>
      <c r="I17" s="274">
        <v>0</v>
      </c>
      <c r="J17" s="274">
        <v>0</v>
      </c>
      <c r="K17" s="378"/>
      <c r="L17" s="378"/>
      <c r="M17" s="378"/>
      <c r="N17" s="378"/>
      <c r="O17" s="378"/>
      <c r="P17" s="274"/>
    </row>
    <row r="18" spans="1:16" s="3" customFormat="1" ht="12.75">
      <c r="A18" s="16" t="s">
        <v>1</v>
      </c>
      <c r="B18" s="274">
        <f t="shared" si="2"/>
        <v>68790</v>
      </c>
      <c r="C18" s="282">
        <f>SUM(C14:C15)</f>
        <v>10354</v>
      </c>
      <c r="D18" s="282">
        <f>SUM(D14:D15)</f>
        <v>13268</v>
      </c>
      <c r="E18" s="282">
        <f>SUM(E14:E15)</f>
        <v>15435</v>
      </c>
      <c r="F18" s="282">
        <f>SUM(F14:F15)</f>
        <v>14266</v>
      </c>
      <c r="G18" s="274">
        <f>SUM(G14:G15)</f>
        <v>15467</v>
      </c>
      <c r="H18" s="274">
        <f>SUM(H14:H17)</f>
        <v>18209</v>
      </c>
      <c r="I18" s="274">
        <f>SUM(I14:I17)</f>
        <v>26170</v>
      </c>
      <c r="J18" s="274">
        <f>SUM(J14:J17)</f>
        <v>20655</v>
      </c>
      <c r="K18" s="378"/>
      <c r="L18" s="378"/>
      <c r="M18" s="378"/>
      <c r="N18" s="378"/>
      <c r="O18" s="378"/>
      <c r="P18" s="274"/>
    </row>
    <row r="19" spans="1:16" s="3" customFormat="1" ht="12.75">
      <c r="A19" s="16" t="s">
        <v>205</v>
      </c>
      <c r="B19" s="283">
        <f t="shared" si="2"/>
        <v>68790000</v>
      </c>
      <c r="C19" s="284">
        <f>C18*1000</f>
        <v>10354000</v>
      </c>
      <c r="D19" s="284">
        <f aca="true" t="shared" si="3" ref="D19:J19">D18*1000</f>
        <v>13268000</v>
      </c>
      <c r="E19" s="284">
        <f t="shared" si="3"/>
        <v>15435000</v>
      </c>
      <c r="F19" s="284">
        <f t="shared" si="3"/>
        <v>14266000</v>
      </c>
      <c r="G19" s="283">
        <f t="shared" si="3"/>
        <v>15467000</v>
      </c>
      <c r="H19" s="283">
        <f t="shared" si="3"/>
        <v>18209000</v>
      </c>
      <c r="I19" s="283">
        <f t="shared" si="3"/>
        <v>26170000</v>
      </c>
      <c r="J19" s="283">
        <f t="shared" si="3"/>
        <v>20655000</v>
      </c>
      <c r="K19" s="283">
        <f>SUM(K14:K17)</f>
        <v>30741450.93</v>
      </c>
      <c r="L19" s="283">
        <f>SUM(L14:L17)</f>
        <v>31377188.9</v>
      </c>
      <c r="M19" s="283">
        <f>SUM(M14:M17)</f>
        <v>28405761.97</v>
      </c>
      <c r="N19" s="283">
        <f>SUM(N14:N17)</f>
        <v>48397526.8</v>
      </c>
      <c r="O19" s="283">
        <f>SUM(O14:O17)</f>
        <v>31739536.69</v>
      </c>
      <c r="P19" s="283">
        <f>SUM(C19:O19)</f>
        <v>304485465.29</v>
      </c>
    </row>
    <row r="20" spans="1:16" s="3" customFormat="1" ht="12.75">
      <c r="A20" s="21"/>
      <c r="B20" s="2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2.75">
      <c r="A21" s="43" t="s">
        <v>428</v>
      </c>
      <c r="B21" s="43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227" t="s">
        <v>2</v>
      </c>
      <c r="B22" s="252">
        <f>SUM(C22:G22)</f>
        <v>31014</v>
      </c>
      <c r="C22" s="252">
        <v>5848</v>
      </c>
      <c r="D22" s="252">
        <v>5937</v>
      </c>
      <c r="E22" s="252">
        <v>6268</v>
      </c>
      <c r="F22" s="252">
        <v>6558</v>
      </c>
      <c r="G22" s="252">
        <v>6403</v>
      </c>
      <c r="H22" s="252">
        <v>7190</v>
      </c>
      <c r="I22" s="252">
        <v>7706</v>
      </c>
      <c r="J22" s="252">
        <v>7239</v>
      </c>
      <c r="K22" s="252">
        <v>7779</v>
      </c>
      <c r="L22" s="252">
        <v>6814</v>
      </c>
      <c r="M22" s="252">
        <v>7054</v>
      </c>
      <c r="N22" s="254">
        <v>11760</v>
      </c>
      <c r="O22" s="254">
        <v>6054</v>
      </c>
      <c r="P22" s="252">
        <f>SUM(C22:O22)</f>
        <v>92610</v>
      </c>
    </row>
    <row r="23" spans="1:16" s="3" customFormat="1" ht="12.75">
      <c r="A23" s="227" t="s">
        <v>3</v>
      </c>
      <c r="B23" s="252">
        <f>SUM(C23:G23)</f>
        <v>541</v>
      </c>
      <c r="C23" s="252" t="s">
        <v>4</v>
      </c>
      <c r="D23" s="252" t="s">
        <v>4</v>
      </c>
      <c r="E23" s="252">
        <v>393</v>
      </c>
      <c r="F23" s="252">
        <v>148</v>
      </c>
      <c r="G23" s="252">
        <v>0</v>
      </c>
      <c r="H23" s="252">
        <v>0</v>
      </c>
      <c r="I23" s="252">
        <v>0</v>
      </c>
      <c r="J23" s="318"/>
      <c r="K23" s="318"/>
      <c r="L23" s="318"/>
      <c r="M23" s="318"/>
      <c r="N23" s="318"/>
      <c r="O23" s="318"/>
      <c r="P23" s="252">
        <f>SUM(C23:O23)</f>
        <v>541</v>
      </c>
    </row>
    <row r="24" spans="1:16" s="3" customFormat="1" ht="12.75">
      <c r="A24" s="227" t="s">
        <v>136</v>
      </c>
      <c r="B24" s="252">
        <f>SUM(C24:G24)</f>
        <v>0</v>
      </c>
      <c r="C24" s="252"/>
      <c r="D24" s="252"/>
      <c r="E24" s="252"/>
      <c r="F24" s="252"/>
      <c r="G24" s="252"/>
      <c r="H24" s="252">
        <v>1362</v>
      </c>
      <c r="I24" s="252">
        <v>778</v>
      </c>
      <c r="J24" s="318"/>
      <c r="K24" s="318"/>
      <c r="L24" s="318"/>
      <c r="M24" s="318"/>
      <c r="N24" s="318"/>
      <c r="O24" s="318"/>
      <c r="P24" s="252">
        <f>SUM(C24:O24)</f>
        <v>2140</v>
      </c>
    </row>
    <row r="25" spans="1:18" s="3" customFormat="1" ht="12.75">
      <c r="A25" s="227" t="s">
        <v>137</v>
      </c>
      <c r="B25" s="252">
        <f>SUM(C25:G25)</f>
        <v>0</v>
      </c>
      <c r="C25" s="252"/>
      <c r="D25" s="252"/>
      <c r="E25" s="252"/>
      <c r="F25" s="252"/>
      <c r="G25" s="252"/>
      <c r="H25" s="252">
        <v>0</v>
      </c>
      <c r="I25" s="252">
        <v>0</v>
      </c>
      <c r="J25" s="318"/>
      <c r="K25" s="318"/>
      <c r="L25" s="318"/>
      <c r="M25" s="318"/>
      <c r="N25" s="318"/>
      <c r="O25" s="318"/>
      <c r="P25" s="252">
        <f>SUM(C25:O25)</f>
        <v>0</v>
      </c>
      <c r="R25" s="26" t="s">
        <v>88</v>
      </c>
    </row>
    <row r="26" spans="1:17" s="3" customFormat="1" ht="12.75">
      <c r="A26" s="16" t="s">
        <v>1</v>
      </c>
      <c r="B26" s="265">
        <f>SUM(C26:G26)</f>
        <v>31555</v>
      </c>
      <c r="C26" s="265">
        <f>SUM(C22:C23)</f>
        <v>5848</v>
      </c>
      <c r="D26" s="265">
        <f>SUM(D22:D23)</f>
        <v>5937</v>
      </c>
      <c r="E26" s="265">
        <f>SUM(E22:E23)</f>
        <v>6661</v>
      </c>
      <c r="F26" s="265">
        <f>SUM(F22:F23)</f>
        <v>6706</v>
      </c>
      <c r="G26" s="265">
        <f>SUM(G22:G23)</f>
        <v>6403</v>
      </c>
      <c r="H26" s="265">
        <f aca="true" t="shared" si="4" ref="H26:M26">SUM(H22:H25)</f>
        <v>8552</v>
      </c>
      <c r="I26" s="265">
        <f t="shared" si="4"/>
        <v>8484</v>
      </c>
      <c r="J26" s="265">
        <f t="shared" si="4"/>
        <v>7239</v>
      </c>
      <c r="K26" s="265">
        <f t="shared" si="4"/>
        <v>7779</v>
      </c>
      <c r="L26" s="265">
        <f t="shared" si="4"/>
        <v>6814</v>
      </c>
      <c r="M26" s="265">
        <f t="shared" si="4"/>
        <v>7054</v>
      </c>
      <c r="N26" s="265">
        <f>SUM(N22:N25)</f>
        <v>11760</v>
      </c>
      <c r="O26" s="265">
        <f>SUM(O22:O25)</f>
        <v>6054</v>
      </c>
      <c r="P26" s="265">
        <f>SUM(C26:O26)</f>
        <v>95291</v>
      </c>
      <c r="Q26" s="6"/>
    </row>
    <row r="27" spans="1:17" s="3" customFormat="1" ht="12.75">
      <c r="A27" s="43"/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6"/>
    </row>
    <row r="28" spans="1:17" s="3" customFormat="1" ht="12.75">
      <c r="A28" s="43"/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6"/>
    </row>
    <row r="29" spans="1:16" s="3" customFormat="1" ht="12.75">
      <c r="A29" s="432" t="s">
        <v>402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2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43" t="s">
        <v>6</v>
      </c>
      <c r="B31" s="43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s="3" customFormat="1" ht="12.75">
      <c r="A32" s="43" t="s">
        <v>7</v>
      </c>
      <c r="B32" s="40" t="s">
        <v>8</v>
      </c>
      <c r="C32" s="40" t="s">
        <v>8</v>
      </c>
      <c r="D32" s="40" t="s">
        <v>8</v>
      </c>
      <c r="E32" s="40" t="s">
        <v>8</v>
      </c>
      <c r="F32" s="40" t="s">
        <v>8</v>
      </c>
      <c r="G32" s="40" t="s">
        <v>8</v>
      </c>
      <c r="H32" s="40" t="s">
        <v>8</v>
      </c>
      <c r="I32" s="40" t="s">
        <v>8</v>
      </c>
      <c r="J32" s="45" t="s">
        <v>8</v>
      </c>
      <c r="K32" s="45" t="s">
        <v>8</v>
      </c>
      <c r="L32" s="45" t="s">
        <v>8</v>
      </c>
      <c r="M32" s="45" t="s">
        <v>8</v>
      </c>
      <c r="N32" s="88" t="s">
        <v>8</v>
      </c>
      <c r="O32" s="88" t="s">
        <v>8</v>
      </c>
      <c r="P32" s="40" t="s">
        <v>8</v>
      </c>
    </row>
    <row r="33" spans="1:16" ht="12.75">
      <c r="A33" s="15" t="s">
        <v>344</v>
      </c>
      <c r="B33" s="254">
        <f>SUM(C33:G33)</f>
        <v>30987</v>
      </c>
      <c r="C33" s="252">
        <v>7386</v>
      </c>
      <c r="D33" s="252">
        <v>5196</v>
      </c>
      <c r="E33" s="252">
        <v>5774</v>
      </c>
      <c r="F33" s="252">
        <f>6786+209</f>
        <v>6995</v>
      </c>
      <c r="G33" s="252">
        <v>5636</v>
      </c>
      <c r="H33" s="254">
        <v>10708</v>
      </c>
      <c r="I33" s="254">
        <f>6181+4433</f>
        <v>10614</v>
      </c>
      <c r="J33" s="254">
        <v>8778</v>
      </c>
      <c r="K33" s="254">
        <v>9302</v>
      </c>
      <c r="L33" s="254">
        <v>8994</v>
      </c>
      <c r="M33" s="254">
        <v>10069</v>
      </c>
      <c r="N33" s="254">
        <v>12048</v>
      </c>
      <c r="O33" s="254">
        <v>5082</v>
      </c>
      <c r="P33" s="252">
        <f>SUM(C33:O33)</f>
        <v>106582</v>
      </c>
    </row>
    <row r="34" spans="1:17" ht="12.75">
      <c r="A34" s="15" t="s">
        <v>345</v>
      </c>
      <c r="B34" s="254">
        <f>SUM(C34:G34)</f>
        <v>550945</v>
      </c>
      <c r="C34" s="252">
        <v>147716</v>
      </c>
      <c r="D34" s="252">
        <v>83203</v>
      </c>
      <c r="E34" s="252">
        <v>106522</v>
      </c>
      <c r="F34" s="252">
        <f>116346+3192</f>
        <v>119538</v>
      </c>
      <c r="G34" s="252">
        <v>93966</v>
      </c>
      <c r="H34" s="254">
        <v>177208</v>
      </c>
      <c r="I34" s="254">
        <f>27468+164462</f>
        <v>191930</v>
      </c>
      <c r="J34" s="254">
        <v>66525</v>
      </c>
      <c r="K34" s="254">
        <v>68712</v>
      </c>
      <c r="L34" s="254">
        <v>64804</v>
      </c>
      <c r="M34" s="254">
        <v>89465</v>
      </c>
      <c r="N34" s="254">
        <v>103693</v>
      </c>
      <c r="O34" s="254">
        <v>47362</v>
      </c>
      <c r="P34" s="252">
        <f>SUM(C34:O34)</f>
        <v>1360644</v>
      </c>
      <c r="Q34" s="94"/>
    </row>
    <row r="35" spans="1:17" ht="12.75">
      <c r="A35" s="21"/>
      <c r="B35" s="21"/>
      <c r="C35" s="44"/>
      <c r="D35" s="44"/>
      <c r="E35" s="44"/>
      <c r="F35" s="44"/>
      <c r="G35" s="44"/>
      <c r="H35" s="58"/>
      <c r="I35" s="58"/>
      <c r="J35" s="58"/>
      <c r="K35" s="58"/>
      <c r="L35" s="58"/>
      <c r="M35" s="58"/>
      <c r="N35" s="58"/>
      <c r="O35" s="58"/>
      <c r="P35" s="44"/>
      <c r="Q35" s="93"/>
    </row>
    <row r="36" spans="1:16" ht="12.75">
      <c r="A36" s="43" t="s">
        <v>111</v>
      </c>
      <c r="B36" s="44" t="s">
        <v>411</v>
      </c>
      <c r="C36" s="44" t="s">
        <v>411</v>
      </c>
      <c r="D36" s="44" t="s">
        <v>411</v>
      </c>
      <c r="E36" s="44" t="s">
        <v>411</v>
      </c>
      <c r="F36" s="44" t="s">
        <v>411</v>
      </c>
      <c r="G36" s="44" t="s">
        <v>411</v>
      </c>
      <c r="H36" s="58" t="s">
        <v>411</v>
      </c>
      <c r="I36" s="58" t="s">
        <v>411</v>
      </c>
      <c r="J36" s="89" t="s">
        <v>411</v>
      </c>
      <c r="K36" s="89" t="s">
        <v>411</v>
      </c>
      <c r="L36" s="89" t="s">
        <v>411</v>
      </c>
      <c r="M36" s="89" t="s">
        <v>411</v>
      </c>
      <c r="N36" s="89" t="s">
        <v>411</v>
      </c>
      <c r="O36" s="89" t="s">
        <v>411</v>
      </c>
      <c r="P36" s="44" t="s">
        <v>411</v>
      </c>
    </row>
    <row r="37" spans="1:16" ht="12.75">
      <c r="A37" s="15" t="s">
        <v>438</v>
      </c>
      <c r="B37" s="254">
        <f>SUM(C37:G37)</f>
        <v>3916</v>
      </c>
      <c r="C37" s="252">
        <v>1032</v>
      </c>
      <c r="D37" s="252">
        <v>627</v>
      </c>
      <c r="E37" s="252">
        <v>868</v>
      </c>
      <c r="F37" s="252">
        <f>770+50</f>
        <v>820</v>
      </c>
      <c r="G37" s="252">
        <v>569</v>
      </c>
      <c r="H37" s="254">
        <v>1645</v>
      </c>
      <c r="I37" s="254">
        <f>854+746</f>
        <v>1600</v>
      </c>
      <c r="J37" s="254">
        <v>1268</v>
      </c>
      <c r="K37" s="254">
        <v>1071</v>
      </c>
      <c r="L37" s="254">
        <v>937</v>
      </c>
      <c r="M37" s="254">
        <v>1072</v>
      </c>
      <c r="N37" s="254">
        <v>1368</v>
      </c>
      <c r="O37" s="254">
        <v>601</v>
      </c>
      <c r="P37" s="252">
        <f>SUM(C37:O37)</f>
        <v>13478</v>
      </c>
    </row>
    <row r="38" spans="1:16" ht="12.75">
      <c r="A38" s="40"/>
      <c r="B38" s="40"/>
      <c r="C38" s="44"/>
      <c r="D38" s="44"/>
      <c r="E38" s="44"/>
      <c r="F38" s="44"/>
      <c r="G38" s="44"/>
      <c r="H38" s="44"/>
      <c r="I38" s="44"/>
      <c r="J38" s="44"/>
      <c r="K38" s="58"/>
      <c r="L38" s="58"/>
      <c r="M38" s="58"/>
      <c r="N38" s="58"/>
      <c r="O38" s="58"/>
      <c r="P38" s="44"/>
    </row>
    <row r="39" spans="1:16" ht="12.75">
      <c r="A39" s="43" t="s">
        <v>10</v>
      </c>
      <c r="B39" s="44" t="s">
        <v>11</v>
      </c>
      <c r="C39" s="44" t="s">
        <v>11</v>
      </c>
      <c r="D39" s="44" t="s">
        <v>11</v>
      </c>
      <c r="E39" s="44" t="s">
        <v>11</v>
      </c>
      <c r="F39" s="44" t="s">
        <v>11</v>
      </c>
      <c r="G39" s="44" t="s">
        <v>11</v>
      </c>
      <c r="H39" s="44" t="s">
        <v>11</v>
      </c>
      <c r="I39" s="44" t="s">
        <v>11</v>
      </c>
      <c r="J39" s="85" t="s">
        <v>11</v>
      </c>
      <c r="K39" s="89" t="s">
        <v>11</v>
      </c>
      <c r="L39" s="89" t="s">
        <v>11</v>
      </c>
      <c r="M39" s="89" t="s">
        <v>11</v>
      </c>
      <c r="N39" s="89" t="s">
        <v>11</v>
      </c>
      <c r="O39" s="89" t="s">
        <v>11</v>
      </c>
      <c r="P39" s="44" t="s">
        <v>11</v>
      </c>
    </row>
    <row r="40" spans="1:16" ht="12.75">
      <c r="A40" s="15" t="s">
        <v>344</v>
      </c>
      <c r="B40" s="252">
        <f>SUM(C40:G40)</f>
        <v>338487</v>
      </c>
      <c r="C40" s="252">
        <v>91776</v>
      </c>
      <c r="D40" s="252">
        <v>73523</v>
      </c>
      <c r="E40" s="252">
        <v>65035</v>
      </c>
      <c r="F40" s="252">
        <v>59420</v>
      </c>
      <c r="G40" s="252">
        <v>48733</v>
      </c>
      <c r="H40" s="252">
        <v>42526</v>
      </c>
      <c r="I40" s="252">
        <f>31415+16686</f>
        <v>48101</v>
      </c>
      <c r="J40" s="252">
        <v>73535</v>
      </c>
      <c r="K40" s="254">
        <v>80504</v>
      </c>
      <c r="L40" s="254">
        <v>65642</v>
      </c>
      <c r="M40" s="254">
        <v>88278</v>
      </c>
      <c r="N40" s="254">
        <v>87348</v>
      </c>
      <c r="O40" s="254">
        <v>60794</v>
      </c>
      <c r="P40" s="252">
        <f>SUM(C40:O40)</f>
        <v>885215</v>
      </c>
    </row>
    <row r="41" spans="1:16" ht="12.75">
      <c r="A41" s="15" t="s">
        <v>345</v>
      </c>
      <c r="B41" s="252">
        <f>SUM(C41:G41)</f>
        <v>6729837</v>
      </c>
      <c r="C41" s="252">
        <v>1835511</v>
      </c>
      <c r="D41" s="252">
        <v>1470460</v>
      </c>
      <c r="E41" s="252">
        <v>1284711</v>
      </c>
      <c r="F41" s="252">
        <v>1183165</v>
      </c>
      <c r="G41" s="252">
        <v>955990</v>
      </c>
      <c r="H41" s="252">
        <v>703101</v>
      </c>
      <c r="I41" s="252">
        <f>598791+333720</f>
        <v>932511</v>
      </c>
      <c r="J41" s="252">
        <v>1054201</v>
      </c>
      <c r="K41" s="254">
        <v>1105591</v>
      </c>
      <c r="L41" s="254">
        <v>883182</v>
      </c>
      <c r="M41" s="254">
        <v>1264890</v>
      </c>
      <c r="N41" s="254">
        <v>1111649</v>
      </c>
      <c r="O41" s="254">
        <v>738319</v>
      </c>
      <c r="P41" s="252">
        <f>SUM(C41:O41)</f>
        <v>14523281</v>
      </c>
    </row>
    <row r="42" spans="1:15" ht="12.75">
      <c r="A42" s="2" t="s">
        <v>291</v>
      </c>
      <c r="K42" s="65"/>
      <c r="L42" s="65"/>
      <c r="M42" s="65"/>
      <c r="N42" s="65"/>
      <c r="O42" s="65"/>
    </row>
    <row r="43" spans="1:2" ht="12.75">
      <c r="A43" s="7" t="s">
        <v>298</v>
      </c>
      <c r="B43" s="7"/>
    </row>
    <row r="44" spans="1:17" ht="12.75">
      <c r="A44" s="2"/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Q44" s="8"/>
    </row>
    <row r="46" spans="1:2" ht="12.75">
      <c r="A46" s="2"/>
      <c r="B46" s="2"/>
    </row>
    <row r="47" spans="1:27" ht="12.75">
      <c r="A47" s="2"/>
      <c r="B47" s="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3" ht="12.75">
      <c r="A48" s="2"/>
      <c r="B48" s="2"/>
      <c r="C48" s="8"/>
    </row>
    <row r="49" spans="1:2" ht="12.75">
      <c r="A49" s="2"/>
      <c r="B49" s="2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3:19" ht="12.75"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7" ht="12.75">
      <c r="A54" s="2"/>
      <c r="B54" s="2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Q54" s="8"/>
    </row>
    <row r="56" spans="1:19" ht="12.75">
      <c r="A56" s="2"/>
      <c r="B56" s="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.75">
      <c r="A57" s="2"/>
      <c r="B57" s="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3" ht="12.75">
      <c r="A58" s="2"/>
      <c r="B58" s="2"/>
      <c r="C58" s="8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</sheetData>
  <sheetProtection/>
  <mergeCells count="3">
    <mergeCell ref="A2:P2"/>
    <mergeCell ref="A11:P11"/>
    <mergeCell ref="A1:P1"/>
  </mergeCells>
  <printOptions/>
  <pageMargins left="0.17" right="0.17" top="0.4" bottom="0.6" header="0.24" footer="0.24"/>
  <pageSetup fitToHeight="1" fitToWidth="1" horizontalDpi="600" verticalDpi="600" orientation="landscape" scale="75" r:id="rId1"/>
  <headerFooter scaleWithDoc="0" alignWithMargins="0">
    <oddFooter>&amp;L&amp;6&amp;A - Results by Program Year&amp;R&amp;6printed &amp;D at &amp;T</oddFooter>
  </headerFooter>
  <ignoredErrors>
    <ignoredError sqref="C9:G9 I9:J9" formulaRange="1"/>
    <ignoredError sqref="H9" formula="1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8.28125" style="3" customWidth="1"/>
    <col min="2" max="2" width="14.421875" style="3" bestFit="1" customWidth="1"/>
    <col min="3" max="7" width="13.8515625" style="6" hidden="1" customWidth="1"/>
    <col min="8" max="14" width="14.421875" style="6" bestFit="1" customWidth="1"/>
    <col min="15" max="15" width="14.421875" style="6" customWidth="1"/>
    <col min="16" max="16" width="17.00390625" style="6" customWidth="1"/>
    <col min="17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12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212" t="s">
        <v>206</v>
      </c>
      <c r="B4" s="218" t="s">
        <v>289</v>
      </c>
      <c r="C4" s="49">
        <v>2001</v>
      </c>
      <c r="D4" s="49">
        <v>2002</v>
      </c>
      <c r="E4" s="49">
        <v>2003</v>
      </c>
      <c r="F4" s="49" t="s">
        <v>29</v>
      </c>
      <c r="G4" s="49" t="s">
        <v>94</v>
      </c>
      <c r="H4" s="49" t="s">
        <v>135</v>
      </c>
      <c r="I4" s="49" t="s">
        <v>157</v>
      </c>
      <c r="J4" s="49" t="s">
        <v>180</v>
      </c>
      <c r="K4" s="49" t="s">
        <v>195</v>
      </c>
      <c r="L4" s="49" t="s">
        <v>229</v>
      </c>
      <c r="M4" s="49" t="s">
        <v>257</v>
      </c>
      <c r="N4" s="346" t="s">
        <v>347</v>
      </c>
      <c r="O4" s="346" t="s">
        <v>353</v>
      </c>
      <c r="P4" s="346" t="str">
        <f>"Total "&amp;CHAR(10)&amp;C4&amp;" ~ "&amp;O4</f>
        <v>Total 
2001 ~ FY2014</v>
      </c>
    </row>
    <row r="5" spans="1:16" ht="12.75">
      <c r="A5" s="227" t="s">
        <v>13</v>
      </c>
      <c r="B5" s="239">
        <f>SUM(C5:G5)</f>
        <v>29859</v>
      </c>
      <c r="C5" s="239">
        <v>12720</v>
      </c>
      <c r="D5" s="239">
        <v>17139</v>
      </c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</row>
    <row r="6" spans="1:16" ht="12.75">
      <c r="A6" s="227" t="s">
        <v>14</v>
      </c>
      <c r="B6" s="239">
        <f>SUM(C6:G6)</f>
        <v>13081</v>
      </c>
      <c r="C6" s="239">
        <v>6002</v>
      </c>
      <c r="D6" s="239">
        <v>7079</v>
      </c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2.75">
      <c r="A7" s="227" t="s">
        <v>30</v>
      </c>
      <c r="B7" s="239">
        <f>SUM(C7:G7)</f>
        <v>89756</v>
      </c>
      <c r="C7" s="239">
        <f>C6+C5</f>
        <v>18722</v>
      </c>
      <c r="D7" s="239">
        <f>D6+D5</f>
        <v>24218</v>
      </c>
      <c r="E7" s="239">
        <v>13970</v>
      </c>
      <c r="F7" s="239">
        <v>17346</v>
      </c>
      <c r="G7" s="239">
        <v>15500</v>
      </c>
      <c r="H7" s="239">
        <v>16705</v>
      </c>
      <c r="I7" s="239">
        <v>17759</v>
      </c>
      <c r="J7" s="239">
        <v>18476</v>
      </c>
      <c r="K7" s="239">
        <v>13532500.8</v>
      </c>
      <c r="L7" s="239">
        <v>16268617.09</v>
      </c>
      <c r="M7" s="239">
        <v>22724583.98</v>
      </c>
      <c r="N7" s="241">
        <v>26341450.41</v>
      </c>
      <c r="O7" s="241">
        <v>12357692.08</v>
      </c>
      <c r="P7" s="239"/>
    </row>
    <row r="8" spans="1:16" ht="12.75">
      <c r="A8" s="16" t="s">
        <v>1</v>
      </c>
      <c r="B8" s="244">
        <f>SUM(C8:G8)</f>
        <v>89756000</v>
      </c>
      <c r="C8" s="244">
        <f>C7*1000</f>
        <v>18722000</v>
      </c>
      <c r="D8" s="244">
        <f aca="true" t="shared" si="0" ref="D8:J8">D7*1000</f>
        <v>24218000</v>
      </c>
      <c r="E8" s="244">
        <f t="shared" si="0"/>
        <v>13970000</v>
      </c>
      <c r="F8" s="244">
        <f t="shared" si="0"/>
        <v>17346000</v>
      </c>
      <c r="G8" s="244">
        <f t="shared" si="0"/>
        <v>15500000</v>
      </c>
      <c r="H8" s="244">
        <f t="shared" si="0"/>
        <v>16705000</v>
      </c>
      <c r="I8" s="244">
        <f t="shared" si="0"/>
        <v>17759000</v>
      </c>
      <c r="J8" s="244">
        <f t="shared" si="0"/>
        <v>18476000</v>
      </c>
      <c r="K8" s="244">
        <f>K7</f>
        <v>13532500.8</v>
      </c>
      <c r="L8" s="244">
        <f>L7</f>
        <v>16268617.09</v>
      </c>
      <c r="M8" s="244">
        <f>M7</f>
        <v>22724583.98</v>
      </c>
      <c r="N8" s="244">
        <f>N7</f>
        <v>26341450.41</v>
      </c>
      <c r="O8" s="244">
        <f>O7</f>
        <v>12357692.08</v>
      </c>
      <c r="P8" s="244">
        <f>SUM(C8:O8)</f>
        <v>233920844.36</v>
      </c>
    </row>
    <row r="9" spans="1:16" ht="29.25" customHeight="1">
      <c r="A9" s="460" t="s">
        <v>311</v>
      </c>
      <c r="B9" s="460"/>
      <c r="C9" s="460"/>
      <c r="D9" s="460"/>
      <c r="E9" s="460"/>
      <c r="F9" s="460"/>
      <c r="G9" s="460"/>
      <c r="H9" s="460"/>
      <c r="I9" s="460"/>
      <c r="J9" s="460"/>
      <c r="K9" s="460"/>
      <c r="L9" s="460"/>
      <c r="M9" s="460"/>
      <c r="N9" s="460"/>
      <c r="O9" s="460"/>
      <c r="P9" s="460"/>
    </row>
    <row r="10" spans="1:16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>
      <c r="A11" s="30" t="s">
        <v>207</v>
      </c>
      <c r="B11" s="30"/>
      <c r="C11" s="40"/>
      <c r="D11" s="40"/>
      <c r="E11" s="40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0"/>
    </row>
    <row r="12" spans="1:16" s="3" customFormat="1" ht="12.75">
      <c r="A12" s="227" t="s">
        <v>13</v>
      </c>
      <c r="B12" s="274">
        <f>SUM(C12:G12)</f>
        <v>24595</v>
      </c>
      <c r="C12" s="274">
        <v>11172</v>
      </c>
      <c r="D12" s="274">
        <v>13423</v>
      </c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39"/>
    </row>
    <row r="13" spans="1:16" s="3" customFormat="1" ht="12.75">
      <c r="A13" s="227" t="s">
        <v>14</v>
      </c>
      <c r="B13" s="274">
        <f>SUM(C13:G13)</f>
        <v>9718</v>
      </c>
      <c r="C13" s="274">
        <v>4651</v>
      </c>
      <c r="D13" s="274">
        <v>5067</v>
      </c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39"/>
    </row>
    <row r="14" spans="1:16" s="3" customFormat="1" ht="12.75">
      <c r="A14" s="227" t="s">
        <v>30</v>
      </c>
      <c r="B14" s="274">
        <f>SUM(C14:G14)</f>
        <v>77438</v>
      </c>
      <c r="C14" s="274">
        <f>C13+C12</f>
        <v>15823</v>
      </c>
      <c r="D14" s="274">
        <f>D13+D12</f>
        <v>18490</v>
      </c>
      <c r="E14" s="274">
        <v>14444</v>
      </c>
      <c r="F14" s="274">
        <v>15564</v>
      </c>
      <c r="G14" s="274">
        <v>13117</v>
      </c>
      <c r="H14" s="274">
        <v>14849</v>
      </c>
      <c r="I14" s="274">
        <v>11853</v>
      </c>
      <c r="J14" s="274">
        <v>11387</v>
      </c>
      <c r="K14" s="274">
        <v>9557604.89</v>
      </c>
      <c r="L14" s="274">
        <v>15167546.97</v>
      </c>
      <c r="M14" s="274">
        <v>19923078.4</v>
      </c>
      <c r="N14" s="249">
        <v>22360770.42</v>
      </c>
      <c r="O14" s="249">
        <v>12254577.02</v>
      </c>
      <c r="P14" s="239"/>
    </row>
    <row r="15" spans="1:16" s="3" customFormat="1" ht="12.75">
      <c r="A15" s="16" t="s">
        <v>1</v>
      </c>
      <c r="B15" s="285">
        <f>SUM(C15:G15)</f>
        <v>77438000</v>
      </c>
      <c r="C15" s="285">
        <f>C14*1000</f>
        <v>15823000</v>
      </c>
      <c r="D15" s="285">
        <f aca="true" t="shared" si="1" ref="D15:J15">D14*1000</f>
        <v>18490000</v>
      </c>
      <c r="E15" s="285">
        <f t="shared" si="1"/>
        <v>14444000</v>
      </c>
      <c r="F15" s="285">
        <f t="shared" si="1"/>
        <v>15564000</v>
      </c>
      <c r="G15" s="285">
        <f t="shared" si="1"/>
        <v>13117000</v>
      </c>
      <c r="H15" s="285">
        <f t="shared" si="1"/>
        <v>14849000</v>
      </c>
      <c r="I15" s="285">
        <f t="shared" si="1"/>
        <v>11853000</v>
      </c>
      <c r="J15" s="285">
        <f t="shared" si="1"/>
        <v>11387000</v>
      </c>
      <c r="K15" s="285">
        <f>K14</f>
        <v>9557604.89</v>
      </c>
      <c r="L15" s="285">
        <f>L14</f>
        <v>15167546.97</v>
      </c>
      <c r="M15" s="285">
        <f>M14</f>
        <v>19923078.4</v>
      </c>
      <c r="N15" s="285">
        <f>N14</f>
        <v>22360770.42</v>
      </c>
      <c r="O15" s="285">
        <f>O14</f>
        <v>12254577.02</v>
      </c>
      <c r="P15" s="245">
        <f>SUM(C15:O15)</f>
        <v>194790577.70000002</v>
      </c>
    </row>
    <row r="16" spans="1:16" s="3" customFormat="1" ht="12.75">
      <c r="A16" s="21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3" customFormat="1" ht="12.75">
      <c r="A17" s="43" t="s">
        <v>428</v>
      </c>
      <c r="B17" s="40"/>
      <c r="C17" s="40"/>
      <c r="D17" s="40"/>
      <c r="E17" s="40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0"/>
    </row>
    <row r="18" spans="1:16" s="3" customFormat="1" ht="12.75">
      <c r="A18" s="227" t="s">
        <v>13</v>
      </c>
      <c r="B18" s="252">
        <f>SUM(C18:G18)</f>
        <v>33095</v>
      </c>
      <c r="C18" s="252">
        <v>15113</v>
      </c>
      <c r="D18" s="252">
        <v>17982</v>
      </c>
      <c r="E18" s="252"/>
      <c r="F18" s="252"/>
      <c r="G18" s="252"/>
      <c r="H18" s="252"/>
      <c r="I18" s="252"/>
      <c r="J18" s="252"/>
      <c r="K18" s="252"/>
      <c r="L18" s="252"/>
      <c r="M18" s="252">
        <v>15461</v>
      </c>
      <c r="N18" s="254">
        <v>14712</v>
      </c>
      <c r="O18" s="254">
        <v>2778</v>
      </c>
      <c r="P18" s="252">
        <f>SUM(C18:O18)</f>
        <v>66046</v>
      </c>
    </row>
    <row r="19" spans="1:16" s="3" customFormat="1" ht="12.75">
      <c r="A19" s="227" t="s">
        <v>14</v>
      </c>
      <c r="B19" s="252">
        <f>SUM(C19:G19)</f>
        <v>17285</v>
      </c>
      <c r="C19" s="252">
        <v>8275</v>
      </c>
      <c r="D19" s="252">
        <v>9010</v>
      </c>
      <c r="E19" s="252"/>
      <c r="F19" s="252"/>
      <c r="G19" s="252"/>
      <c r="H19" s="252"/>
      <c r="I19" s="252"/>
      <c r="J19" s="252"/>
      <c r="K19" s="252"/>
      <c r="L19" s="252"/>
      <c r="M19" s="252">
        <v>24499</v>
      </c>
      <c r="N19" s="254">
        <v>25295</v>
      </c>
      <c r="O19" s="254">
        <v>17841</v>
      </c>
      <c r="P19" s="252">
        <f>SUM(C19:O19)</f>
        <v>84920</v>
      </c>
    </row>
    <row r="20" spans="1:16" s="3" customFormat="1" ht="12.75">
      <c r="A20" s="16" t="s">
        <v>30</v>
      </c>
      <c r="B20" s="265">
        <f>SUM(C20:G20)</f>
        <v>129021</v>
      </c>
      <c r="C20" s="265">
        <f>SUM(C18:C19)</f>
        <v>23388</v>
      </c>
      <c r="D20" s="265">
        <f>SUM(D18:D19)</f>
        <v>26992</v>
      </c>
      <c r="E20" s="265">
        <v>24786</v>
      </c>
      <c r="F20" s="265">
        <v>26345</v>
      </c>
      <c r="G20" s="265">
        <v>27510</v>
      </c>
      <c r="H20" s="265">
        <v>26379</v>
      </c>
      <c r="I20" s="265">
        <v>25740</v>
      </c>
      <c r="J20" s="265">
        <v>24066</v>
      </c>
      <c r="K20" s="265">
        <v>21282</v>
      </c>
      <c r="L20" s="265">
        <v>31287</v>
      </c>
      <c r="M20" s="265">
        <f>SUM(M18:M19)</f>
        <v>39960</v>
      </c>
      <c r="N20" s="265">
        <f>SUM(N18:N19)</f>
        <v>40007</v>
      </c>
      <c r="O20" s="265">
        <f>SUM(O18:O19)</f>
        <v>20619</v>
      </c>
      <c r="P20" s="265">
        <f>SUM(C20:O20)</f>
        <v>358361</v>
      </c>
    </row>
    <row r="21" spans="1:16" s="3" customFormat="1" ht="12.75">
      <c r="A21" s="43"/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</row>
    <row r="22" spans="1:16" s="3" customFormat="1" ht="12.75">
      <c r="A22" s="43"/>
      <c r="B22" s="267"/>
      <c r="C22" s="267"/>
      <c r="D22" s="267"/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</row>
    <row r="23" spans="1:16" s="3" customFormat="1" ht="12.75">
      <c r="A23" s="432" t="s">
        <v>402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4"/>
    </row>
    <row r="24" spans="1:16" s="3" customFormat="1" ht="12.75">
      <c r="A24" s="432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4"/>
    </row>
    <row r="25" spans="1:16" s="3" customFormat="1" ht="12.75">
      <c r="A25" s="43" t="s">
        <v>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4"/>
    </row>
    <row r="26" spans="1:16" s="3" customFormat="1" ht="12.75">
      <c r="A26" s="43" t="s">
        <v>7</v>
      </c>
      <c r="B26" s="40" t="s">
        <v>8</v>
      </c>
      <c r="C26" s="40" t="s">
        <v>8</v>
      </c>
      <c r="D26" s="40" t="s">
        <v>8</v>
      </c>
      <c r="E26" s="40" t="s">
        <v>8</v>
      </c>
      <c r="F26" s="40" t="s">
        <v>8</v>
      </c>
      <c r="G26" s="40" t="s">
        <v>8</v>
      </c>
      <c r="H26" s="40" t="s">
        <v>8</v>
      </c>
      <c r="I26" s="40" t="s">
        <v>8</v>
      </c>
      <c r="J26" s="45" t="s">
        <v>8</v>
      </c>
      <c r="K26" s="45" t="s">
        <v>8</v>
      </c>
      <c r="L26" s="45" t="s">
        <v>8</v>
      </c>
      <c r="M26" s="45" t="s">
        <v>8</v>
      </c>
      <c r="N26" s="45" t="s">
        <v>8</v>
      </c>
      <c r="O26" s="45" t="s">
        <v>8</v>
      </c>
      <c r="P26" s="44" t="s">
        <v>8</v>
      </c>
    </row>
    <row r="27" spans="1:16" ht="12.75">
      <c r="A27" s="15" t="s">
        <v>344</v>
      </c>
      <c r="B27" s="252">
        <f>SUM(C27:G27)</f>
        <v>73068</v>
      </c>
      <c r="C27" s="252">
        <v>12224</v>
      </c>
      <c r="D27" s="252">
        <v>15703</v>
      </c>
      <c r="E27" s="252">
        <v>14621</v>
      </c>
      <c r="F27" s="252">
        <v>15499</v>
      </c>
      <c r="G27" s="252">
        <v>15021</v>
      </c>
      <c r="H27" s="252">
        <v>11545</v>
      </c>
      <c r="I27" s="252">
        <v>13323</v>
      </c>
      <c r="J27" s="252">
        <v>4973</v>
      </c>
      <c r="K27" s="252">
        <v>4771</v>
      </c>
      <c r="L27" s="252">
        <v>8087</v>
      </c>
      <c r="M27" s="252">
        <v>12364</v>
      </c>
      <c r="N27" s="254">
        <v>13149</v>
      </c>
      <c r="O27" s="254">
        <v>5353</v>
      </c>
      <c r="P27" s="252">
        <f>SUM(C27:O27)</f>
        <v>146633</v>
      </c>
    </row>
    <row r="28" spans="1:16" ht="12.75">
      <c r="A28" s="15" t="s">
        <v>345</v>
      </c>
      <c r="B28" s="252">
        <f>SUM(C28:G28)</f>
        <v>1095661</v>
      </c>
      <c r="C28" s="252">
        <v>183354</v>
      </c>
      <c r="D28" s="252">
        <v>235546</v>
      </c>
      <c r="E28" s="252">
        <v>219320</v>
      </c>
      <c r="F28" s="252">
        <v>232484</v>
      </c>
      <c r="G28" s="252">
        <v>224957</v>
      </c>
      <c r="H28" s="252">
        <v>173181</v>
      </c>
      <c r="I28" s="252">
        <v>199843</v>
      </c>
      <c r="J28" s="252">
        <v>83068</v>
      </c>
      <c r="K28" s="252">
        <v>83807</v>
      </c>
      <c r="L28" s="252">
        <v>135866</v>
      </c>
      <c r="M28" s="252">
        <v>210355</v>
      </c>
      <c r="N28" s="254">
        <v>227057</v>
      </c>
      <c r="O28" s="254">
        <v>95679</v>
      </c>
      <c r="P28" s="252">
        <f>SUM(C28:O28)</f>
        <v>2304517</v>
      </c>
    </row>
    <row r="29" spans="1:16" ht="12.75">
      <c r="A29" s="21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111</v>
      </c>
      <c r="B30" s="44" t="s">
        <v>411</v>
      </c>
      <c r="C30" s="44" t="s">
        <v>411</v>
      </c>
      <c r="D30" s="44" t="s">
        <v>411</v>
      </c>
      <c r="E30" s="44" t="s">
        <v>411</v>
      </c>
      <c r="F30" s="44" t="s">
        <v>411</v>
      </c>
      <c r="G30" s="44" t="s">
        <v>411</v>
      </c>
      <c r="H30" s="44" t="s">
        <v>411</v>
      </c>
      <c r="I30" s="44" t="s">
        <v>411</v>
      </c>
      <c r="J30" s="85" t="s">
        <v>411</v>
      </c>
      <c r="K30" s="85" t="s">
        <v>411</v>
      </c>
      <c r="L30" s="85" t="s">
        <v>411</v>
      </c>
      <c r="M30" s="85" t="s">
        <v>411</v>
      </c>
      <c r="N30" s="89" t="s">
        <v>411</v>
      </c>
      <c r="O30" s="89" t="s">
        <v>411</v>
      </c>
      <c r="P30" s="44" t="s">
        <v>411</v>
      </c>
    </row>
    <row r="31" spans="1:16" ht="12.75">
      <c r="A31" s="15" t="s">
        <v>438</v>
      </c>
      <c r="B31" s="252">
        <f>SUM(C31:G31)</f>
        <v>62634</v>
      </c>
      <c r="C31" s="252">
        <v>10761</v>
      </c>
      <c r="D31" s="252">
        <v>13825</v>
      </c>
      <c r="E31" s="252">
        <v>12254</v>
      </c>
      <c r="F31" s="252">
        <v>13065</v>
      </c>
      <c r="G31" s="252">
        <v>12729</v>
      </c>
      <c r="H31" s="252">
        <v>9651</v>
      </c>
      <c r="I31" s="252">
        <v>10666</v>
      </c>
      <c r="J31" s="252">
        <v>2710</v>
      </c>
      <c r="K31" s="252">
        <v>1804</v>
      </c>
      <c r="L31" s="252">
        <v>4825</v>
      </c>
      <c r="M31" s="252">
        <v>6845</v>
      </c>
      <c r="N31" s="254">
        <v>6715</v>
      </c>
      <c r="O31" s="254">
        <v>1307</v>
      </c>
      <c r="P31" s="252">
        <f>SUM(C31:O31)</f>
        <v>107157</v>
      </c>
    </row>
    <row r="32" spans="1:16" ht="12.75">
      <c r="A32" s="40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8"/>
      <c r="O32" s="58"/>
      <c r="P32" s="44"/>
    </row>
    <row r="33" spans="1:16" ht="12.75">
      <c r="A33" s="43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  <c r="G33" s="44" t="s">
        <v>11</v>
      </c>
      <c r="H33" s="44" t="s">
        <v>11</v>
      </c>
      <c r="I33" s="44" t="s">
        <v>11</v>
      </c>
      <c r="J33" s="85" t="s">
        <v>11</v>
      </c>
      <c r="K33" s="85" t="s">
        <v>11</v>
      </c>
      <c r="L33" s="85" t="s">
        <v>11</v>
      </c>
      <c r="M33" s="85" t="s">
        <v>11</v>
      </c>
      <c r="N33" s="89" t="s">
        <v>11</v>
      </c>
      <c r="O33" s="89" t="s">
        <v>11</v>
      </c>
      <c r="P33" s="44" t="s">
        <v>11</v>
      </c>
    </row>
    <row r="34" spans="1:16" ht="12.75">
      <c r="A34" s="15" t="s">
        <v>344</v>
      </c>
      <c r="B34" s="252">
        <f>SUM(C34:G34)</f>
        <v>654419</v>
      </c>
      <c r="C34" s="252">
        <v>117212</v>
      </c>
      <c r="D34" s="252">
        <v>144346</v>
      </c>
      <c r="E34" s="252">
        <v>118900</v>
      </c>
      <c r="F34" s="252">
        <v>135002</v>
      </c>
      <c r="G34" s="252">
        <v>138959</v>
      </c>
      <c r="H34" s="252">
        <v>231174</v>
      </c>
      <c r="I34" s="252">
        <v>205199</v>
      </c>
      <c r="J34" s="252">
        <v>167668</v>
      </c>
      <c r="K34" s="252">
        <v>202257</v>
      </c>
      <c r="L34" s="252">
        <v>259633</v>
      </c>
      <c r="M34" s="252">
        <v>343759</v>
      </c>
      <c r="N34" s="254">
        <v>343517</v>
      </c>
      <c r="O34" s="254">
        <v>118229</v>
      </c>
      <c r="P34" s="252">
        <f>SUM(C34:O34)</f>
        <v>2525855</v>
      </c>
    </row>
    <row r="35" spans="1:16" ht="12.75">
      <c r="A35" s="15" t="s">
        <v>345</v>
      </c>
      <c r="B35" s="252">
        <f>SUM(C35:G35)</f>
        <v>12328739</v>
      </c>
      <c r="C35" s="252">
        <v>2344252</v>
      </c>
      <c r="D35" s="252">
        <v>2886917</v>
      </c>
      <c r="E35" s="252">
        <v>2172633</v>
      </c>
      <c r="F35" s="252">
        <v>2431125</v>
      </c>
      <c r="G35" s="252">
        <v>2493812</v>
      </c>
      <c r="H35" s="252">
        <v>3095022</v>
      </c>
      <c r="I35" s="252">
        <v>3830587</v>
      </c>
      <c r="J35" s="252">
        <v>3285309</v>
      </c>
      <c r="K35" s="252">
        <v>3952255</v>
      </c>
      <c r="L35" s="252">
        <v>5096054</v>
      </c>
      <c r="M35" s="252">
        <v>6779179</v>
      </c>
      <c r="N35" s="254">
        <v>6728822</v>
      </c>
      <c r="O35" s="254">
        <v>2120558</v>
      </c>
      <c r="P35" s="252">
        <f>SUM(C35:O35)</f>
        <v>47216525</v>
      </c>
    </row>
    <row r="36" ht="12.75">
      <c r="A36" s="2" t="s">
        <v>291</v>
      </c>
    </row>
    <row r="37" spans="1:3" ht="12.75">
      <c r="A37" s="5"/>
      <c r="B37" s="5"/>
      <c r="C37" s="7"/>
    </row>
    <row r="38" ht="12.75">
      <c r="C38" s="8"/>
    </row>
    <row r="39" spans="1:2" ht="12.75">
      <c r="A39" s="2"/>
      <c r="B39" s="2"/>
    </row>
    <row r="40" spans="1:27" ht="12.75">
      <c r="A40" s="2"/>
      <c r="B40" s="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2.75">
      <c r="A41" s="2"/>
      <c r="B41" s="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2.75">
      <c r="A42" s="2"/>
      <c r="B42" s="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2.75">
      <c r="A43" s="2"/>
      <c r="B43" s="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3" ht="12.75">
      <c r="A44" s="2"/>
      <c r="B44" s="2"/>
      <c r="C44" s="8"/>
    </row>
    <row r="45" spans="1:2" ht="12.75">
      <c r="A45" s="2"/>
      <c r="B45" s="2"/>
    </row>
    <row r="46" spans="1:19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ht="12.75">
      <c r="C47" s="8"/>
    </row>
    <row r="48" spans="1:2" ht="12.75">
      <c r="A48" s="2"/>
      <c r="B48" s="2"/>
    </row>
    <row r="49" spans="1:19" ht="12.75">
      <c r="A49" s="2"/>
      <c r="B49" s="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.75">
      <c r="A50" s="2"/>
      <c r="B50" s="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.75">
      <c r="A51" s="2"/>
      <c r="B51" s="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.75">
      <c r="A52" s="2"/>
      <c r="B52" s="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3" ht="12.75">
      <c r="A53" s="2"/>
      <c r="B53" s="2"/>
      <c r="C53" s="8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</sheetData>
  <sheetProtection/>
  <mergeCells count="3">
    <mergeCell ref="A2:P2"/>
    <mergeCell ref="A9:P9"/>
    <mergeCell ref="A1:P1"/>
  </mergeCells>
  <printOptions/>
  <pageMargins left="0.17" right="0.17" top="0.4" bottom="0.6" header="0.24" footer="0.24"/>
  <pageSetup fitToHeight="1" fitToWidth="1" horizontalDpi="600" verticalDpi="600" orientation="landscape" scale="78" r:id="rId1"/>
  <headerFooter scaleWithDoc="0" alignWithMargins="0">
    <oddFooter>&amp;L&amp;6&amp;A - Results by Program Year&amp;R&amp;6printed &amp;D at &amp;T</oddFooter>
  </headerFooter>
  <rowBreaks count="1" manualBreakCount="1">
    <brk id="36" max="255" man="1"/>
  </rowBreaks>
  <ignoredErrors>
    <ignoredError sqref="F4:M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1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421875" style="3" customWidth="1"/>
    <col min="2" max="2" width="14.8515625" style="3" bestFit="1" customWidth="1"/>
    <col min="3" max="5" width="16.140625" style="6" hidden="1" customWidth="1"/>
    <col min="6" max="6" width="15.421875" style="6" hidden="1" customWidth="1"/>
    <col min="7" max="7" width="13.8515625" style="6" hidden="1" customWidth="1"/>
    <col min="8" max="9" width="13.8515625" style="6" bestFit="1" customWidth="1"/>
    <col min="10" max="10" width="13.8515625" style="6" customWidth="1"/>
    <col min="11" max="14" width="14.421875" style="6" bestFit="1" customWidth="1"/>
    <col min="15" max="15" width="14.421875" style="6" customWidth="1"/>
    <col min="16" max="16" width="15.421875" style="6" bestFit="1" customWidth="1"/>
    <col min="17" max="17" width="10.8515625" style="6" bestFit="1" customWidth="1"/>
    <col min="18" max="16384" width="10.7109375" style="6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78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18" ht="12.75">
      <c r="A3" s="21"/>
      <c r="B3" s="21"/>
      <c r="Q3" s="3"/>
      <c r="R3" s="3"/>
    </row>
    <row r="4" spans="1:18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  <c r="R4" s="3"/>
    </row>
    <row r="5" spans="1:18" ht="12.75">
      <c r="A5" s="182" t="s">
        <v>46</v>
      </c>
      <c r="B5" s="274">
        <f>SUM(C5:G5)</f>
        <v>49904</v>
      </c>
      <c r="C5" s="282">
        <v>21551</v>
      </c>
      <c r="D5" s="282">
        <v>28353</v>
      </c>
      <c r="E5" s="282"/>
      <c r="F5" s="282"/>
      <c r="G5" s="274"/>
      <c r="H5" s="378"/>
      <c r="I5" s="378"/>
      <c r="J5" s="378"/>
      <c r="K5" s="379"/>
      <c r="L5" s="379"/>
      <c r="M5" s="379"/>
      <c r="N5" s="379"/>
      <c r="O5" s="379"/>
      <c r="P5" s="280"/>
      <c r="Q5" s="3"/>
      <c r="R5" s="3"/>
    </row>
    <row r="6" spans="1:18" ht="12.75">
      <c r="A6" s="182" t="s">
        <v>47</v>
      </c>
      <c r="B6" s="274">
        <f aca="true" t="shared" si="0" ref="B6:B12">SUM(C6:G6)</f>
        <v>1926</v>
      </c>
      <c r="C6" s="282">
        <v>984</v>
      </c>
      <c r="D6" s="282">
        <v>942</v>
      </c>
      <c r="E6" s="282"/>
      <c r="F6" s="282"/>
      <c r="G6" s="274"/>
      <c r="H6" s="378"/>
      <c r="I6" s="378"/>
      <c r="J6" s="378"/>
      <c r="K6" s="379"/>
      <c r="L6" s="379"/>
      <c r="M6" s="379"/>
      <c r="N6" s="379"/>
      <c r="O6" s="379"/>
      <c r="P6" s="280"/>
      <c r="Q6" s="3"/>
      <c r="R6" s="3"/>
    </row>
    <row r="7" spans="1:18" ht="12.75">
      <c r="A7" s="182" t="s">
        <v>48</v>
      </c>
      <c r="B7" s="274">
        <f t="shared" si="0"/>
        <v>1094</v>
      </c>
      <c r="C7" s="282">
        <v>445</v>
      </c>
      <c r="D7" s="282">
        <v>649</v>
      </c>
      <c r="E7" s="282"/>
      <c r="F7" s="282"/>
      <c r="G7" s="274"/>
      <c r="H7" s="378"/>
      <c r="I7" s="378"/>
      <c r="J7" s="378"/>
      <c r="K7" s="379"/>
      <c r="L7" s="379"/>
      <c r="M7" s="379"/>
      <c r="N7" s="379"/>
      <c r="O7" s="379"/>
      <c r="P7" s="280"/>
      <c r="Q7" s="3"/>
      <c r="R7" s="3"/>
    </row>
    <row r="8" spans="1:18" ht="12.75">
      <c r="A8" s="182" t="s">
        <v>49</v>
      </c>
      <c r="B8" s="274">
        <f t="shared" si="0"/>
        <v>9762</v>
      </c>
      <c r="C8" s="282"/>
      <c r="D8" s="282"/>
      <c r="E8" s="282">
        <v>3145</v>
      </c>
      <c r="F8" s="282">
        <v>3317</v>
      </c>
      <c r="G8" s="274">
        <v>3300</v>
      </c>
      <c r="H8" s="274">
        <v>3811</v>
      </c>
      <c r="I8" s="274">
        <v>4000</v>
      </c>
      <c r="J8" s="274">
        <v>4503</v>
      </c>
      <c r="K8" s="280">
        <v>10691720.49</v>
      </c>
      <c r="L8" s="280">
        <v>6813711.71</v>
      </c>
      <c r="M8" s="280">
        <v>6867143.41</v>
      </c>
      <c r="N8" s="281">
        <v>4524122.02</v>
      </c>
      <c r="O8" s="281">
        <v>2692226.3</v>
      </c>
      <c r="P8" s="280"/>
      <c r="Q8" s="3"/>
      <c r="R8" s="3"/>
    </row>
    <row r="9" spans="1:18" ht="12.75">
      <c r="A9" s="182" t="s">
        <v>52</v>
      </c>
      <c r="B9" s="274">
        <f t="shared" si="0"/>
        <v>66762</v>
      </c>
      <c r="C9" s="282"/>
      <c r="D9" s="282"/>
      <c r="E9" s="282">
        <v>24089</v>
      </c>
      <c r="F9" s="282">
        <v>21773</v>
      </c>
      <c r="G9" s="274">
        <v>20900</v>
      </c>
      <c r="H9" s="274">
        <v>25180</v>
      </c>
      <c r="I9" s="274">
        <v>26068</v>
      </c>
      <c r="J9" s="274">
        <v>22596</v>
      </c>
      <c r="K9" s="280">
        <v>22020298.02</v>
      </c>
      <c r="L9" s="280">
        <v>35109759.59</v>
      </c>
      <c r="M9" s="280">
        <v>45899451.3</v>
      </c>
      <c r="N9" s="281">
        <v>57257018.97</v>
      </c>
      <c r="O9" s="281">
        <v>51739678.21</v>
      </c>
      <c r="P9" s="280"/>
      <c r="Q9" s="3"/>
      <c r="R9" s="3"/>
    </row>
    <row r="10" spans="1:18" ht="12.75">
      <c r="A10" s="182" t="s">
        <v>53</v>
      </c>
      <c r="B10" s="274">
        <f t="shared" si="0"/>
        <v>15279</v>
      </c>
      <c r="C10" s="282"/>
      <c r="D10" s="282"/>
      <c r="E10" s="282">
        <v>6670</v>
      </c>
      <c r="F10" s="282">
        <v>5109</v>
      </c>
      <c r="G10" s="274">
        <v>3500</v>
      </c>
      <c r="H10" s="274">
        <v>3872</v>
      </c>
      <c r="I10" s="274">
        <v>5000</v>
      </c>
      <c r="J10" s="274">
        <v>3737</v>
      </c>
      <c r="K10" s="280">
        <v>7103223.98</v>
      </c>
      <c r="L10" s="379"/>
      <c r="M10" s="379"/>
      <c r="N10" s="379"/>
      <c r="O10" s="379"/>
      <c r="P10" s="280"/>
      <c r="Q10" s="3"/>
      <c r="R10" s="3"/>
    </row>
    <row r="11" spans="1:18" ht="12.75">
      <c r="A11" s="16" t="s">
        <v>51</v>
      </c>
      <c r="B11" s="274">
        <f t="shared" si="0"/>
        <v>144727</v>
      </c>
      <c r="C11" s="282">
        <f aca="true" t="shared" si="1" ref="C11:J11">SUM(C5:C10)</f>
        <v>22980</v>
      </c>
      <c r="D11" s="282">
        <f t="shared" si="1"/>
        <v>29944</v>
      </c>
      <c r="E11" s="282">
        <f t="shared" si="1"/>
        <v>33904</v>
      </c>
      <c r="F11" s="274">
        <f t="shared" si="1"/>
        <v>30199</v>
      </c>
      <c r="G11" s="274">
        <f t="shared" si="1"/>
        <v>27700</v>
      </c>
      <c r="H11" s="274">
        <f t="shared" si="1"/>
        <v>32863</v>
      </c>
      <c r="I11" s="274">
        <f t="shared" si="1"/>
        <v>35068</v>
      </c>
      <c r="J11" s="274">
        <f t="shared" si="1"/>
        <v>30836</v>
      </c>
      <c r="K11" s="379"/>
      <c r="L11" s="379"/>
      <c r="M11" s="379"/>
      <c r="N11" s="379"/>
      <c r="O11" s="379"/>
      <c r="P11" s="280"/>
      <c r="Q11" s="4"/>
      <c r="R11" s="3"/>
    </row>
    <row r="12" spans="1:18" ht="12.75">
      <c r="A12" s="16" t="s">
        <v>205</v>
      </c>
      <c r="B12" s="219">
        <f t="shared" si="0"/>
        <v>144727000</v>
      </c>
      <c r="C12" s="342">
        <f>C11*1000</f>
        <v>22980000</v>
      </c>
      <c r="D12" s="342">
        <f aca="true" t="shared" si="2" ref="D12:J12">D11*1000</f>
        <v>29944000</v>
      </c>
      <c r="E12" s="342">
        <f t="shared" si="2"/>
        <v>33904000</v>
      </c>
      <c r="F12" s="342">
        <f t="shared" si="2"/>
        <v>30199000</v>
      </c>
      <c r="G12" s="219">
        <f t="shared" si="2"/>
        <v>27700000</v>
      </c>
      <c r="H12" s="219">
        <f t="shared" si="2"/>
        <v>32863000</v>
      </c>
      <c r="I12" s="219">
        <f t="shared" si="2"/>
        <v>35068000</v>
      </c>
      <c r="J12" s="219">
        <f t="shared" si="2"/>
        <v>30836000</v>
      </c>
      <c r="K12" s="219">
        <f>SUM(K5:K10)</f>
        <v>39815242.489999995</v>
      </c>
      <c r="L12" s="219">
        <f>SUM(L5:L10)</f>
        <v>41923471.300000004</v>
      </c>
      <c r="M12" s="219">
        <f>SUM(M5:M10)</f>
        <v>52766594.70999999</v>
      </c>
      <c r="N12" s="219">
        <f>SUM(N5:N10)</f>
        <v>61781140.989999995</v>
      </c>
      <c r="O12" s="219">
        <f>SUM(O5:O10)</f>
        <v>54431904.51</v>
      </c>
      <c r="P12" s="219">
        <f>SUM(C12:O12)</f>
        <v>494212354</v>
      </c>
      <c r="Q12" s="4"/>
      <c r="R12" s="3"/>
    </row>
    <row r="13" spans="1:18" ht="12.75">
      <c r="A13" s="460" t="s">
        <v>282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"/>
      <c r="R13" s="3"/>
    </row>
    <row r="14" spans="1:18" ht="12.7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3"/>
      <c r="R14" s="3"/>
    </row>
    <row r="15" spans="1:18" ht="12.75">
      <c r="A15" s="30" t="s">
        <v>253</v>
      </c>
      <c r="B15" s="122"/>
      <c r="C15" s="41"/>
      <c r="D15" s="41"/>
      <c r="E15" s="41"/>
      <c r="F15" s="41"/>
      <c r="G15" s="122"/>
      <c r="H15" s="122"/>
      <c r="I15" s="122"/>
      <c r="J15" s="122"/>
      <c r="K15" s="122"/>
      <c r="L15" s="122"/>
      <c r="M15" s="122"/>
      <c r="N15" s="122"/>
      <c r="O15" s="122"/>
      <c r="P15" s="103"/>
      <c r="Q15" s="3"/>
      <c r="R15" s="3"/>
    </row>
    <row r="16" spans="1:16" s="3" customFormat="1" ht="12.75">
      <c r="A16" s="182" t="s">
        <v>46</v>
      </c>
      <c r="B16" s="274">
        <f aca="true" t="shared" si="3" ref="B16:B23">SUM(C16:G16)</f>
        <v>50617</v>
      </c>
      <c r="C16" s="282">
        <v>12346</v>
      </c>
      <c r="D16" s="282">
        <v>38271</v>
      </c>
      <c r="E16" s="282"/>
      <c r="F16" s="282"/>
      <c r="G16" s="274"/>
      <c r="H16" s="378"/>
      <c r="I16" s="378"/>
      <c r="J16" s="378"/>
      <c r="K16" s="393"/>
      <c r="L16" s="393"/>
      <c r="M16" s="393"/>
      <c r="N16" s="393"/>
      <c r="O16" s="393"/>
      <c r="P16" s="120"/>
    </row>
    <row r="17" spans="1:16" s="3" customFormat="1" ht="12.75">
      <c r="A17" s="182" t="s">
        <v>47</v>
      </c>
      <c r="B17" s="274">
        <f t="shared" si="3"/>
        <v>592</v>
      </c>
      <c r="C17" s="282">
        <v>96</v>
      </c>
      <c r="D17" s="282">
        <v>496</v>
      </c>
      <c r="E17" s="282"/>
      <c r="F17" s="282"/>
      <c r="G17" s="274"/>
      <c r="H17" s="378"/>
      <c r="I17" s="378"/>
      <c r="J17" s="378"/>
      <c r="K17" s="393"/>
      <c r="L17" s="393"/>
      <c r="M17" s="393"/>
      <c r="N17" s="393"/>
      <c r="O17" s="393"/>
      <c r="P17" s="120"/>
    </row>
    <row r="18" spans="1:16" s="3" customFormat="1" ht="12.75">
      <c r="A18" s="182" t="s">
        <v>48</v>
      </c>
      <c r="B18" s="274">
        <f t="shared" si="3"/>
        <v>131</v>
      </c>
      <c r="C18" s="282">
        <v>59</v>
      </c>
      <c r="D18" s="282">
        <v>72</v>
      </c>
      <c r="E18" s="282"/>
      <c r="F18" s="282"/>
      <c r="G18" s="274"/>
      <c r="H18" s="378"/>
      <c r="I18" s="378"/>
      <c r="J18" s="378"/>
      <c r="K18" s="393"/>
      <c r="L18" s="393"/>
      <c r="M18" s="393"/>
      <c r="N18" s="393"/>
      <c r="O18" s="393"/>
      <c r="P18" s="120"/>
    </row>
    <row r="19" spans="1:16" s="3" customFormat="1" ht="12.75">
      <c r="A19" s="182" t="s">
        <v>49</v>
      </c>
      <c r="B19" s="274">
        <f t="shared" si="3"/>
        <v>11464</v>
      </c>
      <c r="C19" s="282"/>
      <c r="D19" s="282"/>
      <c r="E19" s="282">
        <v>3832</v>
      </c>
      <c r="F19" s="282">
        <v>3902</v>
      </c>
      <c r="G19" s="274">
        <v>3730</v>
      </c>
      <c r="H19" s="274">
        <v>1422</v>
      </c>
      <c r="I19" s="274">
        <v>2358</v>
      </c>
      <c r="J19" s="274">
        <v>1544</v>
      </c>
      <c r="K19" s="281">
        <v>2240924.83</v>
      </c>
      <c r="L19" s="281">
        <v>2446568.3</v>
      </c>
      <c r="M19" s="281">
        <v>2387636.95</v>
      </c>
      <c r="N19" s="281">
        <v>2211895.72</v>
      </c>
      <c r="O19" s="281">
        <v>887015.31</v>
      </c>
      <c r="P19" s="120"/>
    </row>
    <row r="20" spans="1:16" s="3" customFormat="1" ht="12.75">
      <c r="A20" s="182" t="s">
        <v>52</v>
      </c>
      <c r="B20" s="274">
        <f t="shared" si="3"/>
        <v>65128</v>
      </c>
      <c r="C20" s="282"/>
      <c r="D20" s="282"/>
      <c r="E20" s="282">
        <v>25095</v>
      </c>
      <c r="F20" s="282">
        <v>22686</v>
      </c>
      <c r="G20" s="274">
        <v>17347</v>
      </c>
      <c r="H20" s="274">
        <v>16973</v>
      </c>
      <c r="I20" s="274">
        <v>13047</v>
      </c>
      <c r="J20" s="274">
        <v>11710</v>
      </c>
      <c r="K20" s="281">
        <v>14410530.34</v>
      </c>
      <c r="L20" s="281">
        <v>17220583.18</v>
      </c>
      <c r="M20" s="281">
        <v>15697501.92</v>
      </c>
      <c r="N20" s="281">
        <v>33463190.76</v>
      </c>
      <c r="O20" s="281">
        <v>23161939.34</v>
      </c>
      <c r="P20" s="120"/>
    </row>
    <row r="21" spans="1:16" s="3" customFormat="1" ht="12.75">
      <c r="A21" s="182" t="s">
        <v>53</v>
      </c>
      <c r="B21" s="274">
        <f t="shared" si="3"/>
        <v>8061</v>
      </c>
      <c r="C21" s="282"/>
      <c r="D21" s="282"/>
      <c r="E21" s="282">
        <v>1628</v>
      </c>
      <c r="F21" s="282">
        <v>3073</v>
      </c>
      <c r="G21" s="274">
        <v>3360</v>
      </c>
      <c r="H21" s="274">
        <v>1672</v>
      </c>
      <c r="I21" s="274">
        <v>843</v>
      </c>
      <c r="J21" s="274">
        <v>1085</v>
      </c>
      <c r="K21" s="281">
        <v>1006162.63</v>
      </c>
      <c r="L21" s="379"/>
      <c r="M21" s="379"/>
      <c r="N21" s="379"/>
      <c r="O21" s="379"/>
      <c r="P21" s="120"/>
    </row>
    <row r="22" spans="1:17" s="3" customFormat="1" ht="12.75">
      <c r="A22" s="16" t="s">
        <v>51</v>
      </c>
      <c r="B22" s="274">
        <f t="shared" si="3"/>
        <v>135993</v>
      </c>
      <c r="C22" s="282">
        <f aca="true" t="shared" si="4" ref="C22:J22">SUM(C16:C21)</f>
        <v>12501</v>
      </c>
      <c r="D22" s="282">
        <f t="shared" si="4"/>
        <v>38839</v>
      </c>
      <c r="E22" s="282">
        <f t="shared" si="4"/>
        <v>30555</v>
      </c>
      <c r="F22" s="282">
        <f t="shared" si="4"/>
        <v>29661</v>
      </c>
      <c r="G22" s="274">
        <f t="shared" si="4"/>
        <v>24437</v>
      </c>
      <c r="H22" s="274">
        <f t="shared" si="4"/>
        <v>20067</v>
      </c>
      <c r="I22" s="274">
        <f t="shared" si="4"/>
        <v>16248</v>
      </c>
      <c r="J22" s="274">
        <f t="shared" si="4"/>
        <v>14339</v>
      </c>
      <c r="K22" s="379"/>
      <c r="L22" s="379"/>
      <c r="M22" s="379"/>
      <c r="N22" s="379"/>
      <c r="O22" s="379"/>
      <c r="P22" s="120"/>
      <c r="Q22" s="4"/>
    </row>
    <row r="23" spans="1:16" s="3" customFormat="1" ht="12.75">
      <c r="A23" s="16" t="s">
        <v>205</v>
      </c>
      <c r="B23" s="219">
        <f t="shared" si="3"/>
        <v>135993000</v>
      </c>
      <c r="C23" s="342">
        <f>C22*1000</f>
        <v>12501000</v>
      </c>
      <c r="D23" s="342">
        <f aca="true" t="shared" si="5" ref="D23:J23">D22*1000</f>
        <v>38839000</v>
      </c>
      <c r="E23" s="342">
        <f t="shared" si="5"/>
        <v>30555000</v>
      </c>
      <c r="F23" s="342">
        <f t="shared" si="5"/>
        <v>29661000</v>
      </c>
      <c r="G23" s="219">
        <f t="shared" si="5"/>
        <v>24437000</v>
      </c>
      <c r="H23" s="219">
        <f t="shared" si="5"/>
        <v>20067000</v>
      </c>
      <c r="I23" s="219">
        <f t="shared" si="5"/>
        <v>16248000</v>
      </c>
      <c r="J23" s="219">
        <f t="shared" si="5"/>
        <v>14339000</v>
      </c>
      <c r="K23" s="291">
        <f>SUM(K16:K21)</f>
        <v>17657617.8</v>
      </c>
      <c r="L23" s="291">
        <f>SUM(L16:L21)</f>
        <v>19667151.48</v>
      </c>
      <c r="M23" s="291">
        <f>SUM(M16:M21)</f>
        <v>18085138.87</v>
      </c>
      <c r="N23" s="291">
        <f>SUM(N16:N21)</f>
        <v>35675086.480000004</v>
      </c>
      <c r="O23" s="291">
        <f>SUM(O16:O21)</f>
        <v>24048954.65</v>
      </c>
      <c r="P23" s="291">
        <f>SUM(C23:O23)</f>
        <v>301780949.28</v>
      </c>
    </row>
    <row r="24" spans="1:17" s="3" customFormat="1" ht="12.75">
      <c r="A24" s="43"/>
      <c r="B24" s="97"/>
      <c r="C24" s="42"/>
      <c r="D24" s="42"/>
      <c r="E24" s="42"/>
      <c r="F24" s="42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4"/>
    </row>
    <row r="25" spans="1:17" s="3" customFormat="1" ht="12.75">
      <c r="A25" s="341" t="s">
        <v>17</v>
      </c>
      <c r="B25" s="97"/>
      <c r="C25" s="42"/>
      <c r="D25" s="42"/>
      <c r="E25" s="42"/>
      <c r="F25" s="42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4"/>
    </row>
    <row r="26" spans="1:17" s="3" customFormat="1" ht="12.75">
      <c r="A26" s="182" t="s">
        <v>49</v>
      </c>
      <c r="B26" s="339"/>
      <c r="C26" s="340"/>
      <c r="D26" s="340"/>
      <c r="E26" s="340"/>
      <c r="F26" s="340"/>
      <c r="G26" s="339"/>
      <c r="H26" s="339"/>
      <c r="I26" s="339"/>
      <c r="J26" s="339"/>
      <c r="K26" s="281"/>
      <c r="L26" s="281"/>
      <c r="M26" s="281"/>
      <c r="N26" s="281">
        <v>816292.57</v>
      </c>
      <c r="O26" s="281">
        <v>1575864.69</v>
      </c>
      <c r="P26" s="97"/>
      <c r="Q26" s="4"/>
    </row>
    <row r="27" spans="1:17" s="3" customFormat="1" ht="12.75">
      <c r="A27" s="182" t="s">
        <v>52</v>
      </c>
      <c r="B27" s="339"/>
      <c r="C27" s="340"/>
      <c r="D27" s="340"/>
      <c r="E27" s="340"/>
      <c r="F27" s="340"/>
      <c r="G27" s="339"/>
      <c r="H27" s="339"/>
      <c r="I27" s="339"/>
      <c r="J27" s="339"/>
      <c r="K27" s="281"/>
      <c r="L27" s="281"/>
      <c r="M27" s="281"/>
      <c r="N27" s="281">
        <v>24239268.42</v>
      </c>
      <c r="O27" s="281">
        <v>27434236.05</v>
      </c>
      <c r="P27" s="97"/>
      <c r="Q27" s="4"/>
    </row>
    <row r="28" spans="1:17" s="3" customFormat="1" ht="12.75">
      <c r="A28" s="16" t="s">
        <v>51</v>
      </c>
      <c r="B28" s="285">
        <f>SUM(C28:G28)</f>
        <v>0</v>
      </c>
      <c r="C28" s="302"/>
      <c r="D28" s="302"/>
      <c r="E28" s="302"/>
      <c r="F28" s="302"/>
      <c r="G28" s="285"/>
      <c r="H28" s="285"/>
      <c r="I28" s="285">
        <v>13474</v>
      </c>
      <c r="J28" s="285">
        <f>2997+13425+1234</f>
        <v>17656</v>
      </c>
      <c r="K28" s="291">
        <v>22124461.33</v>
      </c>
      <c r="L28" s="291">
        <v>16665840</v>
      </c>
      <c r="M28" s="291">
        <f>2430340+21743160</f>
        <v>24173500</v>
      </c>
      <c r="N28" s="291">
        <f>SUM(N26:N27)</f>
        <v>25055560.990000002</v>
      </c>
      <c r="O28" s="291">
        <f>SUM(O26:O27)</f>
        <v>29010100.740000002</v>
      </c>
      <c r="P28" s="97"/>
      <c r="Q28" s="4"/>
    </row>
    <row r="29" spans="1:16" s="3" customFormat="1" ht="12.75">
      <c r="A29" s="2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s="3" customFormat="1" ht="12.75">
      <c r="A30" s="43" t="s">
        <v>428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s="3" customFormat="1" ht="12.75">
      <c r="A31" s="182" t="s">
        <v>46</v>
      </c>
      <c r="B31" s="252">
        <f aca="true" t="shared" si="6" ref="B31:B37">SUM(C31:G31)</f>
        <v>10702</v>
      </c>
      <c r="C31" s="252">
        <v>1632</v>
      </c>
      <c r="D31" s="252">
        <v>9070</v>
      </c>
      <c r="E31" s="252"/>
      <c r="F31" s="252"/>
      <c r="G31" s="252"/>
      <c r="H31" s="318"/>
      <c r="I31" s="318"/>
      <c r="J31" s="318"/>
      <c r="K31" s="318"/>
      <c r="L31" s="318"/>
      <c r="M31" s="318"/>
      <c r="N31" s="318"/>
      <c r="O31" s="318"/>
      <c r="P31" s="252">
        <f aca="true" t="shared" si="7" ref="P31:P37">SUM(C31:O31)</f>
        <v>10702</v>
      </c>
    </row>
    <row r="32" spans="1:16" s="3" customFormat="1" ht="12.75">
      <c r="A32" s="182" t="s">
        <v>47</v>
      </c>
      <c r="B32" s="252">
        <f t="shared" si="6"/>
        <v>87</v>
      </c>
      <c r="C32" s="252">
        <v>11</v>
      </c>
      <c r="D32" s="252">
        <v>76</v>
      </c>
      <c r="E32" s="252"/>
      <c r="F32" s="252"/>
      <c r="G32" s="252"/>
      <c r="H32" s="318"/>
      <c r="I32" s="318"/>
      <c r="J32" s="318"/>
      <c r="K32" s="318"/>
      <c r="L32" s="318"/>
      <c r="M32" s="318"/>
      <c r="N32" s="318"/>
      <c r="O32" s="318"/>
      <c r="P32" s="252">
        <f t="shared" si="7"/>
        <v>87</v>
      </c>
    </row>
    <row r="33" spans="1:16" s="3" customFormat="1" ht="12.75">
      <c r="A33" s="182" t="s">
        <v>48</v>
      </c>
      <c r="B33" s="252">
        <f t="shared" si="6"/>
        <v>24</v>
      </c>
      <c r="C33" s="252">
        <v>7</v>
      </c>
      <c r="D33" s="252">
        <v>17</v>
      </c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7"/>
        <v>24</v>
      </c>
    </row>
    <row r="34" spans="1:16" s="3" customFormat="1" ht="12.75">
      <c r="A34" s="182" t="s">
        <v>49</v>
      </c>
      <c r="B34" s="252">
        <f t="shared" si="6"/>
        <v>562</v>
      </c>
      <c r="C34" s="252"/>
      <c r="D34" s="252"/>
      <c r="E34" s="252">
        <v>188</v>
      </c>
      <c r="F34" s="252">
        <v>176</v>
      </c>
      <c r="G34" s="252">
        <v>198</v>
      </c>
      <c r="H34" s="252">
        <v>187</v>
      </c>
      <c r="I34" s="252">
        <v>113</v>
      </c>
      <c r="J34" s="252">
        <v>111</v>
      </c>
      <c r="K34" s="252">
        <v>96</v>
      </c>
      <c r="L34" s="252">
        <v>97</v>
      </c>
      <c r="M34" s="252">
        <v>136</v>
      </c>
      <c r="N34" s="254">
        <v>109</v>
      </c>
      <c r="O34" s="254">
        <v>28</v>
      </c>
      <c r="P34" s="252">
        <f t="shared" si="7"/>
        <v>1439</v>
      </c>
    </row>
    <row r="35" spans="1:16" s="3" customFormat="1" ht="12.75">
      <c r="A35" s="182" t="s">
        <v>52</v>
      </c>
      <c r="B35" s="252">
        <f t="shared" si="6"/>
        <v>9304</v>
      </c>
      <c r="C35" s="252"/>
      <c r="D35" s="252"/>
      <c r="E35" s="252">
        <v>3818</v>
      </c>
      <c r="F35" s="252">
        <v>3563</v>
      </c>
      <c r="G35" s="252">
        <v>1923</v>
      </c>
      <c r="H35" s="252">
        <v>1798</v>
      </c>
      <c r="I35" s="252">
        <v>1129</v>
      </c>
      <c r="J35" s="252">
        <v>1172</v>
      </c>
      <c r="K35" s="252">
        <v>1393</v>
      </c>
      <c r="L35" s="252">
        <v>1888</v>
      </c>
      <c r="M35" s="252">
        <v>1718</v>
      </c>
      <c r="N35" s="254">
        <v>3521</v>
      </c>
      <c r="O35" s="254">
        <v>2399</v>
      </c>
      <c r="P35" s="252">
        <f t="shared" si="7"/>
        <v>24322</v>
      </c>
    </row>
    <row r="36" spans="1:16" s="3" customFormat="1" ht="12.75">
      <c r="A36" s="182" t="s">
        <v>53</v>
      </c>
      <c r="B36" s="252">
        <f t="shared" si="6"/>
        <v>713</v>
      </c>
      <c r="C36" s="252"/>
      <c r="D36" s="252"/>
      <c r="E36" s="252">
        <v>203</v>
      </c>
      <c r="F36" s="252">
        <v>244</v>
      </c>
      <c r="G36" s="252">
        <v>266</v>
      </c>
      <c r="H36" s="252">
        <v>109</v>
      </c>
      <c r="I36" s="252">
        <v>55</v>
      </c>
      <c r="J36" s="252">
        <v>118</v>
      </c>
      <c r="K36" s="252">
        <v>118</v>
      </c>
      <c r="L36" s="252"/>
      <c r="M36" s="252"/>
      <c r="N36" s="252"/>
      <c r="O36" s="252"/>
      <c r="P36" s="252">
        <f t="shared" si="7"/>
        <v>1113</v>
      </c>
    </row>
    <row r="37" spans="1:17" s="3" customFormat="1" ht="12.75">
      <c r="A37" s="16" t="s">
        <v>51</v>
      </c>
      <c r="B37" s="265">
        <f t="shared" si="6"/>
        <v>21392</v>
      </c>
      <c r="C37" s="265">
        <f>SUM(C31:C36)</f>
        <v>1650</v>
      </c>
      <c r="D37" s="265">
        <f>SUM(D31:D36)</f>
        <v>9163</v>
      </c>
      <c r="E37" s="265">
        <f aca="true" t="shared" si="8" ref="E37:M37">SUM(E31:E36)</f>
        <v>4209</v>
      </c>
      <c r="F37" s="265">
        <f t="shared" si="8"/>
        <v>3983</v>
      </c>
      <c r="G37" s="265">
        <f t="shared" si="8"/>
        <v>2387</v>
      </c>
      <c r="H37" s="265">
        <f t="shared" si="8"/>
        <v>2094</v>
      </c>
      <c r="I37" s="265">
        <f t="shared" si="8"/>
        <v>1297</v>
      </c>
      <c r="J37" s="265">
        <f t="shared" si="8"/>
        <v>1401</v>
      </c>
      <c r="K37" s="265">
        <f t="shared" si="8"/>
        <v>1607</v>
      </c>
      <c r="L37" s="265">
        <f t="shared" si="8"/>
        <v>1985</v>
      </c>
      <c r="M37" s="265">
        <f t="shared" si="8"/>
        <v>1854</v>
      </c>
      <c r="N37" s="265">
        <f>SUM(N31:N36)</f>
        <v>3630</v>
      </c>
      <c r="O37" s="265">
        <f>SUM(O31:O36)</f>
        <v>2427</v>
      </c>
      <c r="P37" s="265">
        <f t="shared" si="7"/>
        <v>37687</v>
      </c>
      <c r="Q37" s="6"/>
    </row>
    <row r="38" spans="1:16" s="3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</row>
    <row r="39" spans="1:16" s="3" customFormat="1" ht="12.75">
      <c r="A39" s="43" t="s">
        <v>427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s="3" customFormat="1" ht="12.75">
      <c r="A40" s="182" t="s">
        <v>49</v>
      </c>
      <c r="B40" s="318"/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252">
        <v>105</v>
      </c>
      <c r="N40" s="254">
        <v>118</v>
      </c>
      <c r="O40" s="254">
        <v>59</v>
      </c>
      <c r="P40" s="252">
        <f>SUM(C40:O40)</f>
        <v>282</v>
      </c>
    </row>
    <row r="41" spans="1:16" s="3" customFormat="1" ht="12.75">
      <c r="A41" s="182" t="s">
        <v>52</v>
      </c>
      <c r="B41" s="318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252"/>
      <c r="N41" s="254"/>
      <c r="O41" s="254"/>
      <c r="P41" s="252">
        <f>SUM(C41:O41)</f>
        <v>0</v>
      </c>
    </row>
    <row r="42" spans="1:17" s="3" customFormat="1" ht="12.75">
      <c r="A42" s="227" t="s">
        <v>113</v>
      </c>
      <c r="B42" s="252">
        <f>SUM(C42:G42)</f>
        <v>13837</v>
      </c>
      <c r="C42" s="252">
        <v>4205</v>
      </c>
      <c r="D42" s="252">
        <v>2016</v>
      </c>
      <c r="E42" s="252">
        <v>2603</v>
      </c>
      <c r="F42" s="252">
        <v>2707</v>
      </c>
      <c r="G42" s="252">
        <v>2306</v>
      </c>
      <c r="H42" s="252">
        <f>150+936+64</f>
        <v>1150</v>
      </c>
      <c r="I42" s="252">
        <v>1026</v>
      </c>
      <c r="J42" s="252">
        <v>1709</v>
      </c>
      <c r="K42" s="286">
        <v>2306</v>
      </c>
      <c r="L42" s="287">
        <v>1993</v>
      </c>
      <c r="M42" s="319"/>
      <c r="N42" s="318"/>
      <c r="O42" s="318"/>
      <c r="P42" s="252">
        <f>SUM(C42:O42)</f>
        <v>22021</v>
      </c>
      <c r="Q42" s="131"/>
    </row>
    <row r="43" spans="1:17" s="3" customFormat="1" ht="12.75">
      <c r="A43" s="16" t="s">
        <v>51</v>
      </c>
      <c r="B43" s="265">
        <f>SUM(C43:G43)</f>
        <v>13837</v>
      </c>
      <c r="C43" s="265">
        <f>SUM(C40:C42)</f>
        <v>4205</v>
      </c>
      <c r="D43" s="265">
        <f aca="true" t="shared" si="9" ref="D43:N43">SUM(D40:D42)</f>
        <v>2016</v>
      </c>
      <c r="E43" s="265">
        <f t="shared" si="9"/>
        <v>2603</v>
      </c>
      <c r="F43" s="265">
        <f t="shared" si="9"/>
        <v>2707</v>
      </c>
      <c r="G43" s="265">
        <f t="shared" si="9"/>
        <v>2306</v>
      </c>
      <c r="H43" s="265">
        <f t="shared" si="9"/>
        <v>1150</v>
      </c>
      <c r="I43" s="265">
        <f t="shared" si="9"/>
        <v>1026</v>
      </c>
      <c r="J43" s="265">
        <f t="shared" si="9"/>
        <v>1709</v>
      </c>
      <c r="K43" s="265">
        <f t="shared" si="9"/>
        <v>2306</v>
      </c>
      <c r="L43" s="265">
        <f t="shared" si="9"/>
        <v>1993</v>
      </c>
      <c r="M43" s="265">
        <f t="shared" si="9"/>
        <v>105</v>
      </c>
      <c r="N43" s="265">
        <f t="shared" si="9"/>
        <v>118</v>
      </c>
      <c r="O43" s="265">
        <f>SUM(O40:O42)</f>
        <v>59</v>
      </c>
      <c r="P43" s="265">
        <f>SUM(C43:O43)</f>
        <v>22303</v>
      </c>
      <c r="Q43" s="131"/>
    </row>
    <row r="44" spans="1:16" s="3" customFormat="1" ht="12.75">
      <c r="A44" s="2" t="s">
        <v>291</v>
      </c>
      <c r="B44" s="2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2:16" s="3" customFormat="1" ht="12.75">
      <c r="B45" s="2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="3" customFormat="1" ht="12.75">
      <c r="A46" s="432" t="s">
        <v>402</v>
      </c>
    </row>
    <row r="47" spans="1:16" s="3" customFormat="1" ht="25.5">
      <c r="A47" s="43" t="s">
        <v>6</v>
      </c>
      <c r="B47" s="197" t="str">
        <f>B4</f>
        <v>Summary 
2001 to 2005*</v>
      </c>
      <c r="C47" s="28">
        <v>2001</v>
      </c>
      <c r="D47" s="28">
        <v>2002</v>
      </c>
      <c r="E47" s="28">
        <v>2003</v>
      </c>
      <c r="F47" s="28">
        <v>2004</v>
      </c>
      <c r="G47" s="28">
        <v>2005</v>
      </c>
      <c r="H47" s="28">
        <v>2006</v>
      </c>
      <c r="I47" s="28">
        <v>2007</v>
      </c>
      <c r="J47" s="28">
        <v>2008</v>
      </c>
      <c r="K47" s="28">
        <v>2009</v>
      </c>
      <c r="L47" s="28">
        <v>2010</v>
      </c>
      <c r="M47" s="28">
        <v>2011</v>
      </c>
      <c r="N47" s="347" t="str">
        <f>N4</f>
        <v>(18 month)
2012-2013</v>
      </c>
      <c r="O47" s="347" t="str">
        <f>O4</f>
        <v>FY2014</v>
      </c>
      <c r="P47" s="125" t="str">
        <f>P4</f>
        <v>Total 
2001 ~ FY2014</v>
      </c>
    </row>
    <row r="48" spans="1:16" s="3" customFormat="1" ht="12.75">
      <c r="A48" s="43" t="s">
        <v>421</v>
      </c>
      <c r="B48" s="40" t="s">
        <v>8</v>
      </c>
      <c r="C48" s="40" t="s">
        <v>8</v>
      </c>
      <c r="D48" s="40" t="s">
        <v>8</v>
      </c>
      <c r="E48" s="40" t="s">
        <v>8</v>
      </c>
      <c r="F48" s="40" t="s">
        <v>8</v>
      </c>
      <c r="G48" s="40" t="s">
        <v>8</v>
      </c>
      <c r="H48" s="40" t="s">
        <v>8</v>
      </c>
      <c r="I48" s="40" t="s">
        <v>8</v>
      </c>
      <c r="J48" s="45" t="s">
        <v>8</v>
      </c>
      <c r="K48" s="45" t="s">
        <v>8</v>
      </c>
      <c r="L48" s="45" t="s">
        <v>8</v>
      </c>
      <c r="M48" s="45" t="s">
        <v>8</v>
      </c>
      <c r="N48" s="88" t="s">
        <v>8</v>
      </c>
      <c r="O48" s="88" t="s">
        <v>8</v>
      </c>
      <c r="P48" s="40" t="s">
        <v>8</v>
      </c>
    </row>
    <row r="49" spans="1:18" ht="12.75">
      <c r="A49" s="57" t="s">
        <v>118</v>
      </c>
      <c r="B49" s="252">
        <f>SUM(C49:G49)</f>
        <v>45389</v>
      </c>
      <c r="C49" s="252"/>
      <c r="D49" s="252"/>
      <c r="E49" s="252"/>
      <c r="F49" s="252">
        <v>31538</v>
      </c>
      <c r="G49" s="252">
        <v>13851</v>
      </c>
      <c r="H49" s="252">
        <v>17351</v>
      </c>
      <c r="I49" s="252">
        <v>6572</v>
      </c>
      <c r="J49" s="252">
        <v>21782</v>
      </c>
      <c r="K49" s="252">
        <v>14993</v>
      </c>
      <c r="L49" s="252">
        <v>7062</v>
      </c>
      <c r="M49" s="252">
        <v>16912</v>
      </c>
      <c r="N49" s="254">
        <v>7693</v>
      </c>
      <c r="O49" s="254">
        <v>1509</v>
      </c>
      <c r="P49" s="252">
        <f>SUM(C49:O49)</f>
        <v>139263</v>
      </c>
      <c r="Q49" s="202" t="s">
        <v>295</v>
      </c>
      <c r="R49" s="203"/>
    </row>
    <row r="50" spans="1:18" ht="12.75">
      <c r="A50" s="15" t="s">
        <v>119</v>
      </c>
      <c r="B50" s="252">
        <f>SUM(C50:G50)</f>
        <v>284449</v>
      </c>
      <c r="C50" s="252"/>
      <c r="D50" s="252"/>
      <c r="E50" s="252"/>
      <c r="F50" s="252">
        <v>163631</v>
      </c>
      <c r="G50" s="288">
        <v>120818</v>
      </c>
      <c r="H50" s="252">
        <v>78194</v>
      </c>
      <c r="I50" s="252">
        <v>81933</v>
      </c>
      <c r="J50" s="252">
        <v>74430</v>
      </c>
      <c r="K50" s="252">
        <v>75806</v>
      </c>
      <c r="L50" s="252">
        <v>119500</v>
      </c>
      <c r="M50" s="252">
        <v>103360</v>
      </c>
      <c r="N50" s="254">
        <v>153265</v>
      </c>
      <c r="O50" s="254">
        <v>110650</v>
      </c>
      <c r="P50" s="252">
        <f>SUM(C50:O50)</f>
        <v>1081587</v>
      </c>
      <c r="Q50" s="204" t="s">
        <v>294</v>
      </c>
      <c r="R50" s="203"/>
    </row>
    <row r="51" spans="1:16" ht="12.75">
      <c r="A51" s="15" t="s">
        <v>120</v>
      </c>
      <c r="B51" s="252">
        <f>SUM(C51:G51)</f>
        <v>22558</v>
      </c>
      <c r="C51" s="252"/>
      <c r="D51" s="252"/>
      <c r="E51" s="252"/>
      <c r="F51" s="252">
        <v>8975</v>
      </c>
      <c r="G51" s="252">
        <v>13583</v>
      </c>
      <c r="H51" s="252">
        <v>2832</v>
      </c>
      <c r="I51" s="252">
        <v>2084</v>
      </c>
      <c r="J51" s="252">
        <v>3310</v>
      </c>
      <c r="K51" s="252">
        <v>4992</v>
      </c>
      <c r="L51" s="318"/>
      <c r="M51" s="318"/>
      <c r="N51" s="318"/>
      <c r="O51" s="318"/>
      <c r="P51" s="252">
        <f>SUM(C51:O51)</f>
        <v>35776</v>
      </c>
    </row>
    <row r="52" spans="1:16" ht="12.75">
      <c r="A52" s="16" t="s">
        <v>1</v>
      </c>
      <c r="B52" s="265">
        <f>SUM(C52:G52)</f>
        <v>725321</v>
      </c>
      <c r="C52" s="265">
        <v>30943</v>
      </c>
      <c r="D52" s="265">
        <v>144635</v>
      </c>
      <c r="E52" s="265">
        <v>197347</v>
      </c>
      <c r="F52" s="265">
        <f aca="true" t="shared" si="10" ref="F52:M52">SUM(F49:F51)</f>
        <v>204144</v>
      </c>
      <c r="G52" s="265">
        <f t="shared" si="10"/>
        <v>148252</v>
      </c>
      <c r="H52" s="265">
        <f t="shared" si="10"/>
        <v>98377</v>
      </c>
      <c r="I52" s="265">
        <f t="shared" si="10"/>
        <v>90589</v>
      </c>
      <c r="J52" s="265">
        <f t="shared" si="10"/>
        <v>99522</v>
      </c>
      <c r="K52" s="265">
        <f t="shared" si="10"/>
        <v>95791</v>
      </c>
      <c r="L52" s="265">
        <f t="shared" si="10"/>
        <v>126562</v>
      </c>
      <c r="M52" s="265">
        <f t="shared" si="10"/>
        <v>120272</v>
      </c>
      <c r="N52" s="256">
        <f>SUM(N49:N51)</f>
        <v>160958</v>
      </c>
      <c r="O52" s="256">
        <f>SUM(O49:O51)</f>
        <v>112159</v>
      </c>
      <c r="P52" s="265">
        <f>SUM(C52:O52)</f>
        <v>1629551</v>
      </c>
    </row>
    <row r="53" spans="1:16" ht="12.75">
      <c r="A53" s="70" t="s">
        <v>150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58"/>
      <c r="O53" s="58"/>
      <c r="P53" s="44"/>
    </row>
    <row r="54" spans="1:16" ht="12.75">
      <c r="A54" s="21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58"/>
      <c r="O54" s="58"/>
      <c r="P54" s="44"/>
    </row>
    <row r="55" spans="1:16" ht="12.75">
      <c r="A55" s="43" t="s">
        <v>422</v>
      </c>
      <c r="B55" s="40" t="s">
        <v>8</v>
      </c>
      <c r="C55" s="40" t="s">
        <v>8</v>
      </c>
      <c r="D55" s="40" t="s">
        <v>8</v>
      </c>
      <c r="E55" s="40" t="s">
        <v>8</v>
      </c>
      <c r="F55" s="40" t="s">
        <v>8</v>
      </c>
      <c r="G55" s="40" t="s">
        <v>8</v>
      </c>
      <c r="H55" s="40" t="s">
        <v>8</v>
      </c>
      <c r="I55" s="40" t="s">
        <v>8</v>
      </c>
      <c r="J55" s="45" t="s">
        <v>8</v>
      </c>
      <c r="K55" s="45" t="s">
        <v>8</v>
      </c>
      <c r="L55" s="45" t="s">
        <v>8</v>
      </c>
      <c r="M55" s="45" t="s">
        <v>8</v>
      </c>
      <c r="N55" s="88" t="s">
        <v>8</v>
      </c>
      <c r="O55" s="88" t="s">
        <v>8</v>
      </c>
      <c r="P55" s="40" t="s">
        <v>8</v>
      </c>
    </row>
    <row r="56" spans="1:16" ht="12.75">
      <c r="A56" s="57" t="s">
        <v>118</v>
      </c>
      <c r="B56" s="252">
        <f>SUM(C56:G56)</f>
        <v>680834</v>
      </c>
      <c r="C56" s="252"/>
      <c r="D56" s="252"/>
      <c r="E56" s="252"/>
      <c r="F56" s="252">
        <v>473065</v>
      </c>
      <c r="G56" s="252">
        <v>207769</v>
      </c>
      <c r="H56" s="252">
        <v>260265</v>
      </c>
      <c r="I56" s="252">
        <v>101184</v>
      </c>
      <c r="J56" s="252">
        <v>109975</v>
      </c>
      <c r="K56" s="252">
        <v>225004</v>
      </c>
      <c r="L56" s="252">
        <v>108815</v>
      </c>
      <c r="M56" s="252">
        <v>264120</v>
      </c>
      <c r="N56" s="254">
        <v>115970</v>
      </c>
      <c r="O56" s="254">
        <v>22375</v>
      </c>
      <c r="P56" s="252">
        <f>SUM(C56:O56)</f>
        <v>1888542</v>
      </c>
    </row>
    <row r="57" spans="1:16" ht="12.75">
      <c r="A57" s="15" t="s">
        <v>119</v>
      </c>
      <c r="B57" s="252">
        <f>SUM(C57:G57)</f>
        <v>4266377</v>
      </c>
      <c r="C57" s="252"/>
      <c r="D57" s="252"/>
      <c r="E57" s="252"/>
      <c r="F57" s="252">
        <v>2454112</v>
      </c>
      <c r="G57" s="252">
        <v>1812265</v>
      </c>
      <c r="H57" s="252">
        <v>1172904</v>
      </c>
      <c r="I57" s="252">
        <v>1252717</v>
      </c>
      <c r="J57" s="252">
        <v>1349840</v>
      </c>
      <c r="K57" s="252">
        <v>1141755</v>
      </c>
      <c r="L57" s="252">
        <v>1516908</v>
      </c>
      <c r="M57" s="252">
        <v>1642577</v>
      </c>
      <c r="N57" s="254">
        <v>2379957</v>
      </c>
      <c r="O57" s="254">
        <v>1675718</v>
      </c>
      <c r="P57" s="252">
        <f>SUM(C57:O57)</f>
        <v>16398753</v>
      </c>
    </row>
    <row r="58" spans="1:16" ht="12.75">
      <c r="A58" s="15" t="s">
        <v>120</v>
      </c>
      <c r="B58" s="252">
        <f>SUM(C58:G58)</f>
        <v>338360</v>
      </c>
      <c r="C58" s="252"/>
      <c r="D58" s="252"/>
      <c r="E58" s="252"/>
      <c r="F58" s="252">
        <v>134622</v>
      </c>
      <c r="G58" s="252">
        <v>203738</v>
      </c>
      <c r="H58" s="252">
        <v>42480</v>
      </c>
      <c r="I58" s="252">
        <v>31536</v>
      </c>
      <c r="J58" s="252">
        <v>46637</v>
      </c>
      <c r="K58" s="252">
        <v>43977</v>
      </c>
      <c r="L58" s="318"/>
      <c r="M58" s="318"/>
      <c r="N58" s="318"/>
      <c r="O58" s="318"/>
      <c r="P58" s="252">
        <f>SUM(C58:O58)</f>
        <v>502990</v>
      </c>
    </row>
    <row r="59" spans="1:16" ht="12.75">
      <c r="A59" s="16" t="s">
        <v>1</v>
      </c>
      <c r="B59" s="265">
        <f>SUM(C59:G59)</f>
        <v>10858893</v>
      </c>
      <c r="C59" s="265">
        <v>464149</v>
      </c>
      <c r="D59" s="265">
        <v>2164648</v>
      </c>
      <c r="E59" s="265">
        <v>2944525</v>
      </c>
      <c r="F59" s="265">
        <f aca="true" t="shared" si="11" ref="F59:K59">SUM(F56:F58)</f>
        <v>3061799</v>
      </c>
      <c r="G59" s="265">
        <f t="shared" si="11"/>
        <v>2223772</v>
      </c>
      <c r="H59" s="265">
        <f t="shared" si="11"/>
        <v>1475649</v>
      </c>
      <c r="I59" s="265">
        <f t="shared" si="11"/>
        <v>1385437</v>
      </c>
      <c r="J59" s="265">
        <f t="shared" si="11"/>
        <v>1506452</v>
      </c>
      <c r="K59" s="265">
        <f t="shared" si="11"/>
        <v>1410736</v>
      </c>
      <c r="L59" s="265">
        <f>SUM(L56:L58)</f>
        <v>1625723</v>
      </c>
      <c r="M59" s="265">
        <f>SUM(M56:M58)</f>
        <v>1906697</v>
      </c>
      <c r="N59" s="256">
        <f>SUM(N56:N58)</f>
        <v>2495927</v>
      </c>
      <c r="O59" s="256">
        <f>SUM(O56:O58)</f>
        <v>1698093</v>
      </c>
      <c r="P59" s="265">
        <f>SUM(C59:O59)</f>
        <v>24363607</v>
      </c>
    </row>
    <row r="60" spans="1:16" ht="12.75">
      <c r="A60" s="21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58"/>
      <c r="O60" s="58"/>
      <c r="P60" s="44"/>
    </row>
    <row r="61" spans="1:16" ht="12.75">
      <c r="A61" s="43" t="s">
        <v>426</v>
      </c>
      <c r="B61" s="44" t="s">
        <v>411</v>
      </c>
      <c r="C61" s="44" t="s">
        <v>411</v>
      </c>
      <c r="D61" s="44" t="s">
        <v>411</v>
      </c>
      <c r="E61" s="44" t="s">
        <v>411</v>
      </c>
      <c r="F61" s="44" t="s">
        <v>411</v>
      </c>
      <c r="G61" s="44" t="s">
        <v>411</v>
      </c>
      <c r="H61" s="44" t="s">
        <v>411</v>
      </c>
      <c r="I61" s="44" t="s">
        <v>411</v>
      </c>
      <c r="J61" s="85" t="s">
        <v>411</v>
      </c>
      <c r="K61" s="85" t="s">
        <v>411</v>
      </c>
      <c r="L61" s="85" t="s">
        <v>411</v>
      </c>
      <c r="M61" s="85" t="s">
        <v>411</v>
      </c>
      <c r="N61" s="89" t="s">
        <v>411</v>
      </c>
      <c r="O61" s="89" t="s">
        <v>411</v>
      </c>
      <c r="P61" s="44" t="s">
        <v>411</v>
      </c>
    </row>
    <row r="62" spans="1:16" ht="12.75">
      <c r="A62" s="57" t="s">
        <v>118</v>
      </c>
      <c r="B62" s="252">
        <f>SUM(C62:G62)</f>
        <v>9928</v>
      </c>
      <c r="C62" s="252"/>
      <c r="D62" s="252"/>
      <c r="E62" s="252"/>
      <c r="F62" s="252">
        <v>6380</v>
      </c>
      <c r="G62" s="252">
        <v>3548</v>
      </c>
      <c r="H62" s="252">
        <v>3861</v>
      </c>
      <c r="I62" s="252">
        <v>1796</v>
      </c>
      <c r="J62" s="252">
        <v>1399</v>
      </c>
      <c r="K62" s="252">
        <v>2935</v>
      </c>
      <c r="L62" s="252">
        <v>1915</v>
      </c>
      <c r="M62" s="252">
        <v>4650</v>
      </c>
      <c r="N62" s="254">
        <v>1736</v>
      </c>
      <c r="O62" s="254">
        <v>678</v>
      </c>
      <c r="P62" s="252">
        <f>SUM(C62:O62)</f>
        <v>28898</v>
      </c>
    </row>
    <row r="63" spans="1:16" ht="12.75">
      <c r="A63" s="15" t="s">
        <v>119</v>
      </c>
      <c r="B63" s="252">
        <f>SUM(C63:G63)</f>
        <v>62229</v>
      </c>
      <c r="C63" s="252"/>
      <c r="D63" s="252"/>
      <c r="E63" s="252"/>
      <c r="F63" s="252">
        <v>33751</v>
      </c>
      <c r="G63" s="252">
        <v>28478</v>
      </c>
      <c r="H63" s="252">
        <v>21539</v>
      </c>
      <c r="I63" s="252">
        <v>15252</v>
      </c>
      <c r="J63" s="252">
        <v>14186</v>
      </c>
      <c r="K63" s="254">
        <v>15312</v>
      </c>
      <c r="L63" s="254">
        <v>20887</v>
      </c>
      <c r="M63" s="254">
        <v>69567</v>
      </c>
      <c r="N63" s="254">
        <v>28158</v>
      </c>
      <c r="O63" s="254">
        <v>20492</v>
      </c>
      <c r="P63" s="252">
        <f>SUM(C63:O63)</f>
        <v>267622</v>
      </c>
    </row>
    <row r="64" spans="1:16" ht="12.75">
      <c r="A64" s="15" t="s">
        <v>120</v>
      </c>
      <c r="B64" s="252">
        <f>SUM(C64:G64)</f>
        <v>7555</v>
      </c>
      <c r="C64" s="252"/>
      <c r="D64" s="252"/>
      <c r="E64" s="252"/>
      <c r="F64" s="252">
        <v>3199</v>
      </c>
      <c r="G64" s="252">
        <v>4356</v>
      </c>
      <c r="H64" s="252">
        <v>901</v>
      </c>
      <c r="I64" s="252">
        <v>454</v>
      </c>
      <c r="J64" s="252">
        <v>853</v>
      </c>
      <c r="K64" s="252">
        <v>534</v>
      </c>
      <c r="L64" s="318"/>
      <c r="M64" s="318"/>
      <c r="N64" s="318"/>
      <c r="O64" s="318"/>
      <c r="P64" s="252">
        <f>SUM(C64:O64)</f>
        <v>10297</v>
      </c>
    </row>
    <row r="65" spans="1:16" ht="12.75">
      <c r="A65" s="397" t="s">
        <v>1</v>
      </c>
      <c r="B65" s="265">
        <f>SUM(C65:G65)</f>
        <v>151121</v>
      </c>
      <c r="C65" s="265">
        <v>6364</v>
      </c>
      <c r="D65" s="265">
        <v>26750</v>
      </c>
      <c r="E65" s="265">
        <v>38155</v>
      </c>
      <c r="F65" s="265">
        <f>SUM(F62:F64)+140</f>
        <v>43470</v>
      </c>
      <c r="G65" s="265">
        <f aca="true" t="shared" si="12" ref="G65:M65">SUM(G62:G64)</f>
        <v>36382</v>
      </c>
      <c r="H65" s="265">
        <f t="shared" si="12"/>
        <v>26301</v>
      </c>
      <c r="I65" s="265">
        <f t="shared" si="12"/>
        <v>17502</v>
      </c>
      <c r="J65" s="265">
        <f t="shared" si="12"/>
        <v>16438</v>
      </c>
      <c r="K65" s="265">
        <f t="shared" si="12"/>
        <v>18781</v>
      </c>
      <c r="L65" s="265">
        <f t="shared" si="12"/>
        <v>22802</v>
      </c>
      <c r="M65" s="265">
        <f t="shared" si="12"/>
        <v>74217</v>
      </c>
      <c r="N65" s="256">
        <f>SUM(N62:N64)</f>
        <v>29894</v>
      </c>
      <c r="O65" s="256">
        <f>SUM(O62:O64)</f>
        <v>21170</v>
      </c>
      <c r="P65" s="265">
        <f>SUM(C65:O65)</f>
        <v>378226</v>
      </c>
    </row>
    <row r="66" spans="1:16" ht="12.75">
      <c r="A66" s="21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58"/>
      <c r="O66" s="58"/>
      <c r="P66" s="44"/>
    </row>
    <row r="67" spans="1:16" ht="12.75">
      <c r="A67" s="43" t="s">
        <v>423</v>
      </c>
      <c r="B67" s="44" t="s">
        <v>11</v>
      </c>
      <c r="C67" s="44" t="s">
        <v>11</v>
      </c>
      <c r="D67" s="44" t="s">
        <v>11</v>
      </c>
      <c r="E67" s="44" t="s">
        <v>11</v>
      </c>
      <c r="F67" s="44" t="s">
        <v>11</v>
      </c>
      <c r="G67" s="44" t="s">
        <v>11</v>
      </c>
      <c r="H67" s="44" t="s">
        <v>11</v>
      </c>
      <c r="I67" s="44" t="s">
        <v>11</v>
      </c>
      <c r="J67" s="85" t="s">
        <v>11</v>
      </c>
      <c r="K67" s="85" t="s">
        <v>11</v>
      </c>
      <c r="L67" s="85" t="s">
        <v>11</v>
      </c>
      <c r="M67" s="85" t="s">
        <v>11</v>
      </c>
      <c r="N67" s="89" t="s">
        <v>11</v>
      </c>
      <c r="O67" s="89" t="s">
        <v>11</v>
      </c>
      <c r="P67" s="44" t="s">
        <v>11</v>
      </c>
    </row>
    <row r="68" spans="1:16" ht="12.75">
      <c r="A68" s="57" t="s">
        <v>118</v>
      </c>
      <c r="B68" s="252">
        <f>SUM(C68:G68)</f>
        <v>16911</v>
      </c>
      <c r="C68" s="252"/>
      <c r="D68" s="252"/>
      <c r="E68" s="252"/>
      <c r="F68" s="252">
        <v>4576</v>
      </c>
      <c r="G68" s="252">
        <v>12335</v>
      </c>
      <c r="H68" s="252">
        <v>2855</v>
      </c>
      <c r="I68" s="252">
        <v>6303</v>
      </c>
      <c r="J68" s="252">
        <v>18311</v>
      </c>
      <c r="K68" s="254">
        <v>1368</v>
      </c>
      <c r="L68" s="254">
        <v>104998</v>
      </c>
      <c r="M68" s="254">
        <v>4361</v>
      </c>
      <c r="N68" s="254">
        <v>3407</v>
      </c>
      <c r="O68" s="254">
        <v>19</v>
      </c>
      <c r="P68" s="252">
        <f>SUM(C68:O68)</f>
        <v>158533</v>
      </c>
    </row>
    <row r="69" spans="1:16" ht="12.75">
      <c r="A69" s="15" t="s">
        <v>119</v>
      </c>
      <c r="B69" s="252">
        <f>SUM(C69:G69)</f>
        <v>216052</v>
      </c>
      <c r="C69" s="252"/>
      <c r="D69" s="252"/>
      <c r="E69" s="252"/>
      <c r="F69" s="252">
        <v>40439</v>
      </c>
      <c r="G69" s="252">
        <v>175613</v>
      </c>
      <c r="H69" s="252">
        <v>171062</v>
      </c>
      <c r="I69" s="252">
        <v>32282</v>
      </c>
      <c r="J69" s="252">
        <v>38647</v>
      </c>
      <c r="K69" s="254">
        <v>42012</v>
      </c>
      <c r="L69" s="254">
        <v>148987</v>
      </c>
      <c r="M69" s="254">
        <v>56381</v>
      </c>
      <c r="N69" s="254">
        <v>138155</v>
      </c>
      <c r="O69" s="254">
        <v>30487</v>
      </c>
      <c r="P69" s="252">
        <f>SUM(C69:O69)</f>
        <v>874065</v>
      </c>
    </row>
    <row r="70" spans="1:16" ht="12.75">
      <c r="A70" s="15" t="s">
        <v>120</v>
      </c>
      <c r="B70" s="252">
        <f>SUM(C70:G70)</f>
        <v>11682</v>
      </c>
      <c r="C70" s="252"/>
      <c r="D70" s="252"/>
      <c r="E70" s="252"/>
      <c r="F70" s="252">
        <v>9629</v>
      </c>
      <c r="G70" s="252">
        <v>2053</v>
      </c>
      <c r="H70" s="252">
        <v>27913</v>
      </c>
      <c r="I70" s="252">
        <v>2228</v>
      </c>
      <c r="J70" s="252">
        <v>6396</v>
      </c>
      <c r="K70" s="254">
        <v>10132</v>
      </c>
      <c r="L70" s="318"/>
      <c r="M70" s="318"/>
      <c r="N70" s="318"/>
      <c r="O70" s="318"/>
      <c r="P70" s="252">
        <f>SUM(C70:O70)</f>
        <v>58351</v>
      </c>
    </row>
    <row r="71" spans="1:16" ht="12.75">
      <c r="A71" s="16" t="s">
        <v>1</v>
      </c>
      <c r="B71" s="256">
        <f>SUM(C71:G71)</f>
        <v>400256</v>
      </c>
      <c r="C71" s="265">
        <v>33802</v>
      </c>
      <c r="D71" s="265">
        <v>33504</v>
      </c>
      <c r="E71" s="265">
        <v>88305</v>
      </c>
      <c r="F71" s="265">
        <f>SUM(F68:F70)</f>
        <v>54644</v>
      </c>
      <c r="G71" s="256">
        <v>190001</v>
      </c>
      <c r="H71" s="256">
        <f aca="true" t="shared" si="13" ref="H71:M71">SUM(H68:H70)</f>
        <v>201830</v>
      </c>
      <c r="I71" s="256">
        <f t="shared" si="13"/>
        <v>40813</v>
      </c>
      <c r="J71" s="256">
        <f t="shared" si="13"/>
        <v>63354</v>
      </c>
      <c r="K71" s="256">
        <f t="shared" si="13"/>
        <v>53512</v>
      </c>
      <c r="L71" s="256">
        <f t="shared" si="13"/>
        <v>253985</v>
      </c>
      <c r="M71" s="256">
        <f t="shared" si="13"/>
        <v>60742</v>
      </c>
      <c r="N71" s="256">
        <f>SUM(N68:N70)</f>
        <v>141562</v>
      </c>
      <c r="O71" s="256">
        <f>SUM(O68:O70)</f>
        <v>30506</v>
      </c>
      <c r="P71" s="265">
        <f>SUM(C71:O71)</f>
        <v>1246560</v>
      </c>
    </row>
    <row r="72" spans="1:16" ht="12.75">
      <c r="A72" s="21"/>
      <c r="B72" s="58"/>
      <c r="C72" s="44"/>
      <c r="D72" s="44"/>
      <c r="E72" s="44"/>
      <c r="F72" s="44"/>
      <c r="G72" s="58"/>
      <c r="H72" s="58"/>
      <c r="I72" s="58"/>
      <c r="J72" s="58"/>
      <c r="K72" s="58"/>
      <c r="L72" s="58"/>
      <c r="M72" s="58"/>
      <c r="N72" s="58"/>
      <c r="O72" s="58"/>
      <c r="P72" s="44"/>
    </row>
    <row r="73" spans="1:16" ht="12.75">
      <c r="A73" s="43" t="s">
        <v>424</v>
      </c>
      <c r="B73" s="44" t="s">
        <v>11</v>
      </c>
      <c r="C73" s="44" t="s">
        <v>11</v>
      </c>
      <c r="D73" s="44" t="s">
        <v>11</v>
      </c>
      <c r="E73" s="44" t="s">
        <v>11</v>
      </c>
      <c r="F73" s="44" t="s">
        <v>11</v>
      </c>
      <c r="G73" s="44" t="s">
        <v>11</v>
      </c>
      <c r="H73" s="44" t="s">
        <v>11</v>
      </c>
      <c r="I73" s="44" t="s">
        <v>11</v>
      </c>
      <c r="J73" s="85" t="s">
        <v>11</v>
      </c>
      <c r="K73" s="85" t="s">
        <v>11</v>
      </c>
      <c r="L73" s="85" t="s">
        <v>11</v>
      </c>
      <c r="M73" s="85" t="s">
        <v>11</v>
      </c>
      <c r="N73" s="85" t="s">
        <v>11</v>
      </c>
      <c r="O73" s="85" t="s">
        <v>11</v>
      </c>
      <c r="P73" s="44" t="s">
        <v>11</v>
      </c>
    </row>
    <row r="74" spans="1:16" ht="12.75">
      <c r="A74" s="57" t="s">
        <v>118</v>
      </c>
      <c r="B74" s="254">
        <f>SUM(C74:G74)</f>
        <v>310993</v>
      </c>
      <c r="C74" s="252"/>
      <c r="D74" s="252"/>
      <c r="E74" s="252"/>
      <c r="F74" s="252">
        <v>68637</v>
      </c>
      <c r="G74" s="254">
        <v>242356</v>
      </c>
      <c r="H74" s="254">
        <v>44603</v>
      </c>
      <c r="I74" s="254">
        <v>99355</v>
      </c>
      <c r="J74" s="254">
        <v>230222</v>
      </c>
      <c r="K74" s="254">
        <v>13529</v>
      </c>
      <c r="L74" s="254">
        <v>1891984</v>
      </c>
      <c r="M74" s="254">
        <v>67666</v>
      </c>
      <c r="N74" s="254">
        <v>68120</v>
      </c>
      <c r="O74" s="254">
        <v>347</v>
      </c>
      <c r="P74" s="252">
        <f>SUM(C74:O74)</f>
        <v>2726819</v>
      </c>
    </row>
    <row r="75" spans="1:16" ht="12.75">
      <c r="A75" s="15" t="s">
        <v>119</v>
      </c>
      <c r="B75" s="254">
        <f>SUM(C75:G75)</f>
        <v>3768859</v>
      </c>
      <c r="C75" s="252"/>
      <c r="D75" s="252"/>
      <c r="E75" s="252"/>
      <c r="F75" s="252">
        <v>606584</v>
      </c>
      <c r="G75" s="254">
        <v>3162275</v>
      </c>
      <c r="H75" s="254">
        <v>2681281</v>
      </c>
      <c r="I75" s="254">
        <v>535493</v>
      </c>
      <c r="J75" s="254">
        <v>675862</v>
      </c>
      <c r="K75" s="254">
        <v>628140</v>
      </c>
      <c r="L75" s="254">
        <v>2723921</v>
      </c>
      <c r="M75" s="254">
        <v>1026019</v>
      </c>
      <c r="N75" s="254">
        <v>2541686</v>
      </c>
      <c r="O75" s="254">
        <v>578990</v>
      </c>
      <c r="P75" s="252">
        <f>SUM(C75:O75)</f>
        <v>15160251</v>
      </c>
    </row>
    <row r="76" spans="1:16" ht="12.75">
      <c r="A76" s="15" t="s">
        <v>120</v>
      </c>
      <c r="B76" s="254">
        <f>SUM(C76:G76)</f>
        <v>176049</v>
      </c>
      <c r="C76" s="252"/>
      <c r="D76" s="252"/>
      <c r="E76" s="252"/>
      <c r="F76" s="252">
        <v>144434</v>
      </c>
      <c r="G76" s="254">
        <v>31615</v>
      </c>
      <c r="H76" s="254">
        <v>419977</v>
      </c>
      <c r="I76" s="254">
        <v>44563</v>
      </c>
      <c r="J76" s="254">
        <v>127836</v>
      </c>
      <c r="K76" s="254">
        <v>175841</v>
      </c>
      <c r="L76" s="318"/>
      <c r="M76" s="318"/>
      <c r="N76" s="318"/>
      <c r="O76" s="318"/>
      <c r="P76" s="252">
        <f>SUM(C76:O76)</f>
        <v>944266</v>
      </c>
    </row>
    <row r="77" spans="1:16" ht="12.75">
      <c r="A77" s="16" t="s">
        <v>1</v>
      </c>
      <c r="B77" s="256">
        <f>SUM(C77:G77)</f>
        <v>6885363</v>
      </c>
      <c r="C77" s="265">
        <v>616099</v>
      </c>
      <c r="D77" s="265">
        <v>502563</v>
      </c>
      <c r="E77" s="265">
        <v>1510800</v>
      </c>
      <c r="F77" s="265">
        <f>SUM(F74:F76)</f>
        <v>819655</v>
      </c>
      <c r="G77" s="256">
        <v>3436246</v>
      </c>
      <c r="H77" s="256">
        <f aca="true" t="shared" si="14" ref="H77:M77">SUM(H74:H76)</f>
        <v>3145861</v>
      </c>
      <c r="I77" s="256">
        <f t="shared" si="14"/>
        <v>679411</v>
      </c>
      <c r="J77" s="256">
        <f t="shared" si="14"/>
        <v>1033920</v>
      </c>
      <c r="K77" s="256">
        <f t="shared" si="14"/>
        <v>817510</v>
      </c>
      <c r="L77" s="256">
        <f t="shared" si="14"/>
        <v>4615905</v>
      </c>
      <c r="M77" s="256">
        <f t="shared" si="14"/>
        <v>1093685</v>
      </c>
      <c r="N77" s="256">
        <f>SUM(N74:N76)</f>
        <v>2609806</v>
      </c>
      <c r="O77" s="256">
        <f>SUM(O74:O76)</f>
        <v>579337</v>
      </c>
      <c r="P77" s="265">
        <f>SUM(C77:O77)</f>
        <v>21460798</v>
      </c>
    </row>
    <row r="78" spans="1:16" ht="12.75">
      <c r="A78" s="2" t="str">
        <f>A44</f>
        <v>* These columns/years have been hidden in this worksheet for viewing &amp; printing purposes</v>
      </c>
      <c r="B78" s="6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2"/>
      <c r="B79" s="6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5.75">
      <c r="A80" s="432" t="s">
        <v>19</v>
      </c>
      <c r="B80" s="201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1:19" ht="25.5">
      <c r="A81" s="43" t="s">
        <v>6</v>
      </c>
      <c r="B81" s="197" t="str">
        <f>B4</f>
        <v>Summary 
2001 to 2005*</v>
      </c>
      <c r="C81" s="28">
        <f>C4</f>
        <v>2001</v>
      </c>
      <c r="D81" s="28">
        <f aca="true" t="shared" si="15" ref="D81:N81">D4</f>
        <v>2002</v>
      </c>
      <c r="E81" s="28">
        <f t="shared" si="15"/>
        <v>2003</v>
      </c>
      <c r="F81" s="28">
        <f t="shared" si="15"/>
        <v>2004</v>
      </c>
      <c r="G81" s="28">
        <f t="shared" si="15"/>
        <v>2005</v>
      </c>
      <c r="H81" s="28">
        <f t="shared" si="15"/>
        <v>2006</v>
      </c>
      <c r="I81" s="28">
        <f t="shared" si="15"/>
        <v>2007</v>
      </c>
      <c r="J81" s="28">
        <f t="shared" si="15"/>
        <v>2008</v>
      </c>
      <c r="K81" s="28">
        <f t="shared" si="15"/>
        <v>2009</v>
      </c>
      <c r="L81" s="28">
        <f t="shared" si="15"/>
        <v>2010</v>
      </c>
      <c r="M81" s="28">
        <f t="shared" si="15"/>
        <v>2011</v>
      </c>
      <c r="N81" s="197" t="str">
        <f t="shared" si="15"/>
        <v>(18 month)
2012-2013</v>
      </c>
      <c r="O81" s="197" t="str">
        <f>O4</f>
        <v>FY2014</v>
      </c>
      <c r="P81" s="40"/>
      <c r="Q81" s="3"/>
      <c r="R81" s="3"/>
      <c r="S81" s="3"/>
    </row>
    <row r="82" spans="1:19" ht="12.75">
      <c r="A82" s="43" t="s">
        <v>421</v>
      </c>
      <c r="B82" s="40" t="s">
        <v>8</v>
      </c>
      <c r="C82" s="40" t="s">
        <v>8</v>
      </c>
      <c r="D82" s="40" t="s">
        <v>8</v>
      </c>
      <c r="E82" s="40" t="s">
        <v>8</v>
      </c>
      <c r="F82" s="40" t="s">
        <v>8</v>
      </c>
      <c r="G82" s="40" t="s">
        <v>24</v>
      </c>
      <c r="H82" s="40" t="s">
        <v>24</v>
      </c>
      <c r="I82" s="40" t="s">
        <v>8</v>
      </c>
      <c r="J82" s="45" t="s">
        <v>8</v>
      </c>
      <c r="K82" s="45" t="s">
        <v>8</v>
      </c>
      <c r="L82" s="45" t="s">
        <v>8</v>
      </c>
      <c r="M82" s="45" t="s">
        <v>8</v>
      </c>
      <c r="N82" s="45" t="s">
        <v>8</v>
      </c>
      <c r="O82" s="45" t="s">
        <v>8</v>
      </c>
      <c r="P82" s="40"/>
      <c r="Q82" s="3"/>
      <c r="R82" s="3"/>
      <c r="S82" s="3"/>
    </row>
    <row r="83" spans="1:19" ht="12.75">
      <c r="A83" s="57" t="s">
        <v>118</v>
      </c>
      <c r="B83" s="252">
        <f>SUM(C83:G83)</f>
        <v>34081</v>
      </c>
      <c r="C83" s="252"/>
      <c r="D83" s="252"/>
      <c r="E83" s="252"/>
      <c r="F83" s="252">
        <v>13099</v>
      </c>
      <c r="G83" s="252">
        <v>20982</v>
      </c>
      <c r="H83" s="252">
        <v>11603</v>
      </c>
      <c r="I83" s="252">
        <v>14759</v>
      </c>
      <c r="J83" s="252">
        <v>8440</v>
      </c>
      <c r="K83" s="252">
        <v>13000</v>
      </c>
      <c r="L83" s="252">
        <v>17988</v>
      </c>
      <c r="M83" s="252">
        <v>19178</v>
      </c>
      <c r="N83" s="254">
        <v>3082</v>
      </c>
      <c r="O83" s="254">
        <v>8510</v>
      </c>
      <c r="P83" s="40"/>
      <c r="Q83" s="3"/>
      <c r="R83" s="3"/>
      <c r="S83" s="3"/>
    </row>
    <row r="84" spans="1:19" ht="12.75">
      <c r="A84" s="15" t="s">
        <v>119</v>
      </c>
      <c r="B84" s="252">
        <f>SUM(C84:G84)</f>
        <v>158451</v>
      </c>
      <c r="C84" s="252"/>
      <c r="D84" s="252"/>
      <c r="E84" s="252"/>
      <c r="F84" s="252">
        <v>93010</v>
      </c>
      <c r="G84" s="252">
        <v>65441</v>
      </c>
      <c r="H84" s="252">
        <v>31020</v>
      </c>
      <c r="I84" s="252">
        <v>153001</v>
      </c>
      <c r="J84" s="252">
        <v>46312</v>
      </c>
      <c r="K84" s="252">
        <v>102876</v>
      </c>
      <c r="L84" s="252">
        <v>80452</v>
      </c>
      <c r="M84" s="252">
        <v>124518</v>
      </c>
      <c r="N84" s="254">
        <v>127375</v>
      </c>
      <c r="O84" s="254">
        <v>158740</v>
      </c>
      <c r="P84" s="40"/>
      <c r="Q84" s="3"/>
      <c r="R84" s="3"/>
      <c r="S84" s="3"/>
    </row>
    <row r="85" spans="1:19" ht="12.75">
      <c r="A85" s="15" t="s">
        <v>120</v>
      </c>
      <c r="B85" s="252">
        <f>SUM(C85:G85)</f>
        <v>15741</v>
      </c>
      <c r="C85" s="252"/>
      <c r="D85" s="252"/>
      <c r="E85" s="252"/>
      <c r="F85" s="252">
        <v>6074</v>
      </c>
      <c r="G85" s="252">
        <v>9667</v>
      </c>
      <c r="H85" s="252">
        <v>3116</v>
      </c>
      <c r="I85" s="252">
        <v>3825</v>
      </c>
      <c r="J85" s="252">
        <v>4523</v>
      </c>
      <c r="K85" s="252">
        <v>5860</v>
      </c>
      <c r="L85" s="318"/>
      <c r="M85" s="318"/>
      <c r="N85" s="318"/>
      <c r="O85" s="318"/>
      <c r="P85" s="40"/>
      <c r="Q85" s="3"/>
      <c r="R85" s="3"/>
      <c r="S85" s="3"/>
    </row>
    <row r="86" spans="1:19" ht="12.75">
      <c r="A86" s="15" t="s">
        <v>121</v>
      </c>
      <c r="B86" s="252">
        <f>SUM(C86:G86)</f>
        <v>0</v>
      </c>
      <c r="C86" s="252"/>
      <c r="D86" s="252"/>
      <c r="E86" s="252"/>
      <c r="F86" s="252"/>
      <c r="G86" s="252"/>
      <c r="H86" s="252"/>
      <c r="I86" s="252"/>
      <c r="J86" s="252"/>
      <c r="K86" s="252">
        <v>354</v>
      </c>
      <c r="L86" s="252"/>
      <c r="M86" s="252"/>
      <c r="N86" s="252"/>
      <c r="O86" s="252"/>
      <c r="P86" s="40"/>
      <c r="Q86" s="3"/>
      <c r="R86" s="3"/>
      <c r="S86" s="3"/>
    </row>
    <row r="87" spans="1:16" ht="12.75">
      <c r="A87" s="16" t="s">
        <v>1</v>
      </c>
      <c r="B87" s="265">
        <f>SUM(C87:G87)</f>
        <v>484514</v>
      </c>
      <c r="C87" s="265">
        <v>62505</v>
      </c>
      <c r="D87" s="265">
        <v>51226</v>
      </c>
      <c r="E87" s="265">
        <v>162510</v>
      </c>
      <c r="F87" s="265">
        <f>SUM(F83:F85)</f>
        <v>112183</v>
      </c>
      <c r="G87" s="265">
        <f>SUM(G83:G85)</f>
        <v>96090</v>
      </c>
      <c r="H87" s="265">
        <f>SUM(H83:H85)</f>
        <v>45739</v>
      </c>
      <c r="I87" s="265">
        <f>SUM(I83:I85)</f>
        <v>171585</v>
      </c>
      <c r="J87" s="265">
        <f>SUM(J83:J85)</f>
        <v>59275</v>
      </c>
      <c r="K87" s="265">
        <f>SUM(K83:K86)</f>
        <v>122090</v>
      </c>
      <c r="L87" s="265">
        <f>SUM(L83:L86)</f>
        <v>98440</v>
      </c>
      <c r="M87" s="265">
        <f>SUM(M83:M86)</f>
        <v>143696</v>
      </c>
      <c r="N87" s="265">
        <f>SUM(N83:N86)</f>
        <v>130457</v>
      </c>
      <c r="O87" s="265">
        <f>SUM(O83:O86)</f>
        <v>167250</v>
      </c>
      <c r="P87" s="44"/>
    </row>
    <row r="88" spans="1:16" ht="12.75">
      <c r="A88" s="21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3" t="s">
        <v>422</v>
      </c>
      <c r="B89" s="40" t="s">
        <v>8</v>
      </c>
      <c r="C89" s="40" t="s">
        <v>8</v>
      </c>
      <c r="D89" s="40" t="s">
        <v>8</v>
      </c>
      <c r="E89" s="40" t="s">
        <v>8</v>
      </c>
      <c r="F89" s="40" t="s">
        <v>8</v>
      </c>
      <c r="G89" s="40" t="s">
        <v>8</v>
      </c>
      <c r="H89" s="40" t="s">
        <v>8</v>
      </c>
      <c r="I89" s="40" t="s">
        <v>8</v>
      </c>
      <c r="J89" s="45" t="s">
        <v>8</v>
      </c>
      <c r="K89" s="45" t="s">
        <v>8</v>
      </c>
      <c r="L89" s="45" t="s">
        <v>8</v>
      </c>
      <c r="M89" s="45" t="s">
        <v>8</v>
      </c>
      <c r="N89" s="88" t="s">
        <v>8</v>
      </c>
      <c r="O89" s="88" t="s">
        <v>8</v>
      </c>
      <c r="P89" s="40"/>
    </row>
    <row r="90" spans="1:16" ht="12.75">
      <c r="A90" s="57" t="s">
        <v>118</v>
      </c>
      <c r="B90" s="252">
        <f>SUM(C90:G90)</f>
        <v>314730</v>
      </c>
      <c r="C90" s="252"/>
      <c r="D90" s="252"/>
      <c r="E90" s="252"/>
      <c r="F90" s="252"/>
      <c r="G90" s="252">
        <v>314730</v>
      </c>
      <c r="H90" s="252">
        <v>173295</v>
      </c>
      <c r="I90" s="252">
        <v>218561</v>
      </c>
      <c r="J90" s="252">
        <v>117747</v>
      </c>
      <c r="K90" s="252">
        <v>201659</v>
      </c>
      <c r="L90" s="252">
        <v>271627</v>
      </c>
      <c r="M90" s="252">
        <v>288849</v>
      </c>
      <c r="N90" s="254">
        <v>46239</v>
      </c>
      <c r="O90" s="254">
        <v>132229</v>
      </c>
      <c r="P90" s="44"/>
    </row>
    <row r="91" spans="1:16" ht="12.75">
      <c r="A91" s="15" t="s">
        <v>119</v>
      </c>
      <c r="B91" s="252">
        <f>SUM(C91:G91)</f>
        <v>981618</v>
      </c>
      <c r="C91" s="252"/>
      <c r="D91" s="252"/>
      <c r="E91" s="252"/>
      <c r="F91" s="252"/>
      <c r="G91" s="252">
        <v>981618</v>
      </c>
      <c r="H91" s="252">
        <v>454080</v>
      </c>
      <c r="I91" s="252">
        <v>2287261</v>
      </c>
      <c r="J91" s="252">
        <v>717163</v>
      </c>
      <c r="K91" s="252">
        <v>1496091</v>
      </c>
      <c r="L91" s="252">
        <v>1247663</v>
      </c>
      <c r="M91" s="252">
        <v>1971230</v>
      </c>
      <c r="N91" s="254">
        <v>1934753</v>
      </c>
      <c r="O91" s="254">
        <v>2692548</v>
      </c>
      <c r="P91" s="44"/>
    </row>
    <row r="92" spans="1:16" ht="12.75">
      <c r="A92" s="15" t="s">
        <v>120</v>
      </c>
      <c r="B92" s="252">
        <f>SUM(C92:G92)</f>
        <v>145005</v>
      </c>
      <c r="C92" s="252"/>
      <c r="D92" s="252"/>
      <c r="E92" s="252"/>
      <c r="F92" s="252"/>
      <c r="G92" s="252">
        <v>145005</v>
      </c>
      <c r="H92" s="252">
        <v>46740</v>
      </c>
      <c r="I92" s="252">
        <v>57725</v>
      </c>
      <c r="J92" s="252">
        <v>42284</v>
      </c>
      <c r="K92" s="252">
        <v>63572</v>
      </c>
      <c r="L92" s="318"/>
      <c r="M92" s="318"/>
      <c r="N92" s="318"/>
      <c r="O92" s="318"/>
      <c r="P92" s="44"/>
    </row>
    <row r="93" spans="1:16" ht="12.75">
      <c r="A93" s="16" t="s">
        <v>1</v>
      </c>
      <c r="B93" s="265">
        <f>SUM(C93:G93)</f>
        <v>7357979</v>
      </c>
      <c r="C93" s="265">
        <v>937582</v>
      </c>
      <c r="D93" s="265">
        <v>654800</v>
      </c>
      <c r="E93" s="265">
        <v>2441633</v>
      </c>
      <c r="F93" s="265">
        <v>1682736</v>
      </c>
      <c r="G93" s="265">
        <v>1641228</v>
      </c>
      <c r="H93" s="265">
        <f aca="true" t="shared" si="16" ref="H93:M93">SUM(H90:H92)</f>
        <v>674115</v>
      </c>
      <c r="I93" s="265">
        <f t="shared" si="16"/>
        <v>2563547</v>
      </c>
      <c r="J93" s="265">
        <f t="shared" si="16"/>
        <v>877194</v>
      </c>
      <c r="K93" s="265">
        <f t="shared" si="16"/>
        <v>1761322</v>
      </c>
      <c r="L93" s="265">
        <f t="shared" si="16"/>
        <v>1519290</v>
      </c>
      <c r="M93" s="265">
        <f t="shared" si="16"/>
        <v>2260079</v>
      </c>
      <c r="N93" s="256">
        <f>SUM(N90:N92)</f>
        <v>1980992</v>
      </c>
      <c r="O93" s="256">
        <f>SUM(O90:O92)</f>
        <v>2824777</v>
      </c>
      <c r="P93" s="44"/>
    </row>
    <row r="94" spans="1:16" ht="12.75">
      <c r="A94" s="21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3" t="s">
        <v>426</v>
      </c>
      <c r="B95" s="44" t="s">
        <v>411</v>
      </c>
      <c r="C95" s="44" t="s">
        <v>411</v>
      </c>
      <c r="D95" s="44" t="s">
        <v>411</v>
      </c>
      <c r="E95" s="44" t="s">
        <v>411</v>
      </c>
      <c r="F95" s="44" t="s">
        <v>411</v>
      </c>
      <c r="G95" s="44" t="s">
        <v>411</v>
      </c>
      <c r="H95" s="44" t="s">
        <v>411</v>
      </c>
      <c r="I95" s="44" t="s">
        <v>411</v>
      </c>
      <c r="J95" s="85" t="s">
        <v>411</v>
      </c>
      <c r="K95" s="85" t="s">
        <v>411</v>
      </c>
      <c r="L95" s="85" t="s">
        <v>411</v>
      </c>
      <c r="M95" s="85" t="s">
        <v>411</v>
      </c>
      <c r="N95" s="85" t="s">
        <v>411</v>
      </c>
      <c r="O95" s="85" t="s">
        <v>411</v>
      </c>
      <c r="P95" s="44"/>
    </row>
    <row r="96" spans="1:16" ht="12.75">
      <c r="A96" s="57" t="s">
        <v>118</v>
      </c>
      <c r="B96" s="252">
        <f>SUM(C96:G96)</f>
        <v>4603</v>
      </c>
      <c r="C96" s="252"/>
      <c r="D96" s="252"/>
      <c r="E96" s="252"/>
      <c r="F96" s="252"/>
      <c r="G96" s="252">
        <v>4603</v>
      </c>
      <c r="H96" s="252">
        <v>1823</v>
      </c>
      <c r="I96" s="252">
        <v>3106</v>
      </c>
      <c r="J96" s="252">
        <v>9084</v>
      </c>
      <c r="K96" s="252">
        <v>3159</v>
      </c>
      <c r="L96" s="252">
        <v>3061</v>
      </c>
      <c r="M96" s="252">
        <v>19234</v>
      </c>
      <c r="N96" s="254">
        <v>989</v>
      </c>
      <c r="O96" s="254">
        <v>984</v>
      </c>
      <c r="P96" s="44"/>
    </row>
    <row r="97" spans="1:16" ht="12.75">
      <c r="A97" s="15" t="s">
        <v>119</v>
      </c>
      <c r="B97" s="252">
        <f>SUM(C97:G97)</f>
        <v>15183</v>
      </c>
      <c r="C97" s="252"/>
      <c r="D97" s="252"/>
      <c r="E97" s="252"/>
      <c r="F97" s="252"/>
      <c r="G97" s="252">
        <v>15183</v>
      </c>
      <c r="H97" s="252">
        <v>7380</v>
      </c>
      <c r="I97" s="252">
        <v>20072</v>
      </c>
      <c r="J97" s="252">
        <v>9358</v>
      </c>
      <c r="K97" s="254">
        <v>21620</v>
      </c>
      <c r="L97" s="254">
        <v>16653</v>
      </c>
      <c r="M97" s="254">
        <v>102585</v>
      </c>
      <c r="N97" s="254">
        <v>31594</v>
      </c>
      <c r="O97" s="254">
        <v>27670</v>
      </c>
      <c r="P97" s="44"/>
    </row>
    <row r="98" spans="1:16" ht="12.75">
      <c r="A98" s="15" t="s">
        <v>120</v>
      </c>
      <c r="B98" s="252">
        <f>SUM(C98:G98)</f>
        <v>2439</v>
      </c>
      <c r="C98" s="252"/>
      <c r="D98" s="252"/>
      <c r="E98" s="252"/>
      <c r="F98" s="252"/>
      <c r="G98" s="252">
        <v>2439</v>
      </c>
      <c r="H98" s="252">
        <v>835</v>
      </c>
      <c r="I98" s="252">
        <v>995</v>
      </c>
      <c r="J98" s="252">
        <v>554</v>
      </c>
      <c r="K98" s="252">
        <v>757</v>
      </c>
      <c r="L98" s="318"/>
      <c r="M98" s="318"/>
      <c r="N98" s="318"/>
      <c r="O98" s="318"/>
      <c r="P98" s="44"/>
    </row>
    <row r="99" spans="1:16" ht="12.75">
      <c r="A99" s="16" t="s">
        <v>1</v>
      </c>
      <c r="B99" s="265">
        <f>SUM(C99:G99)</f>
        <v>22225</v>
      </c>
      <c r="C99" s="265">
        <v>0</v>
      </c>
      <c r="D99" s="265">
        <v>0</v>
      </c>
      <c r="E99" s="265">
        <v>0</v>
      </c>
      <c r="F99" s="265">
        <v>0</v>
      </c>
      <c r="G99" s="265">
        <f aca="true" t="shared" si="17" ref="G99:M99">SUM(G96:G98)</f>
        <v>22225</v>
      </c>
      <c r="H99" s="265">
        <f t="shared" si="17"/>
        <v>10038</v>
      </c>
      <c r="I99" s="265">
        <f t="shared" si="17"/>
        <v>24173</v>
      </c>
      <c r="J99" s="265">
        <f t="shared" si="17"/>
        <v>18996</v>
      </c>
      <c r="K99" s="265">
        <f t="shared" si="17"/>
        <v>25536</v>
      </c>
      <c r="L99" s="265">
        <f t="shared" si="17"/>
        <v>19714</v>
      </c>
      <c r="M99" s="265">
        <f t="shared" si="17"/>
        <v>121819</v>
      </c>
      <c r="N99" s="265">
        <f>SUM(N96:N98)</f>
        <v>32583</v>
      </c>
      <c r="O99" s="265">
        <f>SUM(O96:O98)</f>
        <v>28654</v>
      </c>
      <c r="P99" s="44"/>
    </row>
    <row r="100" spans="1:27" ht="12.75">
      <c r="A100" s="40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58"/>
      <c r="O100" s="58"/>
      <c r="P100" s="44"/>
      <c r="T100" s="9"/>
      <c r="U100" s="9"/>
      <c r="V100" s="9"/>
      <c r="W100" s="9"/>
      <c r="X100" s="9"/>
      <c r="Y100" s="9"/>
      <c r="Z100" s="9"/>
      <c r="AA100" s="9"/>
    </row>
    <row r="101" spans="1:27" ht="12.75">
      <c r="A101" s="43" t="s">
        <v>423</v>
      </c>
      <c r="B101" s="44" t="s">
        <v>11</v>
      </c>
      <c r="C101" s="44" t="s">
        <v>11</v>
      </c>
      <c r="D101" s="44" t="s">
        <v>11</v>
      </c>
      <c r="E101" s="44" t="s">
        <v>11</v>
      </c>
      <c r="F101" s="44" t="s">
        <v>11</v>
      </c>
      <c r="G101" s="44" t="s">
        <v>11</v>
      </c>
      <c r="H101" s="44" t="s">
        <v>11</v>
      </c>
      <c r="I101" s="44" t="s">
        <v>11</v>
      </c>
      <c r="J101" s="44" t="s">
        <v>11</v>
      </c>
      <c r="K101" s="44" t="s">
        <v>11</v>
      </c>
      <c r="L101" s="44" t="s">
        <v>11</v>
      </c>
      <c r="M101" s="85" t="s">
        <v>11</v>
      </c>
      <c r="N101" s="89" t="s">
        <v>11</v>
      </c>
      <c r="O101" s="89" t="s">
        <v>11</v>
      </c>
      <c r="P101" s="44"/>
      <c r="T101" s="9"/>
      <c r="U101" s="9"/>
      <c r="V101" s="9"/>
      <c r="W101" s="9"/>
      <c r="X101" s="9"/>
      <c r="Y101" s="9"/>
      <c r="Z101" s="9"/>
      <c r="AA101" s="9"/>
    </row>
    <row r="102" spans="1:27" ht="12.75">
      <c r="A102" s="57" t="s">
        <v>118</v>
      </c>
      <c r="B102" s="252">
        <f>SUM(C102:G102)</f>
        <v>6368</v>
      </c>
      <c r="C102" s="252"/>
      <c r="D102" s="252"/>
      <c r="E102" s="252"/>
      <c r="F102" s="252"/>
      <c r="G102" s="252">
        <v>6368</v>
      </c>
      <c r="H102" s="252">
        <v>6760</v>
      </c>
      <c r="I102" s="252">
        <v>1573</v>
      </c>
      <c r="J102" s="252">
        <v>124072</v>
      </c>
      <c r="K102" s="252">
        <v>161750</v>
      </c>
      <c r="L102" s="252">
        <v>35107</v>
      </c>
      <c r="M102" s="252">
        <v>31528</v>
      </c>
      <c r="N102" s="254">
        <v>4051</v>
      </c>
      <c r="O102" s="254">
        <v>7722</v>
      </c>
      <c r="P102" s="44"/>
      <c r="T102" s="9"/>
      <c r="U102" s="9"/>
      <c r="V102" s="9"/>
      <c r="W102" s="9"/>
      <c r="X102" s="9"/>
      <c r="Y102" s="9"/>
      <c r="Z102" s="9"/>
      <c r="AA102" s="9"/>
    </row>
    <row r="103" spans="1:27" ht="12.75">
      <c r="A103" s="15" t="s">
        <v>119</v>
      </c>
      <c r="B103" s="252">
        <f>SUM(C103:G103)</f>
        <v>148756</v>
      </c>
      <c r="C103" s="252"/>
      <c r="D103" s="252"/>
      <c r="E103" s="252"/>
      <c r="F103" s="252"/>
      <c r="G103" s="252">
        <v>148756</v>
      </c>
      <c r="H103" s="252">
        <v>38822</v>
      </c>
      <c r="I103" s="252">
        <v>49590</v>
      </c>
      <c r="J103" s="252">
        <v>79322</v>
      </c>
      <c r="K103" s="252">
        <v>90574</v>
      </c>
      <c r="L103" s="252">
        <v>48061</v>
      </c>
      <c r="M103" s="252">
        <v>224832</v>
      </c>
      <c r="N103" s="254">
        <v>81439</v>
      </c>
      <c r="O103" s="254">
        <v>105514</v>
      </c>
      <c r="P103" s="44"/>
      <c r="T103" s="9"/>
      <c r="U103" s="9"/>
      <c r="V103" s="9"/>
      <c r="W103" s="9"/>
      <c r="X103" s="9"/>
      <c r="Y103" s="9"/>
      <c r="Z103" s="9"/>
      <c r="AA103" s="9"/>
    </row>
    <row r="104" spans="1:27" ht="12.75">
      <c r="A104" s="15" t="s">
        <v>120</v>
      </c>
      <c r="B104" s="252">
        <f>SUM(C104:G104)</f>
        <v>12326</v>
      </c>
      <c r="C104" s="252"/>
      <c r="D104" s="252"/>
      <c r="E104" s="252"/>
      <c r="F104" s="252"/>
      <c r="G104" s="252">
        <v>12326</v>
      </c>
      <c r="H104" s="252">
        <v>13178</v>
      </c>
      <c r="I104" s="252">
        <v>6596</v>
      </c>
      <c r="J104" s="252">
        <v>14742</v>
      </c>
      <c r="K104" s="252">
        <v>14414</v>
      </c>
      <c r="L104" s="318"/>
      <c r="M104" s="318"/>
      <c r="N104" s="318"/>
      <c r="O104" s="318"/>
      <c r="P104" s="44"/>
      <c r="T104" s="9"/>
      <c r="U104" s="9"/>
      <c r="V104" s="9"/>
      <c r="W104" s="9"/>
      <c r="X104" s="9"/>
      <c r="Y104" s="9"/>
      <c r="Z104" s="9"/>
      <c r="AA104" s="9"/>
    </row>
    <row r="105" spans="1:27" ht="12.75">
      <c r="A105" s="16" t="s">
        <v>1</v>
      </c>
      <c r="B105" s="256">
        <f>SUM(C105:G105)</f>
        <v>380387</v>
      </c>
      <c r="C105" s="265">
        <v>0</v>
      </c>
      <c r="D105" s="265">
        <v>31802</v>
      </c>
      <c r="E105" s="265">
        <v>27617</v>
      </c>
      <c r="F105" s="265">
        <v>153518</v>
      </c>
      <c r="G105" s="256">
        <f aca="true" t="shared" si="18" ref="G105:M105">SUM(G102:G104)</f>
        <v>167450</v>
      </c>
      <c r="H105" s="256">
        <f t="shared" si="18"/>
        <v>58760</v>
      </c>
      <c r="I105" s="256">
        <f t="shared" si="18"/>
        <v>57759</v>
      </c>
      <c r="J105" s="256">
        <f t="shared" si="18"/>
        <v>218136</v>
      </c>
      <c r="K105" s="256">
        <f t="shared" si="18"/>
        <v>266738</v>
      </c>
      <c r="L105" s="256">
        <f t="shared" si="18"/>
        <v>83168</v>
      </c>
      <c r="M105" s="256">
        <f t="shared" si="18"/>
        <v>256360</v>
      </c>
      <c r="N105" s="256">
        <f>SUM(N102:N104)</f>
        <v>85490</v>
      </c>
      <c r="O105" s="256">
        <f>SUM(O102:O104)</f>
        <v>113236</v>
      </c>
      <c r="P105" s="44"/>
      <c r="T105" s="9"/>
      <c r="U105" s="9"/>
      <c r="V105" s="9"/>
      <c r="W105" s="9"/>
      <c r="X105" s="9"/>
      <c r="Y105" s="9"/>
      <c r="Z105" s="9"/>
      <c r="AA105" s="9"/>
    </row>
    <row r="106" spans="1:27" ht="12.75">
      <c r="A106" s="21"/>
      <c r="B106" s="58"/>
      <c r="C106" s="44"/>
      <c r="D106" s="44"/>
      <c r="E106" s="44"/>
      <c r="F106" s="44"/>
      <c r="G106" s="58"/>
      <c r="H106" s="58"/>
      <c r="I106" s="58"/>
      <c r="J106" s="58"/>
      <c r="K106" s="58"/>
      <c r="L106" s="58"/>
      <c r="M106" s="58"/>
      <c r="N106" s="58"/>
      <c r="O106" s="58"/>
      <c r="P106" s="44"/>
      <c r="T106" s="9"/>
      <c r="U106" s="9"/>
      <c r="V106" s="9"/>
      <c r="W106" s="9"/>
      <c r="X106" s="9"/>
      <c r="Y106" s="9"/>
      <c r="Z106" s="9"/>
      <c r="AA106" s="9"/>
    </row>
    <row r="107" spans="1:27" ht="12.75">
      <c r="A107" s="43" t="s">
        <v>424</v>
      </c>
      <c r="B107" s="44" t="s">
        <v>11</v>
      </c>
      <c r="C107" s="44" t="s">
        <v>11</v>
      </c>
      <c r="D107" s="44" t="s">
        <v>11</v>
      </c>
      <c r="E107" s="44" t="s">
        <v>11</v>
      </c>
      <c r="F107" s="44" t="s">
        <v>11</v>
      </c>
      <c r="G107" s="44" t="s">
        <v>11</v>
      </c>
      <c r="H107" s="44" t="s">
        <v>11</v>
      </c>
      <c r="I107" s="44" t="s">
        <v>11</v>
      </c>
      <c r="J107" s="44" t="s">
        <v>11</v>
      </c>
      <c r="K107" s="44" t="s">
        <v>11</v>
      </c>
      <c r="L107" s="44" t="s">
        <v>11</v>
      </c>
      <c r="M107" s="85" t="s">
        <v>11</v>
      </c>
      <c r="N107" s="89" t="s">
        <v>11</v>
      </c>
      <c r="O107" s="89" t="s">
        <v>11</v>
      </c>
      <c r="P107" s="44"/>
      <c r="T107" s="9"/>
      <c r="U107" s="9"/>
      <c r="V107" s="9"/>
      <c r="W107" s="9"/>
      <c r="X107" s="9"/>
      <c r="Y107" s="9"/>
      <c r="Z107" s="9"/>
      <c r="AA107" s="9"/>
    </row>
    <row r="108" spans="1:27" ht="12.75">
      <c r="A108" s="57" t="s">
        <v>118</v>
      </c>
      <c r="B108" s="254">
        <f>SUM(C108:G108)</f>
        <v>95526</v>
      </c>
      <c r="C108" s="252"/>
      <c r="D108" s="252"/>
      <c r="E108" s="252"/>
      <c r="F108" s="252"/>
      <c r="G108" s="254">
        <v>95526</v>
      </c>
      <c r="H108" s="254">
        <v>101400</v>
      </c>
      <c r="I108" s="254">
        <v>31200</v>
      </c>
      <c r="J108" s="254">
        <v>269286</v>
      </c>
      <c r="K108" s="254">
        <v>2533483</v>
      </c>
      <c r="L108" s="254">
        <v>567517</v>
      </c>
      <c r="M108" s="254">
        <v>504953</v>
      </c>
      <c r="N108" s="254">
        <v>72665</v>
      </c>
      <c r="O108" s="254">
        <v>131006</v>
      </c>
      <c r="P108" s="44"/>
      <c r="T108" s="9"/>
      <c r="U108" s="9"/>
      <c r="V108" s="9"/>
      <c r="W108" s="9"/>
      <c r="X108" s="9"/>
      <c r="Y108" s="9"/>
      <c r="Z108" s="9"/>
      <c r="AA108" s="9"/>
    </row>
    <row r="109" spans="1:27" ht="12.75">
      <c r="A109" s="15" t="s">
        <v>119</v>
      </c>
      <c r="B109" s="254">
        <f>SUM(C109:G109)</f>
        <v>2340823</v>
      </c>
      <c r="C109" s="252"/>
      <c r="D109" s="252"/>
      <c r="E109" s="252"/>
      <c r="F109" s="252"/>
      <c r="G109" s="254">
        <v>2340823</v>
      </c>
      <c r="H109" s="254">
        <v>582460</v>
      </c>
      <c r="I109" s="254">
        <v>717372</v>
      </c>
      <c r="J109" s="254">
        <v>1026722</v>
      </c>
      <c r="K109" s="254">
        <v>1505918</v>
      </c>
      <c r="L109" s="254">
        <v>906166</v>
      </c>
      <c r="M109" s="254">
        <v>4392557</v>
      </c>
      <c r="N109" s="254">
        <v>1431661</v>
      </c>
      <c r="O109" s="254">
        <v>1936551</v>
      </c>
      <c r="P109" s="44"/>
      <c r="T109" s="9"/>
      <c r="U109" s="9"/>
      <c r="V109" s="9"/>
      <c r="W109" s="9"/>
      <c r="X109" s="9"/>
      <c r="Y109" s="9"/>
      <c r="Z109" s="9"/>
      <c r="AA109" s="9"/>
    </row>
    <row r="110" spans="1:27" ht="12.75">
      <c r="A110" s="15" t="s">
        <v>120</v>
      </c>
      <c r="B110" s="254">
        <f>SUM(C110:G110)</f>
        <v>190177</v>
      </c>
      <c r="C110" s="252"/>
      <c r="D110" s="252"/>
      <c r="E110" s="252"/>
      <c r="F110" s="252"/>
      <c r="G110" s="254">
        <v>190177</v>
      </c>
      <c r="H110" s="254">
        <v>209420</v>
      </c>
      <c r="I110" s="254">
        <v>130004</v>
      </c>
      <c r="J110" s="254">
        <v>194886</v>
      </c>
      <c r="K110" s="254">
        <v>233551</v>
      </c>
      <c r="L110" s="318"/>
      <c r="M110" s="318"/>
      <c r="N110" s="318"/>
      <c r="O110" s="318"/>
      <c r="P110" s="44"/>
      <c r="T110" s="9"/>
      <c r="U110" s="9"/>
      <c r="V110" s="9"/>
      <c r="W110" s="9"/>
      <c r="X110" s="9"/>
      <c r="Y110" s="9"/>
      <c r="Z110" s="9"/>
      <c r="AA110" s="9"/>
    </row>
    <row r="111" spans="1:16" ht="12.75">
      <c r="A111" s="16" t="s">
        <v>1</v>
      </c>
      <c r="B111" s="256">
        <f>SUM(C111:G111)</f>
        <v>5822680</v>
      </c>
      <c r="C111" s="265">
        <v>0</v>
      </c>
      <c r="D111" s="265">
        <v>477024</v>
      </c>
      <c r="E111" s="265">
        <v>416360</v>
      </c>
      <c r="F111" s="265">
        <v>2302770</v>
      </c>
      <c r="G111" s="256">
        <f aca="true" t="shared" si="19" ref="G111:M111">SUM(G108:G110)</f>
        <v>2626526</v>
      </c>
      <c r="H111" s="256">
        <f t="shared" si="19"/>
        <v>893280</v>
      </c>
      <c r="I111" s="256">
        <f t="shared" si="19"/>
        <v>878576</v>
      </c>
      <c r="J111" s="256">
        <f t="shared" si="19"/>
        <v>1490894</v>
      </c>
      <c r="K111" s="256">
        <f t="shared" si="19"/>
        <v>4272952</v>
      </c>
      <c r="L111" s="256">
        <f t="shared" si="19"/>
        <v>1473683</v>
      </c>
      <c r="M111" s="256">
        <f t="shared" si="19"/>
        <v>4897510</v>
      </c>
      <c r="N111" s="256">
        <f>SUM(N108:N110)</f>
        <v>1504326</v>
      </c>
      <c r="O111" s="256">
        <f>SUM(O108:O110)</f>
        <v>2067557</v>
      </c>
      <c r="P111" s="44"/>
    </row>
    <row r="112" spans="1:16" ht="12.75">
      <c r="A112" s="2" t="str">
        <f>A44</f>
        <v>* These columns/years have been hidden in this worksheet for viewing &amp; printing purposes</v>
      </c>
      <c r="B112" s="21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</row>
    <row r="113" spans="1:2" ht="12.75">
      <c r="A113" s="2"/>
      <c r="B113" s="2"/>
    </row>
    <row r="114" spans="1:15" ht="12.75">
      <c r="A114" s="5"/>
      <c r="B114" s="5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6" spans="1:2" ht="12.75">
      <c r="A116" s="2"/>
      <c r="B116" s="2"/>
    </row>
    <row r="117" spans="1:19" ht="12.75">
      <c r="A117" s="2"/>
      <c r="B117" s="2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>
      <c r="A118" s="2"/>
      <c r="B118" s="2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3" ht="12.75">
      <c r="A119" s="2"/>
      <c r="B119" s="2"/>
      <c r="C119" s="3"/>
    </row>
    <row r="120" spans="1:2" ht="12.75">
      <c r="A120" s="2"/>
      <c r="B120" s="2"/>
    </row>
    <row r="121" spans="1:19" ht="12.75">
      <c r="A121" s="2"/>
      <c r="B121" s="2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2.75">
      <c r="A122" s="2"/>
      <c r="B122" s="2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2.75">
      <c r="A123" s="2"/>
      <c r="B123" s="2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2.75">
      <c r="A124" s="6"/>
      <c r="B124" s="6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2.75">
      <c r="A125" s="2"/>
      <c r="B125" s="2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2.75">
      <c r="A126" s="2"/>
      <c r="B126" s="2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2.75">
      <c r="A127" s="2"/>
      <c r="B127" s="2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2.75">
      <c r="A128" s="2"/>
      <c r="B128" s="2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2.75">
      <c r="A129" s="2"/>
      <c r="B129" s="2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2.75">
      <c r="A130" s="2"/>
      <c r="B130" s="2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1:2" ht="12.75">
      <c r="A131" s="2"/>
      <c r="B131" s="2"/>
    </row>
    <row r="132" spans="1:2" ht="12.75">
      <c r="A132" s="2"/>
      <c r="B132" s="2"/>
    </row>
  </sheetData>
  <sheetProtection/>
  <mergeCells count="3">
    <mergeCell ref="A2:P2"/>
    <mergeCell ref="A13:P13"/>
    <mergeCell ref="A1:P1"/>
  </mergeCells>
  <printOptions/>
  <pageMargins left="0.17" right="0.17" top="0.4" bottom="0.6" header="0.24" footer="0.24"/>
  <pageSetup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2" manualBreakCount="2">
    <brk id="44" max="15" man="1"/>
    <brk id="78" max="15" man="1"/>
  </rowBreaks>
  <ignoredErrors>
    <ignoredError sqref="C11:F11" formulaRange="1"/>
    <ignoredError sqref="G65:H6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421875" style="0" customWidth="1"/>
    <col min="2" max="2" width="13.8515625" style="0" bestFit="1" customWidth="1"/>
    <col min="3" max="5" width="9.28125" style="0" hidden="1" customWidth="1"/>
    <col min="6" max="6" width="12.421875" style="0" hidden="1" customWidth="1"/>
    <col min="7" max="7" width="13.00390625" style="0" hidden="1" customWidth="1"/>
    <col min="8" max="8" width="14.140625" style="0" bestFit="1" customWidth="1"/>
    <col min="9" max="10" width="13.8515625" style="0" customWidth="1"/>
    <col min="11" max="15" width="13.421875" style="0" customWidth="1"/>
    <col min="16" max="16" width="16.28125" style="0" bestFit="1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</row>
    <row r="2" spans="1:16" ht="12.75">
      <c r="A2" s="459" t="s">
        <v>147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</row>
    <row r="3" spans="1:2" ht="15">
      <c r="A3" s="111"/>
      <c r="B3" s="111"/>
    </row>
    <row r="4" spans="1:16" ht="25.5">
      <c r="A4" s="5" t="s">
        <v>206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81" t="s">
        <v>347</v>
      </c>
      <c r="O4" s="81" t="s">
        <v>353</v>
      </c>
      <c r="P4" s="346" t="str">
        <f>"Total "&amp;CHAR(10)&amp;C4&amp;" ~ "&amp;O4</f>
        <v>Total 
2001 ~ FY2014</v>
      </c>
    </row>
    <row r="5" spans="1:16" ht="12.75">
      <c r="A5" s="22" t="s">
        <v>50</v>
      </c>
      <c r="B5" s="239">
        <f>SUM(C5:G5)</f>
        <v>12750000</v>
      </c>
      <c r="C5" s="239"/>
      <c r="D5" s="239"/>
      <c r="E5" s="239"/>
      <c r="F5" s="239">
        <f>5000*1000</f>
        <v>5000000</v>
      </c>
      <c r="G5" s="239">
        <f>7750*1000</f>
        <v>7750000</v>
      </c>
      <c r="H5" s="239">
        <f>6681*1000</f>
        <v>6681000</v>
      </c>
      <c r="I5" s="239">
        <f>7857*1000</f>
        <v>7857000</v>
      </c>
      <c r="J5" s="239">
        <f>15914*1000</f>
        <v>15914000</v>
      </c>
      <c r="K5" s="239">
        <v>11784675.15</v>
      </c>
      <c r="L5" s="239">
        <v>5859508.79</v>
      </c>
      <c r="M5" s="239">
        <v>1002122.83</v>
      </c>
      <c r="N5" s="241">
        <v>13500000</v>
      </c>
      <c r="O5" s="241">
        <v>37964525.92</v>
      </c>
      <c r="P5" s="239">
        <f>SUM(C5:O5)</f>
        <v>113312832.69</v>
      </c>
    </row>
    <row r="6" spans="2:16" ht="12.75">
      <c r="B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" t="s">
        <v>207</v>
      </c>
      <c r="B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227" t="s">
        <v>20</v>
      </c>
      <c r="B8" s="239">
        <f>SUM(C8:G8)</f>
        <v>534000</v>
      </c>
      <c r="C8" s="239"/>
      <c r="D8" s="239"/>
      <c r="E8" s="239"/>
      <c r="F8" s="239">
        <f>32*1000</f>
        <v>32000</v>
      </c>
      <c r="G8" s="239">
        <f>502*1000</f>
        <v>502000</v>
      </c>
      <c r="H8" s="239">
        <f>1875*1000</f>
        <v>1875000</v>
      </c>
      <c r="I8" s="239">
        <f>3024*1000</f>
        <v>3024000</v>
      </c>
      <c r="J8" s="239">
        <f>2119*1000</f>
        <v>2119000</v>
      </c>
      <c r="K8" s="239">
        <v>1003184.76</v>
      </c>
      <c r="L8" s="239">
        <v>2708013.72</v>
      </c>
      <c r="M8" s="239">
        <v>0</v>
      </c>
      <c r="N8" s="241">
        <v>200654</v>
      </c>
      <c r="O8" s="241">
        <v>1474906.46</v>
      </c>
      <c r="P8" s="239">
        <f>SUM(C8:O8)</f>
        <v>12938758.940000001</v>
      </c>
    </row>
    <row r="9" spans="1:16" ht="12.75">
      <c r="A9" s="333" t="s">
        <v>19</v>
      </c>
      <c r="B9" s="239">
        <f>SUM(C9:G9)</f>
        <v>0</v>
      </c>
      <c r="C9" s="239"/>
      <c r="D9" s="239"/>
      <c r="E9" s="239"/>
      <c r="F9" s="239"/>
      <c r="G9" s="239"/>
      <c r="H9" s="239"/>
      <c r="I9" s="239">
        <f>7037*1000</f>
        <v>7037000</v>
      </c>
      <c r="J9" s="239">
        <f>9067*1000</f>
        <v>9067000</v>
      </c>
      <c r="K9" s="239">
        <v>7842812</v>
      </c>
      <c r="L9" s="239">
        <v>2000000</v>
      </c>
      <c r="M9" s="239">
        <v>1000000</v>
      </c>
      <c r="N9" s="241">
        <v>5911320</v>
      </c>
      <c r="O9" s="241">
        <v>6050795.1</v>
      </c>
      <c r="P9" s="289"/>
    </row>
    <row r="10" spans="1:16" ht="12.75">
      <c r="A10" s="73" t="s">
        <v>1</v>
      </c>
      <c r="B10" s="245">
        <f>SUM(C10:G10)</f>
        <v>0</v>
      </c>
      <c r="C10" s="245"/>
      <c r="D10" s="245"/>
      <c r="E10" s="245"/>
      <c r="F10" s="245"/>
      <c r="G10" s="245"/>
      <c r="H10" s="245"/>
      <c r="I10" s="245">
        <f aca="true" t="shared" si="0" ref="I10:N10">SUM(I8:I9)</f>
        <v>10061000</v>
      </c>
      <c r="J10" s="245">
        <f t="shared" si="0"/>
        <v>11186000</v>
      </c>
      <c r="K10" s="245">
        <f t="shared" si="0"/>
        <v>8845996.76</v>
      </c>
      <c r="L10" s="245">
        <f t="shared" si="0"/>
        <v>4708013.720000001</v>
      </c>
      <c r="M10" s="245">
        <f t="shared" si="0"/>
        <v>1000000</v>
      </c>
      <c r="N10" s="245">
        <f t="shared" si="0"/>
        <v>6111974</v>
      </c>
      <c r="O10" s="245">
        <f>SUM(O8:O9)</f>
        <v>7525701.56</v>
      </c>
      <c r="P10" s="289"/>
    </row>
    <row r="12" ht="12.75">
      <c r="A12" s="1" t="s">
        <v>428</v>
      </c>
    </row>
    <row r="13" spans="1:16" ht="12.75">
      <c r="A13" s="227" t="s">
        <v>348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20">
        <v>1</v>
      </c>
      <c r="O13" s="320"/>
      <c r="P13" s="355">
        <f>SUM(C13:O13)</f>
        <v>1</v>
      </c>
    </row>
    <row r="14" spans="1:16" ht="12.75">
      <c r="A14" s="227" t="s">
        <v>361</v>
      </c>
      <c r="B14" s="353"/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20">
        <v>0</v>
      </c>
      <c r="O14" s="320">
        <v>2</v>
      </c>
      <c r="P14" s="355">
        <f>SUM(C14:O14)</f>
        <v>2</v>
      </c>
    </row>
    <row r="15" spans="1:16" ht="12.75">
      <c r="A15" s="14" t="s">
        <v>1</v>
      </c>
      <c r="B15" s="356">
        <f>SUM(C15:G15)</f>
        <v>2</v>
      </c>
      <c r="C15" s="356"/>
      <c r="D15" s="356"/>
      <c r="E15" s="356"/>
      <c r="F15" s="356"/>
      <c r="G15" s="356">
        <v>2</v>
      </c>
      <c r="H15" s="356">
        <v>4</v>
      </c>
      <c r="I15" s="356">
        <v>5</v>
      </c>
      <c r="J15" s="356">
        <v>4</v>
      </c>
      <c r="K15" s="356">
        <v>1</v>
      </c>
      <c r="L15" s="356">
        <v>6</v>
      </c>
      <c r="M15" s="356">
        <v>0</v>
      </c>
      <c r="N15" s="357">
        <f>SUM(N13:N14)</f>
        <v>1</v>
      </c>
      <c r="O15" s="357">
        <f>SUM(O13:O14)</f>
        <v>2</v>
      </c>
      <c r="P15" s="356">
        <f>SUM(C15:O15)</f>
        <v>25</v>
      </c>
    </row>
    <row r="16" ht="12.75">
      <c r="P16" s="23"/>
    </row>
    <row r="17" spans="1:16" ht="12.75">
      <c r="A17" s="1" t="s">
        <v>427</v>
      </c>
      <c r="P17" s="23"/>
    </row>
    <row r="18" spans="1:16" ht="12.75">
      <c r="A18" s="227" t="s">
        <v>348</v>
      </c>
      <c r="B18" s="353"/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20">
        <v>13</v>
      </c>
      <c r="O18" s="320"/>
      <c r="P18" s="23"/>
    </row>
    <row r="19" spans="1:16" ht="12.75">
      <c r="A19" s="227" t="s">
        <v>361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20">
        <v>5</v>
      </c>
      <c r="O19" s="320">
        <v>5</v>
      </c>
      <c r="P19" s="23"/>
    </row>
    <row r="20" spans="1:17" ht="12.75">
      <c r="A20" s="14" t="s">
        <v>1</v>
      </c>
      <c r="B20" s="247">
        <f>SUM(C20:G20)</f>
        <v>0</v>
      </c>
      <c r="C20" s="247"/>
      <c r="D20" s="247"/>
      <c r="E20" s="247"/>
      <c r="F20" s="247"/>
      <c r="G20" s="247"/>
      <c r="H20" s="247"/>
      <c r="I20" s="247">
        <v>13</v>
      </c>
      <c r="J20" s="269">
        <v>15</v>
      </c>
      <c r="K20" s="269">
        <v>9</v>
      </c>
      <c r="L20" s="269">
        <v>2</v>
      </c>
      <c r="M20" s="269">
        <v>0</v>
      </c>
      <c r="N20" s="269">
        <f>SUM(N18:N19)</f>
        <v>18</v>
      </c>
      <c r="O20" s="269">
        <f>SUM(O18:O19)</f>
        <v>5</v>
      </c>
      <c r="P20" s="62"/>
      <c r="Q20" s="131"/>
    </row>
    <row r="21" spans="1:17" ht="12.75">
      <c r="A21" s="30"/>
      <c r="B21" s="359"/>
      <c r="C21" s="359"/>
      <c r="D21" s="359"/>
      <c r="E21" s="359"/>
      <c r="F21" s="359"/>
      <c r="G21" s="359"/>
      <c r="H21" s="359"/>
      <c r="I21" s="359"/>
      <c r="J21" s="360"/>
      <c r="K21" s="360"/>
      <c r="L21" s="360"/>
      <c r="M21" s="360"/>
      <c r="N21" s="360"/>
      <c r="O21" s="360"/>
      <c r="P21" s="62"/>
      <c r="Q21" s="131"/>
    </row>
    <row r="22" spans="1:17" ht="12.75">
      <c r="A22" s="30"/>
      <c r="B22" s="359"/>
      <c r="C22" s="359"/>
      <c r="D22" s="359"/>
      <c r="E22" s="359"/>
      <c r="F22" s="359"/>
      <c r="G22" s="359"/>
      <c r="H22" s="359"/>
      <c r="I22" s="359"/>
      <c r="J22" s="360"/>
      <c r="K22" s="360"/>
      <c r="L22" s="360"/>
      <c r="M22" s="360"/>
      <c r="N22" s="360"/>
      <c r="O22" s="360"/>
      <c r="P22" s="62"/>
      <c r="Q22" s="131"/>
    </row>
    <row r="23" spans="1:16" ht="12.75">
      <c r="A23" s="432" t="s">
        <v>402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00"/>
    </row>
    <row r="24" spans="1:16" ht="12.75">
      <c r="A24" s="432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00"/>
    </row>
    <row r="25" spans="1:16" ht="12.75">
      <c r="A25" s="43" t="s">
        <v>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48"/>
      <c r="O25" s="148"/>
      <c r="P25" s="100"/>
    </row>
    <row r="26" spans="1:16" ht="12.75">
      <c r="A26" s="43" t="s">
        <v>421</v>
      </c>
      <c r="B26" s="26" t="s">
        <v>8</v>
      </c>
      <c r="C26" s="26" t="s">
        <v>8</v>
      </c>
      <c r="D26" s="26" t="s">
        <v>8</v>
      </c>
      <c r="E26" s="26" t="s">
        <v>8</v>
      </c>
      <c r="F26" s="26" t="s">
        <v>8</v>
      </c>
      <c r="G26" s="26" t="s">
        <v>8</v>
      </c>
      <c r="H26" s="26" t="s">
        <v>8</v>
      </c>
      <c r="I26" s="26" t="s">
        <v>8</v>
      </c>
      <c r="J26" s="26" t="s">
        <v>8</v>
      </c>
      <c r="K26" s="26" t="s">
        <v>8</v>
      </c>
      <c r="L26" s="26" t="s">
        <v>8</v>
      </c>
      <c r="M26" s="26" t="s">
        <v>8</v>
      </c>
      <c r="N26" s="149" t="s">
        <v>8</v>
      </c>
      <c r="O26" s="149" t="s">
        <v>8</v>
      </c>
      <c r="P26" s="91" t="s">
        <v>8</v>
      </c>
    </row>
    <row r="27" spans="1:16" ht="12.75">
      <c r="A27" s="227" t="s">
        <v>348</v>
      </c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  <c r="N27" s="320">
        <v>0</v>
      </c>
      <c r="O27" s="320">
        <v>0</v>
      </c>
      <c r="P27" s="354">
        <f>SUM(C27:O27)</f>
        <v>0</v>
      </c>
    </row>
    <row r="28" spans="1:16" ht="12.75">
      <c r="A28" s="227" t="s">
        <v>361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20">
        <v>0</v>
      </c>
      <c r="O28" s="320">
        <v>0</v>
      </c>
      <c r="P28" s="354">
        <f>SUM(C28:O28)</f>
        <v>0</v>
      </c>
    </row>
    <row r="29" spans="1:16" ht="12.75">
      <c r="A29" s="14" t="s">
        <v>1</v>
      </c>
      <c r="B29" s="247">
        <f>SUM(C29:G29)</f>
        <v>0</v>
      </c>
      <c r="C29" s="247"/>
      <c r="D29" s="247"/>
      <c r="E29" s="247"/>
      <c r="F29" s="247"/>
      <c r="G29" s="247"/>
      <c r="H29" s="247"/>
      <c r="I29" s="247"/>
      <c r="J29" s="269">
        <v>141</v>
      </c>
      <c r="K29" s="269">
        <v>0</v>
      </c>
      <c r="L29" s="269">
        <v>2000</v>
      </c>
      <c r="M29" s="269"/>
      <c r="N29" s="269">
        <f>SUM(N27:N28)</f>
        <v>0</v>
      </c>
      <c r="O29" s="269">
        <f>SUM(O27:O28)</f>
        <v>0</v>
      </c>
      <c r="P29" s="247">
        <f>SUM(C29:O29)</f>
        <v>2141</v>
      </c>
    </row>
    <row r="30" spans="1:16" ht="12.75">
      <c r="A30" s="24"/>
      <c r="B30" s="62"/>
      <c r="C30" s="24"/>
      <c r="D30" s="24"/>
      <c r="E30" s="24"/>
      <c r="F30" s="24"/>
      <c r="G30" s="62"/>
      <c r="H30" s="62"/>
      <c r="I30" s="62"/>
      <c r="J30" s="98"/>
      <c r="K30" s="98"/>
      <c r="L30" s="98"/>
      <c r="M30" s="98"/>
      <c r="N30" s="98"/>
      <c r="O30" s="98"/>
      <c r="P30" s="62"/>
    </row>
    <row r="31" spans="1:16" ht="12.75">
      <c r="A31" s="1" t="s">
        <v>422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149"/>
      <c r="O31" s="149"/>
      <c r="P31" s="91"/>
    </row>
    <row r="32" spans="1:16" ht="12.75">
      <c r="A32" s="227" t="s">
        <v>348</v>
      </c>
      <c r="B32" s="353"/>
      <c r="C32" s="353"/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20">
        <v>0</v>
      </c>
      <c r="O32" s="320">
        <v>0</v>
      </c>
      <c r="P32" s="354">
        <f>SUM(C32:O32)</f>
        <v>0</v>
      </c>
    </row>
    <row r="33" spans="1:16" ht="12.75">
      <c r="A33" s="227" t="s">
        <v>361</v>
      </c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353"/>
      <c r="M33" s="353"/>
      <c r="N33" s="320">
        <v>0</v>
      </c>
      <c r="O33" s="320">
        <v>0</v>
      </c>
      <c r="P33" s="354">
        <f>SUM(C33:O33)</f>
        <v>0</v>
      </c>
    </row>
    <row r="34" spans="1:16" ht="12.75">
      <c r="A34" s="14" t="s">
        <v>1</v>
      </c>
      <c r="B34" s="247">
        <f>SUM(C34:G34)</f>
        <v>0</v>
      </c>
      <c r="C34" s="247"/>
      <c r="D34" s="247"/>
      <c r="E34" s="247"/>
      <c r="F34" s="247"/>
      <c r="G34" s="247"/>
      <c r="H34" s="247"/>
      <c r="I34" s="247"/>
      <c r="J34" s="269">
        <v>2119</v>
      </c>
      <c r="K34" s="269">
        <v>0</v>
      </c>
      <c r="L34" s="269">
        <v>24001</v>
      </c>
      <c r="M34" s="269"/>
      <c r="N34" s="269">
        <f>SUM(N32:N33)</f>
        <v>0</v>
      </c>
      <c r="O34" s="269">
        <f>SUM(O32:O33)</f>
        <v>0</v>
      </c>
      <c r="P34" s="247">
        <f>SUM(C34:O34)</f>
        <v>26120</v>
      </c>
    </row>
    <row r="35" spans="1:16" ht="12.75">
      <c r="A35" s="24"/>
      <c r="B35" s="434"/>
      <c r="C35" s="419"/>
      <c r="D35" s="419"/>
      <c r="E35" s="419"/>
      <c r="F35" s="419"/>
      <c r="G35" s="434"/>
      <c r="H35" s="434"/>
      <c r="I35" s="434"/>
      <c r="J35" s="434"/>
      <c r="K35" s="434"/>
      <c r="L35" s="434"/>
      <c r="M35" s="434"/>
      <c r="N35" s="155"/>
      <c r="O35" s="155"/>
      <c r="P35" s="434"/>
    </row>
    <row r="36" spans="1:16" ht="12.75">
      <c r="A36" s="1" t="s">
        <v>426</v>
      </c>
      <c r="B36" s="26" t="s">
        <v>411</v>
      </c>
      <c r="C36" s="26" t="s">
        <v>411</v>
      </c>
      <c r="D36" s="26" t="s">
        <v>411</v>
      </c>
      <c r="E36" s="26" t="s">
        <v>411</v>
      </c>
      <c r="F36" s="26" t="s">
        <v>411</v>
      </c>
      <c r="G36" s="26" t="s">
        <v>411</v>
      </c>
      <c r="H36" s="26" t="s">
        <v>411</v>
      </c>
      <c r="I36" s="26" t="s">
        <v>411</v>
      </c>
      <c r="J36" s="26" t="s">
        <v>411</v>
      </c>
      <c r="K36" s="26" t="s">
        <v>411</v>
      </c>
      <c r="L36" s="26" t="s">
        <v>411</v>
      </c>
      <c r="M36" s="26" t="s">
        <v>411</v>
      </c>
      <c r="N36" s="149" t="s">
        <v>411</v>
      </c>
      <c r="O36" s="149" t="s">
        <v>411</v>
      </c>
      <c r="P36" s="91" t="s">
        <v>411</v>
      </c>
    </row>
    <row r="37" spans="1:16" ht="12.75">
      <c r="A37" s="227" t="s">
        <v>348</v>
      </c>
      <c r="B37" s="353"/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20">
        <v>0</v>
      </c>
      <c r="O37" s="320">
        <v>0</v>
      </c>
      <c r="P37" s="354">
        <f>SUM(C37:O37)</f>
        <v>0</v>
      </c>
    </row>
    <row r="38" spans="1:16" ht="12.75">
      <c r="A38" s="227" t="s">
        <v>361</v>
      </c>
      <c r="B38" s="353"/>
      <c r="C38" s="353"/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20">
        <v>0</v>
      </c>
      <c r="O38" s="320">
        <v>0</v>
      </c>
      <c r="P38" s="354">
        <f>SUM(C38:O38)</f>
        <v>0</v>
      </c>
    </row>
    <row r="39" spans="1:16" ht="12.75">
      <c r="A39" s="14" t="s">
        <v>1</v>
      </c>
      <c r="B39" s="247">
        <f>SUM(C39:G39)</f>
        <v>0</v>
      </c>
      <c r="C39" s="247"/>
      <c r="D39" s="247"/>
      <c r="E39" s="247"/>
      <c r="F39" s="247"/>
      <c r="G39" s="247"/>
      <c r="H39" s="247"/>
      <c r="I39" s="247"/>
      <c r="J39" s="269">
        <v>30</v>
      </c>
      <c r="K39" s="269">
        <v>0</v>
      </c>
      <c r="L39" s="269">
        <v>275</v>
      </c>
      <c r="M39" s="269"/>
      <c r="N39" s="269">
        <f>SUM(N37:N38)</f>
        <v>0</v>
      </c>
      <c r="O39" s="269">
        <f>SUM(O37:O38)</f>
        <v>0</v>
      </c>
      <c r="P39" s="247">
        <f>SUM(C39:O39)</f>
        <v>305</v>
      </c>
    </row>
    <row r="40" spans="1:16" ht="12.75">
      <c r="A40" s="30"/>
      <c r="B40" s="359"/>
      <c r="C40" s="359"/>
      <c r="D40" s="359"/>
      <c r="E40" s="359"/>
      <c r="F40" s="359"/>
      <c r="G40" s="359"/>
      <c r="H40" s="359"/>
      <c r="I40" s="359"/>
      <c r="J40" s="360"/>
      <c r="K40" s="360"/>
      <c r="L40" s="360"/>
      <c r="M40" s="360"/>
      <c r="N40" s="360"/>
      <c r="O40" s="360"/>
      <c r="P40" s="359"/>
    </row>
    <row r="41" spans="1:15" ht="12.75">
      <c r="A41" s="43" t="s">
        <v>194</v>
      </c>
      <c r="N41" s="137"/>
      <c r="O41" s="137"/>
    </row>
    <row r="42" spans="1:16" ht="12.75">
      <c r="A42" s="43" t="s">
        <v>421</v>
      </c>
      <c r="B42" s="26" t="s">
        <v>8</v>
      </c>
      <c r="C42" s="26" t="s">
        <v>8</v>
      </c>
      <c r="D42" s="26" t="s">
        <v>8</v>
      </c>
      <c r="E42" s="26" t="s">
        <v>8</v>
      </c>
      <c r="F42" s="26" t="s">
        <v>8</v>
      </c>
      <c r="G42" s="26" t="s">
        <v>8</v>
      </c>
      <c r="H42" s="26" t="s">
        <v>8</v>
      </c>
      <c r="I42" s="26" t="s">
        <v>8</v>
      </c>
      <c r="J42" s="26" t="s">
        <v>8</v>
      </c>
      <c r="K42" s="26" t="s">
        <v>8</v>
      </c>
      <c r="L42" s="26" t="s">
        <v>8</v>
      </c>
      <c r="M42" s="26" t="s">
        <v>8</v>
      </c>
      <c r="N42" s="149" t="s">
        <v>8</v>
      </c>
      <c r="O42" s="149" t="s">
        <v>8</v>
      </c>
      <c r="P42" s="26" t="s">
        <v>8</v>
      </c>
    </row>
    <row r="43" spans="1:16" ht="12.75">
      <c r="A43" s="227" t="s">
        <v>348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435"/>
      <c r="O43" s="435">
        <v>1154</v>
      </c>
      <c r="P43" s="358">
        <f>SUM(C43:O43)</f>
        <v>1154</v>
      </c>
    </row>
    <row r="44" spans="1:16" ht="12.75">
      <c r="A44" s="227" t="s">
        <v>361</v>
      </c>
      <c r="B44" s="358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435"/>
      <c r="O44" s="435">
        <v>0</v>
      </c>
      <c r="P44" s="358">
        <f>SUM(C44:O44)</f>
        <v>0</v>
      </c>
    </row>
    <row r="45" spans="1:16" ht="12.75">
      <c r="A45" s="14" t="s">
        <v>1</v>
      </c>
      <c r="B45" s="247">
        <f>SUM(C45:G45)</f>
        <v>767</v>
      </c>
      <c r="C45" s="247"/>
      <c r="D45" s="247"/>
      <c r="E45" s="247"/>
      <c r="F45" s="247"/>
      <c r="G45" s="247">
        <v>767</v>
      </c>
      <c r="H45" s="247">
        <v>12575</v>
      </c>
      <c r="I45" s="247">
        <v>102125</v>
      </c>
      <c r="J45" s="269">
        <v>9114</v>
      </c>
      <c r="K45" s="269">
        <v>35317</v>
      </c>
      <c r="L45" s="269">
        <v>47743</v>
      </c>
      <c r="M45" s="269"/>
      <c r="N45" s="269">
        <v>0</v>
      </c>
      <c r="O45" s="269">
        <f>SUM(O43:O44)</f>
        <v>1154</v>
      </c>
      <c r="P45" s="247">
        <f>SUM(C45:O45)</f>
        <v>208795</v>
      </c>
    </row>
    <row r="46" spans="14:15" ht="12.75">
      <c r="N46" s="137"/>
      <c r="O46" s="137"/>
    </row>
    <row r="47" spans="1:16" ht="12.75">
      <c r="A47" s="1" t="s">
        <v>422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149"/>
      <c r="O47" s="149"/>
      <c r="P47" s="26"/>
    </row>
    <row r="48" spans="1:16" ht="12.75">
      <c r="A48" s="227" t="s">
        <v>348</v>
      </c>
      <c r="B48" s="358"/>
      <c r="C48" s="358"/>
      <c r="D48" s="358"/>
      <c r="E48" s="358"/>
      <c r="F48" s="358"/>
      <c r="G48" s="358"/>
      <c r="H48" s="358"/>
      <c r="I48" s="358"/>
      <c r="J48" s="358"/>
      <c r="K48" s="358"/>
      <c r="L48" s="358"/>
      <c r="M48" s="358"/>
      <c r="N48" s="435"/>
      <c r="O48" s="435">
        <v>13850</v>
      </c>
      <c r="P48" s="358">
        <f>SUM(C48:O48)</f>
        <v>13850</v>
      </c>
    </row>
    <row r="49" spans="1:16" ht="12.75">
      <c r="A49" s="227" t="s">
        <v>361</v>
      </c>
      <c r="B49" s="358"/>
      <c r="C49" s="358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435"/>
      <c r="O49" s="435">
        <v>0</v>
      </c>
      <c r="P49" s="358">
        <f>SUM(C49:O49)</f>
        <v>0</v>
      </c>
    </row>
    <row r="50" spans="1:16" ht="12.75">
      <c r="A50" s="14" t="s">
        <v>1</v>
      </c>
      <c r="B50" s="247">
        <f>SUM(C50:G50)</f>
        <v>11498</v>
      </c>
      <c r="C50" s="247"/>
      <c r="D50" s="247"/>
      <c r="E50" s="247"/>
      <c r="F50" s="247"/>
      <c r="G50" s="247">
        <v>11498</v>
      </c>
      <c r="H50" s="247">
        <v>112759</v>
      </c>
      <c r="I50" s="247">
        <v>1225505</v>
      </c>
      <c r="J50" s="269">
        <v>109364</v>
      </c>
      <c r="K50" s="269">
        <v>423802</v>
      </c>
      <c r="L50" s="269">
        <v>524075</v>
      </c>
      <c r="M50" s="269"/>
      <c r="N50" s="269">
        <v>0</v>
      </c>
      <c r="O50" s="269">
        <f>SUM(O48:O49)</f>
        <v>13850</v>
      </c>
      <c r="P50" s="247">
        <f>SUM(C50:O50)</f>
        <v>2420853</v>
      </c>
    </row>
    <row r="51" spans="14:15" ht="12.75">
      <c r="N51" s="137"/>
      <c r="O51" s="137"/>
    </row>
    <row r="52" spans="1:16" ht="12.75">
      <c r="A52" s="1" t="s">
        <v>455</v>
      </c>
      <c r="B52" s="26" t="s">
        <v>411</v>
      </c>
      <c r="C52" s="26" t="s">
        <v>411</v>
      </c>
      <c r="D52" s="26" t="s">
        <v>411</v>
      </c>
      <c r="E52" s="26" t="s">
        <v>411</v>
      </c>
      <c r="F52" s="26" t="s">
        <v>411</v>
      </c>
      <c r="G52" s="26" t="s">
        <v>411</v>
      </c>
      <c r="H52" s="26" t="s">
        <v>411</v>
      </c>
      <c r="I52" s="26" t="s">
        <v>411</v>
      </c>
      <c r="J52" s="26" t="s">
        <v>411</v>
      </c>
      <c r="K52" s="26" t="s">
        <v>411</v>
      </c>
      <c r="L52" s="26" t="s">
        <v>411</v>
      </c>
      <c r="M52" s="26" t="s">
        <v>411</v>
      </c>
      <c r="N52" s="149" t="s">
        <v>411</v>
      </c>
      <c r="O52" s="149" t="s">
        <v>411</v>
      </c>
      <c r="P52" s="26" t="s">
        <v>411</v>
      </c>
    </row>
    <row r="53" spans="1:16" ht="12.75">
      <c r="A53" s="227" t="s">
        <v>348</v>
      </c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435"/>
      <c r="O53" s="435">
        <v>410</v>
      </c>
      <c r="P53" s="358">
        <f>SUM(C53:O53)</f>
        <v>410</v>
      </c>
    </row>
    <row r="54" spans="1:16" ht="12.75">
      <c r="A54" s="227" t="s">
        <v>361</v>
      </c>
      <c r="B54" s="358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435"/>
      <c r="O54" s="435">
        <v>0</v>
      </c>
      <c r="P54" s="358">
        <f>SUM(C54:O54)</f>
        <v>0</v>
      </c>
    </row>
    <row r="55" spans="1:16" ht="12.75">
      <c r="A55" s="14" t="s">
        <v>1</v>
      </c>
      <c r="B55" s="247">
        <f>SUM(C55:G55)</f>
        <v>140</v>
      </c>
      <c r="C55" s="247"/>
      <c r="D55" s="247"/>
      <c r="E55" s="247"/>
      <c r="F55" s="247"/>
      <c r="G55" s="247">
        <v>140</v>
      </c>
      <c r="H55" s="247">
        <v>3175</v>
      </c>
      <c r="I55" s="247">
        <v>4925</v>
      </c>
      <c r="J55" s="269">
        <v>1276</v>
      </c>
      <c r="K55" s="269">
        <v>4700</v>
      </c>
      <c r="L55" s="269">
        <v>5535</v>
      </c>
      <c r="M55" s="269"/>
      <c r="N55" s="269">
        <v>0</v>
      </c>
      <c r="O55" s="269">
        <f>SUM(O53:O54)</f>
        <v>410</v>
      </c>
      <c r="P55" s="247">
        <f>SUM(C55:O55)</f>
        <v>20161</v>
      </c>
    </row>
    <row r="56" spans="1:16" ht="12.75">
      <c r="A56" s="30"/>
      <c r="B56" s="359"/>
      <c r="C56" s="359"/>
      <c r="D56" s="359"/>
      <c r="E56" s="359"/>
      <c r="F56" s="359"/>
      <c r="G56" s="359"/>
      <c r="H56" s="359"/>
      <c r="I56" s="359"/>
      <c r="J56" s="360"/>
      <c r="K56" s="360"/>
      <c r="L56" s="360"/>
      <c r="M56" s="360"/>
      <c r="N56" s="360"/>
      <c r="O56" s="360"/>
      <c r="P56" s="359"/>
    </row>
    <row r="57" spans="1:16" ht="12.75">
      <c r="A57" s="432" t="s">
        <v>402</v>
      </c>
      <c r="B57" s="359"/>
      <c r="C57" s="359"/>
      <c r="D57" s="359"/>
      <c r="E57" s="359"/>
      <c r="F57" s="359"/>
      <c r="G57" s="359"/>
      <c r="H57" s="359"/>
      <c r="I57" s="359"/>
      <c r="J57" s="360"/>
      <c r="K57" s="360"/>
      <c r="L57" s="360"/>
      <c r="M57" s="360"/>
      <c r="N57" s="360"/>
      <c r="O57" s="360"/>
      <c r="P57" s="359"/>
    </row>
    <row r="58" spans="1:16" ht="12.75">
      <c r="A58" s="30"/>
      <c r="B58" s="359"/>
      <c r="C58" s="359"/>
      <c r="D58" s="359"/>
      <c r="E58" s="359"/>
      <c r="F58" s="359"/>
      <c r="G58" s="359"/>
      <c r="H58" s="359"/>
      <c r="I58" s="359"/>
      <c r="J58" s="360"/>
      <c r="K58" s="360"/>
      <c r="L58" s="360"/>
      <c r="M58" s="360"/>
      <c r="N58" s="360"/>
      <c r="O58" s="360"/>
      <c r="P58" s="359"/>
    </row>
    <row r="59" spans="1:16" ht="25.5">
      <c r="A59" s="43" t="s">
        <v>6</v>
      </c>
      <c r="B59" s="81" t="str">
        <f aca="true" t="shared" si="1" ref="B59:O59">B4</f>
        <v>Summary 
2001 to 2005*</v>
      </c>
      <c r="C59" s="25">
        <f t="shared" si="1"/>
        <v>2001</v>
      </c>
      <c r="D59" s="25">
        <f t="shared" si="1"/>
        <v>2002</v>
      </c>
      <c r="E59" s="25">
        <f t="shared" si="1"/>
        <v>2003</v>
      </c>
      <c r="F59" s="25">
        <f t="shared" si="1"/>
        <v>2004</v>
      </c>
      <c r="G59" s="25">
        <f t="shared" si="1"/>
        <v>2005</v>
      </c>
      <c r="H59" s="25">
        <f t="shared" si="1"/>
        <v>2006</v>
      </c>
      <c r="I59" s="25">
        <f t="shared" si="1"/>
        <v>2007</v>
      </c>
      <c r="J59" s="25">
        <f t="shared" si="1"/>
        <v>2008</v>
      </c>
      <c r="K59" s="25">
        <f t="shared" si="1"/>
        <v>2009</v>
      </c>
      <c r="L59" s="25">
        <f t="shared" si="1"/>
        <v>2010</v>
      </c>
      <c r="M59" s="25">
        <f t="shared" si="1"/>
        <v>2011</v>
      </c>
      <c r="N59" s="81" t="str">
        <f t="shared" si="1"/>
        <v>(18 month)
2012-2013</v>
      </c>
      <c r="O59" s="81" t="str">
        <f t="shared" si="1"/>
        <v>FY2014</v>
      </c>
      <c r="P59" s="359"/>
    </row>
    <row r="60" spans="1:16" ht="12.75">
      <c r="A60" s="1" t="s">
        <v>423</v>
      </c>
      <c r="B60" s="26" t="s">
        <v>11</v>
      </c>
      <c r="C60" s="26" t="s">
        <v>11</v>
      </c>
      <c r="D60" s="26" t="s">
        <v>11</v>
      </c>
      <c r="E60" s="26" t="s">
        <v>11</v>
      </c>
      <c r="F60" s="26" t="s">
        <v>11</v>
      </c>
      <c r="G60" s="26" t="s">
        <v>11</v>
      </c>
      <c r="H60" s="26" t="s">
        <v>11</v>
      </c>
      <c r="I60" s="26" t="s">
        <v>11</v>
      </c>
      <c r="J60" s="26" t="s">
        <v>11</v>
      </c>
      <c r="K60" s="26" t="s">
        <v>11</v>
      </c>
      <c r="L60" s="26" t="s">
        <v>11</v>
      </c>
      <c r="M60" s="26" t="s">
        <v>11</v>
      </c>
      <c r="N60" s="149" t="s">
        <v>11</v>
      </c>
      <c r="O60" s="149" t="s">
        <v>11</v>
      </c>
      <c r="P60" s="62"/>
    </row>
    <row r="61" spans="1:16" ht="12.75">
      <c r="A61" s="227" t="s">
        <v>348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20"/>
      <c r="O61" s="320">
        <v>0</v>
      </c>
      <c r="P61" s="62"/>
    </row>
    <row r="62" spans="1:16" ht="12.75">
      <c r="A62" s="227" t="s">
        <v>361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53"/>
      <c r="N62" s="320"/>
      <c r="O62" s="320">
        <v>8358</v>
      </c>
      <c r="P62" s="62"/>
    </row>
    <row r="63" spans="1:16" ht="12.75">
      <c r="A63" s="14" t="s">
        <v>1</v>
      </c>
      <c r="B63" s="247">
        <f>SUM(C63:G63)</f>
        <v>0</v>
      </c>
      <c r="C63" s="247"/>
      <c r="D63" s="247"/>
      <c r="E63" s="247"/>
      <c r="F63" s="247"/>
      <c r="G63" s="247">
        <v>0</v>
      </c>
      <c r="H63" s="247">
        <v>0</v>
      </c>
      <c r="I63" s="247">
        <v>526105</v>
      </c>
      <c r="J63" s="269">
        <v>52103</v>
      </c>
      <c r="K63" s="269">
        <v>176521</v>
      </c>
      <c r="L63" s="269">
        <v>171923</v>
      </c>
      <c r="M63" s="269"/>
      <c r="N63" s="269">
        <f>SUM(N61:N62)</f>
        <v>0</v>
      </c>
      <c r="O63" s="269">
        <f>SUM(O61:O62)</f>
        <v>8358</v>
      </c>
      <c r="P63" s="80"/>
    </row>
    <row r="64" spans="14:16" ht="12.75">
      <c r="N64" s="137"/>
      <c r="O64" s="137"/>
      <c r="P64" s="80"/>
    </row>
    <row r="65" spans="1:16" ht="12.75">
      <c r="A65" s="1" t="s">
        <v>424</v>
      </c>
      <c r="B65" s="26" t="s">
        <v>11</v>
      </c>
      <c r="C65" s="26" t="s">
        <v>11</v>
      </c>
      <c r="D65" s="26" t="s">
        <v>11</v>
      </c>
      <c r="E65" s="26" t="s">
        <v>11</v>
      </c>
      <c r="F65" s="26" t="s">
        <v>11</v>
      </c>
      <c r="G65" s="26" t="s">
        <v>11</v>
      </c>
      <c r="H65" s="26" t="s">
        <v>11</v>
      </c>
      <c r="I65" s="26" t="s">
        <v>11</v>
      </c>
      <c r="J65" s="26" t="s">
        <v>11</v>
      </c>
      <c r="K65" s="26" t="s">
        <v>11</v>
      </c>
      <c r="L65" s="26" t="s">
        <v>11</v>
      </c>
      <c r="M65" s="26" t="s">
        <v>11</v>
      </c>
      <c r="N65" s="149" t="s">
        <v>11</v>
      </c>
      <c r="O65" s="149" t="s">
        <v>11</v>
      </c>
      <c r="P65" s="80"/>
    </row>
    <row r="66" spans="1:16" ht="12.75">
      <c r="A66" s="227" t="s">
        <v>348</v>
      </c>
      <c r="B66" s="353"/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20"/>
      <c r="O66" s="320">
        <v>0</v>
      </c>
      <c r="P66" s="62"/>
    </row>
    <row r="67" spans="1:16" ht="12.75">
      <c r="A67" s="227" t="s">
        <v>361</v>
      </c>
      <c r="B67" s="353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20"/>
      <c r="O67" s="320">
        <v>100301</v>
      </c>
      <c r="P67" s="62"/>
    </row>
    <row r="68" spans="1:16" ht="12.75">
      <c r="A68" s="14" t="s">
        <v>1</v>
      </c>
      <c r="B68" s="247">
        <f>SUM(C68:G68)</f>
        <v>0</v>
      </c>
      <c r="C68" s="247"/>
      <c r="D68" s="247"/>
      <c r="E68" s="247"/>
      <c r="F68" s="247"/>
      <c r="G68" s="247">
        <v>0</v>
      </c>
      <c r="H68" s="247">
        <v>0</v>
      </c>
      <c r="I68" s="247">
        <v>6313260</v>
      </c>
      <c r="J68" s="269">
        <v>625236</v>
      </c>
      <c r="K68" s="269">
        <v>2118252</v>
      </c>
      <c r="L68" s="269">
        <v>2063074</v>
      </c>
      <c r="M68" s="269"/>
      <c r="N68" s="269">
        <f>SUM(N66:N67)</f>
        <v>0</v>
      </c>
      <c r="O68" s="269">
        <f>SUM(O66:O67)</f>
        <v>100301</v>
      </c>
      <c r="P68" s="80"/>
    </row>
    <row r="69" spans="1:16" ht="12.75">
      <c r="A69" s="30"/>
      <c r="B69" s="359"/>
      <c r="C69" s="359"/>
      <c r="D69" s="359"/>
      <c r="E69" s="359"/>
      <c r="F69" s="359"/>
      <c r="G69" s="359"/>
      <c r="H69" s="359"/>
      <c r="I69" s="359"/>
      <c r="J69" s="360"/>
      <c r="K69" s="360"/>
      <c r="L69" s="360"/>
      <c r="M69" s="360"/>
      <c r="N69" s="360"/>
      <c r="O69" s="360"/>
      <c r="P69" s="80"/>
    </row>
    <row r="70" spans="1:16" ht="12.75">
      <c r="A70" s="30"/>
      <c r="B70" s="359"/>
      <c r="C70" s="359"/>
      <c r="D70" s="359"/>
      <c r="E70" s="359"/>
      <c r="F70" s="359"/>
      <c r="G70" s="359"/>
      <c r="H70" s="359"/>
      <c r="I70" s="359"/>
      <c r="J70" s="360"/>
      <c r="K70" s="360"/>
      <c r="L70" s="360"/>
      <c r="M70" s="360"/>
      <c r="N70" s="360"/>
      <c r="O70" s="360"/>
      <c r="P70" s="80"/>
    </row>
    <row r="71" spans="1:16" ht="12.75">
      <c r="A71" s="432" t="s">
        <v>19</v>
      </c>
      <c r="B71" s="62"/>
      <c r="C71" s="24"/>
      <c r="D71" s="24"/>
      <c r="E71" s="24"/>
      <c r="F71" s="24"/>
      <c r="G71" s="62"/>
      <c r="H71" s="62"/>
      <c r="I71" s="62"/>
      <c r="J71" s="62"/>
      <c r="K71" s="62"/>
      <c r="L71" s="62"/>
      <c r="M71" s="62"/>
      <c r="N71" s="98"/>
      <c r="O71" s="98"/>
      <c r="P71" s="80"/>
    </row>
    <row r="72" spans="1:16" ht="12.75">
      <c r="A72" s="432"/>
      <c r="B72" s="62"/>
      <c r="C72" s="24"/>
      <c r="D72" s="24"/>
      <c r="E72" s="24"/>
      <c r="F72" s="24"/>
      <c r="G72" s="62"/>
      <c r="H72" s="62"/>
      <c r="I72" s="62"/>
      <c r="J72" s="62"/>
      <c r="K72" s="62"/>
      <c r="L72" s="62"/>
      <c r="M72" s="62"/>
      <c r="N72" s="98"/>
      <c r="O72" s="98"/>
      <c r="P72" s="62"/>
    </row>
    <row r="73" spans="1:15" ht="12.75">
      <c r="A73" s="43" t="s">
        <v>6</v>
      </c>
      <c r="B73" s="434"/>
      <c r="C73" s="419"/>
      <c r="D73" s="419"/>
      <c r="E73" s="419"/>
      <c r="F73" s="419"/>
      <c r="G73" s="434"/>
      <c r="H73" s="434"/>
      <c r="I73" s="434"/>
      <c r="J73" s="434"/>
      <c r="K73" s="434"/>
      <c r="L73" s="434"/>
      <c r="M73" s="434"/>
      <c r="N73" s="155"/>
      <c r="O73" s="155"/>
    </row>
    <row r="74" spans="1:15" ht="12.75">
      <c r="A74" s="43" t="s">
        <v>421</v>
      </c>
      <c r="B74" s="26" t="s">
        <v>8</v>
      </c>
      <c r="C74" s="26" t="s">
        <v>8</v>
      </c>
      <c r="D74" s="26" t="s">
        <v>8</v>
      </c>
      <c r="E74" s="26" t="s">
        <v>8</v>
      </c>
      <c r="F74" s="26" t="s">
        <v>8</v>
      </c>
      <c r="G74" s="26" t="s">
        <v>8</v>
      </c>
      <c r="H74" s="26" t="s">
        <v>8</v>
      </c>
      <c r="I74" s="26" t="s">
        <v>8</v>
      </c>
      <c r="J74" s="26" t="s">
        <v>8</v>
      </c>
      <c r="K74" s="26" t="s">
        <v>8</v>
      </c>
      <c r="L74" s="26" t="s">
        <v>8</v>
      </c>
      <c r="M74" s="26" t="s">
        <v>8</v>
      </c>
      <c r="N74" s="149" t="s">
        <v>8</v>
      </c>
      <c r="O74" s="149" t="s">
        <v>8</v>
      </c>
    </row>
    <row r="75" spans="1:16" ht="12.75">
      <c r="A75" s="227" t="s">
        <v>348</v>
      </c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20">
        <v>0</v>
      </c>
      <c r="O75" s="320">
        <v>0</v>
      </c>
      <c r="P75" s="28"/>
    </row>
    <row r="76" spans="1:16" ht="12.75">
      <c r="A76" s="227" t="s">
        <v>361</v>
      </c>
      <c r="B76" s="353"/>
      <c r="C76" s="353"/>
      <c r="D76" s="353"/>
      <c r="E76" s="353"/>
      <c r="F76" s="353"/>
      <c r="G76" s="353"/>
      <c r="H76" s="353"/>
      <c r="I76" s="353"/>
      <c r="J76" s="353"/>
      <c r="K76" s="353"/>
      <c r="L76" s="353"/>
      <c r="M76" s="353"/>
      <c r="N76" s="320">
        <v>169644</v>
      </c>
      <c r="O76" s="320">
        <v>0</v>
      </c>
      <c r="P76" s="28"/>
    </row>
    <row r="77" spans="1:16" ht="12.75">
      <c r="A77" s="14" t="s">
        <v>1</v>
      </c>
      <c r="B77" s="247"/>
      <c r="C77" s="247"/>
      <c r="D77" s="247"/>
      <c r="E77" s="247"/>
      <c r="F77" s="247"/>
      <c r="G77" s="247">
        <v>0</v>
      </c>
      <c r="H77" s="247"/>
      <c r="I77" s="247"/>
      <c r="J77" s="269"/>
      <c r="K77" s="269"/>
      <c r="L77" s="269"/>
      <c r="M77" s="269"/>
      <c r="N77" s="269">
        <f>SUM(N75:N76)</f>
        <v>169644</v>
      </c>
      <c r="O77" s="269">
        <f>SUM(O75:O76)</f>
        <v>0</v>
      </c>
      <c r="P77" s="28"/>
    </row>
    <row r="78" spans="1:16" ht="12.75">
      <c r="A78" s="30"/>
      <c r="B78" s="359"/>
      <c r="C78" s="359"/>
      <c r="D78" s="359"/>
      <c r="E78" s="359"/>
      <c r="F78" s="359"/>
      <c r="G78" s="359"/>
      <c r="H78" s="359"/>
      <c r="I78" s="359"/>
      <c r="J78" s="360"/>
      <c r="K78" s="360"/>
      <c r="L78" s="360"/>
      <c r="M78" s="360"/>
      <c r="N78" s="360"/>
      <c r="O78" s="360"/>
      <c r="P78" s="62"/>
    </row>
    <row r="79" spans="1:16" ht="12.75">
      <c r="A79" s="1" t="s">
        <v>422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149"/>
      <c r="O79" s="149"/>
      <c r="P79" s="24"/>
    </row>
    <row r="80" spans="1:16" ht="12.75">
      <c r="A80" s="227" t="s">
        <v>348</v>
      </c>
      <c r="B80" s="353"/>
      <c r="C80" s="353"/>
      <c r="D80" s="353"/>
      <c r="E80" s="353"/>
      <c r="F80" s="353"/>
      <c r="G80" s="353"/>
      <c r="H80" s="353"/>
      <c r="I80" s="353"/>
      <c r="J80" s="353"/>
      <c r="K80" s="353"/>
      <c r="L80" s="353"/>
      <c r="M80" s="353"/>
      <c r="N80" s="320">
        <v>0</v>
      </c>
      <c r="O80" s="320">
        <v>0</v>
      </c>
      <c r="P80" s="28"/>
    </row>
    <row r="81" spans="1:16" ht="12.75">
      <c r="A81" s="227" t="s">
        <v>361</v>
      </c>
      <c r="B81" s="353"/>
      <c r="C81" s="353"/>
      <c r="D81" s="353"/>
      <c r="E81" s="353"/>
      <c r="F81" s="353"/>
      <c r="G81" s="353"/>
      <c r="H81" s="353"/>
      <c r="I81" s="353"/>
      <c r="J81" s="353"/>
      <c r="K81" s="353"/>
      <c r="L81" s="353"/>
      <c r="M81" s="353"/>
      <c r="N81" s="320">
        <v>0</v>
      </c>
      <c r="O81" s="320">
        <v>0</v>
      </c>
      <c r="P81" s="28"/>
    </row>
    <row r="82" spans="1:16" ht="12.75">
      <c r="A82" s="14" t="s">
        <v>1</v>
      </c>
      <c r="B82" s="247">
        <f>SUM(C82:G82)</f>
        <v>0</v>
      </c>
      <c r="C82" s="247"/>
      <c r="D82" s="247"/>
      <c r="E82" s="247"/>
      <c r="F82" s="247"/>
      <c r="G82" s="247"/>
      <c r="H82" s="247"/>
      <c r="I82" s="247"/>
      <c r="J82" s="269"/>
      <c r="K82" s="269">
        <v>4245</v>
      </c>
      <c r="L82" s="269"/>
      <c r="M82" s="269"/>
      <c r="N82" s="269">
        <f>SUM(N80:N81)</f>
        <v>0</v>
      </c>
      <c r="O82" s="269">
        <f>SUM(O80:O81)</f>
        <v>0</v>
      </c>
      <c r="P82" s="28"/>
    </row>
    <row r="83" spans="14:16" ht="12.75">
      <c r="N83" s="137"/>
      <c r="O83" s="137"/>
      <c r="P83" s="62"/>
    </row>
    <row r="84" spans="1:16" ht="12.75">
      <c r="A84" s="1" t="s">
        <v>194</v>
      </c>
      <c r="N84" s="137"/>
      <c r="O84" s="137"/>
      <c r="P84" s="24"/>
    </row>
    <row r="85" spans="1:16" ht="12.75">
      <c r="A85" s="43" t="s">
        <v>421</v>
      </c>
      <c r="B85" s="26" t="s">
        <v>24</v>
      </c>
      <c r="C85" s="26" t="s">
        <v>8</v>
      </c>
      <c r="D85" s="26" t="s">
        <v>8</v>
      </c>
      <c r="E85" s="26" t="s">
        <v>8</v>
      </c>
      <c r="F85" s="26" t="s">
        <v>8</v>
      </c>
      <c r="G85" s="26" t="s">
        <v>24</v>
      </c>
      <c r="H85" s="26" t="s">
        <v>24</v>
      </c>
      <c r="I85" s="26" t="s">
        <v>8</v>
      </c>
      <c r="J85" s="26" t="s">
        <v>8</v>
      </c>
      <c r="K85" s="26" t="s">
        <v>8</v>
      </c>
      <c r="L85" s="26" t="s">
        <v>8</v>
      </c>
      <c r="M85" s="26" t="s">
        <v>8</v>
      </c>
      <c r="N85" s="149" t="s">
        <v>8</v>
      </c>
      <c r="O85" s="149" t="s">
        <v>8</v>
      </c>
      <c r="P85" s="28"/>
    </row>
    <row r="86" spans="1:16" ht="12.75">
      <c r="A86" s="227" t="s">
        <v>348</v>
      </c>
      <c r="B86" s="358"/>
      <c r="C86" s="358"/>
      <c r="D86" s="358"/>
      <c r="E86" s="358"/>
      <c r="F86" s="358"/>
      <c r="G86" s="358"/>
      <c r="H86" s="358"/>
      <c r="I86" s="358"/>
      <c r="J86" s="358"/>
      <c r="K86" s="358"/>
      <c r="L86" s="358"/>
      <c r="M86" s="358"/>
      <c r="N86" s="320">
        <v>33304</v>
      </c>
      <c r="O86" s="320">
        <v>33222</v>
      </c>
      <c r="P86" s="28"/>
    </row>
    <row r="87" spans="1:16" ht="12.75">
      <c r="A87" s="227" t="s">
        <v>361</v>
      </c>
      <c r="B87" s="358"/>
      <c r="C87" s="358"/>
      <c r="D87" s="358"/>
      <c r="E87" s="358"/>
      <c r="F87" s="358"/>
      <c r="G87" s="358"/>
      <c r="H87" s="358"/>
      <c r="I87" s="358"/>
      <c r="J87" s="358"/>
      <c r="K87" s="358"/>
      <c r="L87" s="358"/>
      <c r="M87" s="358"/>
      <c r="N87" s="320">
        <v>102314</v>
      </c>
      <c r="O87" s="320">
        <v>0</v>
      </c>
      <c r="P87" s="28"/>
    </row>
    <row r="88" spans="1:16" ht="12.75">
      <c r="A88" s="14" t="s">
        <v>1</v>
      </c>
      <c r="B88" s="247">
        <f>SUM(C88:G88)</f>
        <v>0</v>
      </c>
      <c r="C88" s="247"/>
      <c r="D88" s="247"/>
      <c r="E88" s="247"/>
      <c r="F88" s="247"/>
      <c r="G88" s="247"/>
      <c r="H88" s="247">
        <v>729628</v>
      </c>
      <c r="I88" s="247">
        <v>105252</v>
      </c>
      <c r="J88" s="247">
        <v>90800</v>
      </c>
      <c r="K88" s="247">
        <v>123895</v>
      </c>
      <c r="L88" s="247">
        <v>41718</v>
      </c>
      <c r="M88" s="247">
        <v>2455</v>
      </c>
      <c r="N88" s="269">
        <f>SUM(N86:N87)</f>
        <v>135618</v>
      </c>
      <c r="O88" s="269">
        <f>SUM(O86:O87)</f>
        <v>33222</v>
      </c>
      <c r="P88" s="62"/>
    </row>
    <row r="89" spans="14:16" ht="12.75">
      <c r="N89" s="137"/>
      <c r="O89" s="137"/>
      <c r="P89" s="62"/>
    </row>
    <row r="90" spans="1:16" ht="12.75">
      <c r="A90" s="1" t="s">
        <v>422</v>
      </c>
      <c r="B90" s="26" t="s">
        <v>8</v>
      </c>
      <c r="C90" s="26" t="s">
        <v>8</v>
      </c>
      <c r="D90" s="26" t="s">
        <v>8</v>
      </c>
      <c r="E90" s="26" t="s">
        <v>8</v>
      </c>
      <c r="F90" s="26" t="s">
        <v>8</v>
      </c>
      <c r="G90" s="26" t="s">
        <v>8</v>
      </c>
      <c r="H90" s="26" t="s">
        <v>8</v>
      </c>
      <c r="I90" s="26" t="s">
        <v>8</v>
      </c>
      <c r="J90" s="26" t="s">
        <v>8</v>
      </c>
      <c r="K90" s="26" t="s">
        <v>8</v>
      </c>
      <c r="L90" s="26" t="s">
        <v>8</v>
      </c>
      <c r="M90" s="26" t="s">
        <v>8</v>
      </c>
      <c r="N90" s="149" t="s">
        <v>8</v>
      </c>
      <c r="O90" s="149" t="s">
        <v>8</v>
      </c>
      <c r="P90" s="62"/>
    </row>
    <row r="91" spans="1:16" ht="12.75">
      <c r="A91" s="227" t="s">
        <v>348</v>
      </c>
      <c r="B91" s="358"/>
      <c r="C91" s="358"/>
      <c r="D91" s="358"/>
      <c r="E91" s="358"/>
      <c r="F91" s="358"/>
      <c r="G91" s="358"/>
      <c r="H91" s="358"/>
      <c r="I91" s="358"/>
      <c r="J91" s="358"/>
      <c r="K91" s="358"/>
      <c r="L91" s="358"/>
      <c r="M91" s="358"/>
      <c r="N91" s="320">
        <v>399643</v>
      </c>
      <c r="O91" s="320">
        <v>440093</v>
      </c>
      <c r="P91" s="80"/>
    </row>
    <row r="92" spans="1:16" ht="12.75">
      <c r="A92" s="227" t="s">
        <v>361</v>
      </c>
      <c r="B92" s="358"/>
      <c r="C92" s="358"/>
      <c r="D92" s="358"/>
      <c r="E92" s="358"/>
      <c r="F92" s="358"/>
      <c r="G92" s="358"/>
      <c r="H92" s="358"/>
      <c r="I92" s="358"/>
      <c r="J92" s="358"/>
      <c r="K92" s="358"/>
      <c r="L92" s="358"/>
      <c r="M92" s="358"/>
      <c r="N92" s="320">
        <v>2168539</v>
      </c>
      <c r="O92" s="320">
        <v>0</v>
      </c>
      <c r="P92" s="80"/>
    </row>
    <row r="93" spans="1:16" ht="12.75">
      <c r="A93" s="14" t="s">
        <v>1</v>
      </c>
      <c r="B93" s="247">
        <f>SUM(C93:G93)</f>
        <v>199875</v>
      </c>
      <c r="C93" s="247"/>
      <c r="D93" s="247"/>
      <c r="E93" s="247"/>
      <c r="F93" s="247"/>
      <c r="G93" s="247">
        <v>199875</v>
      </c>
      <c r="H93" s="247">
        <v>0</v>
      </c>
      <c r="I93" s="247">
        <v>1263019</v>
      </c>
      <c r="J93" s="247">
        <v>3705353</v>
      </c>
      <c r="K93" s="247">
        <v>1486741</v>
      </c>
      <c r="L93" s="247">
        <v>500620</v>
      </c>
      <c r="M93" s="247">
        <v>29465</v>
      </c>
      <c r="N93" s="269">
        <f>SUM(N91:N92)</f>
        <v>2568182</v>
      </c>
      <c r="O93" s="269">
        <f>SUM(O91:O92)</f>
        <v>440093</v>
      </c>
      <c r="P93" s="80"/>
    </row>
    <row r="94" spans="14:16" ht="12.75">
      <c r="N94" s="137"/>
      <c r="O94" s="137"/>
      <c r="P94" s="62"/>
    </row>
    <row r="95" spans="1:16" ht="12.75">
      <c r="A95" s="1" t="s">
        <v>455</v>
      </c>
      <c r="B95" s="26" t="s">
        <v>411</v>
      </c>
      <c r="C95" s="26" t="s">
        <v>411</v>
      </c>
      <c r="D95" s="26" t="s">
        <v>411</v>
      </c>
      <c r="E95" s="26" t="s">
        <v>411</v>
      </c>
      <c r="F95" s="26" t="s">
        <v>411</v>
      </c>
      <c r="G95" s="26" t="s">
        <v>411</v>
      </c>
      <c r="H95" s="26" t="s">
        <v>411</v>
      </c>
      <c r="I95" s="26" t="s">
        <v>411</v>
      </c>
      <c r="J95" s="26" t="s">
        <v>411</v>
      </c>
      <c r="K95" s="26" t="s">
        <v>411</v>
      </c>
      <c r="L95" s="26" t="s">
        <v>411</v>
      </c>
      <c r="M95" s="26" t="s">
        <v>411</v>
      </c>
      <c r="N95" s="149" t="s">
        <v>411</v>
      </c>
      <c r="O95" s="149" t="s">
        <v>411</v>
      </c>
      <c r="P95" s="62"/>
    </row>
    <row r="96" spans="1:16" ht="12.75">
      <c r="A96" s="227" t="s">
        <v>348</v>
      </c>
      <c r="B96" s="358"/>
      <c r="C96" s="358"/>
      <c r="D96" s="358"/>
      <c r="E96" s="358"/>
      <c r="F96" s="358"/>
      <c r="G96" s="358"/>
      <c r="H96" s="358"/>
      <c r="I96" s="358"/>
      <c r="J96" s="358"/>
      <c r="K96" s="358"/>
      <c r="L96" s="358"/>
      <c r="M96" s="358"/>
      <c r="N96" s="320">
        <v>4425</v>
      </c>
      <c r="O96" s="320">
        <v>4243</v>
      </c>
      <c r="P96" s="80"/>
    </row>
    <row r="97" spans="1:16" ht="12.75">
      <c r="A97" s="227" t="s">
        <v>361</v>
      </c>
      <c r="B97" s="358"/>
      <c r="C97" s="358"/>
      <c r="D97" s="358"/>
      <c r="E97" s="358"/>
      <c r="F97" s="358"/>
      <c r="G97" s="358"/>
      <c r="H97" s="358"/>
      <c r="I97" s="358"/>
      <c r="J97" s="358"/>
      <c r="K97" s="358"/>
      <c r="L97" s="358"/>
      <c r="M97" s="358"/>
      <c r="N97" s="320">
        <v>12579</v>
      </c>
      <c r="O97" s="320">
        <v>0</v>
      </c>
      <c r="P97" s="80"/>
    </row>
    <row r="98" spans="1:16" ht="12.75">
      <c r="A98" s="14" t="s">
        <v>1</v>
      </c>
      <c r="B98" s="247">
        <f>SUM(C98:G98)</f>
        <v>2668</v>
      </c>
      <c r="C98" s="247"/>
      <c r="D98" s="247"/>
      <c r="E98" s="247"/>
      <c r="F98" s="247"/>
      <c r="G98" s="247">
        <v>2668</v>
      </c>
      <c r="H98" s="247">
        <v>0</v>
      </c>
      <c r="I98" s="247">
        <v>13685</v>
      </c>
      <c r="J98" s="247">
        <v>11365</v>
      </c>
      <c r="K98" s="247">
        <v>16367</v>
      </c>
      <c r="L98" s="247">
        <v>5970</v>
      </c>
      <c r="M98" s="247">
        <v>300</v>
      </c>
      <c r="N98" s="269">
        <f>SUM(N96:N97)</f>
        <v>17004</v>
      </c>
      <c r="O98" s="269">
        <f>SUM(O96:O97)</f>
        <v>4243</v>
      </c>
      <c r="P98" s="80"/>
    </row>
    <row r="99" spans="1:16" ht="12.75">
      <c r="A99" s="24"/>
      <c r="B99" s="62"/>
      <c r="C99" s="24"/>
      <c r="D99" s="24"/>
      <c r="E99" s="24"/>
      <c r="F99" s="24"/>
      <c r="G99" s="62"/>
      <c r="H99" s="62"/>
      <c r="I99" s="62"/>
      <c r="J99" s="62"/>
      <c r="K99" s="62"/>
      <c r="L99" s="62"/>
      <c r="M99" s="62"/>
      <c r="N99" s="98"/>
      <c r="O99" s="98"/>
      <c r="P99" s="62"/>
    </row>
    <row r="100" spans="1:16" ht="12.75">
      <c r="A100" s="43" t="s">
        <v>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148"/>
      <c r="O100" s="148"/>
      <c r="P100" s="100"/>
    </row>
    <row r="101" spans="1:16" ht="12.75">
      <c r="A101" s="1" t="s">
        <v>423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100"/>
    </row>
    <row r="102" spans="1:16" ht="12.75">
      <c r="A102" s="227" t="s">
        <v>348</v>
      </c>
      <c r="B102" s="353"/>
      <c r="C102" s="353"/>
      <c r="D102" s="353"/>
      <c r="E102" s="353"/>
      <c r="F102" s="353"/>
      <c r="G102" s="353"/>
      <c r="H102" s="353"/>
      <c r="I102" s="353"/>
      <c r="J102" s="353"/>
      <c r="K102" s="353"/>
      <c r="L102" s="353"/>
      <c r="M102" s="353"/>
      <c r="N102" s="320">
        <v>74230</v>
      </c>
      <c r="O102" s="320">
        <v>0</v>
      </c>
      <c r="P102" s="100"/>
    </row>
    <row r="103" spans="1:16" ht="12.75">
      <c r="A103" s="227" t="s">
        <v>361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20">
        <v>550048</v>
      </c>
      <c r="O103" s="320">
        <v>90526</v>
      </c>
      <c r="P103" s="100"/>
    </row>
    <row r="104" spans="1:16" ht="12.75">
      <c r="A104" s="14" t="s">
        <v>1</v>
      </c>
      <c r="B104" s="247">
        <f>SUM(C104:G104)</f>
        <v>217927</v>
      </c>
      <c r="C104" s="247"/>
      <c r="D104" s="247"/>
      <c r="E104" s="247"/>
      <c r="F104" s="247"/>
      <c r="G104" s="247">
        <v>217927</v>
      </c>
      <c r="H104" s="247">
        <v>0</v>
      </c>
      <c r="I104" s="247">
        <v>603845</v>
      </c>
      <c r="J104" s="269">
        <v>1254210</v>
      </c>
      <c r="K104" s="269">
        <v>962446</v>
      </c>
      <c r="L104" s="269">
        <v>235419</v>
      </c>
      <c r="M104" s="269">
        <v>5202</v>
      </c>
      <c r="N104" s="269">
        <f>SUM(N102:N103)</f>
        <v>624278</v>
      </c>
      <c r="O104" s="269">
        <f>SUM(O102:O103)</f>
        <v>90526</v>
      </c>
      <c r="P104" s="62"/>
    </row>
    <row r="105" spans="2:16" ht="12.75">
      <c r="B105" s="23"/>
      <c r="G105" s="23"/>
      <c r="H105" s="23"/>
      <c r="I105" s="23"/>
      <c r="J105" s="23"/>
      <c r="K105" s="23"/>
      <c r="L105" s="23"/>
      <c r="M105" s="23"/>
      <c r="N105" s="139"/>
      <c r="O105" s="139"/>
      <c r="P105" s="100"/>
    </row>
    <row r="106" spans="1:16" ht="12.75">
      <c r="A106" s="1" t="s">
        <v>424</v>
      </c>
      <c r="B106" s="26" t="s">
        <v>11</v>
      </c>
      <c r="C106" s="26" t="s">
        <v>11</v>
      </c>
      <c r="D106" s="26" t="s">
        <v>11</v>
      </c>
      <c r="E106" s="26" t="s">
        <v>11</v>
      </c>
      <c r="F106" s="26" t="s">
        <v>11</v>
      </c>
      <c r="G106" s="26" t="s">
        <v>11</v>
      </c>
      <c r="H106" s="26" t="s">
        <v>11</v>
      </c>
      <c r="I106" s="26" t="s">
        <v>11</v>
      </c>
      <c r="J106" s="26" t="s">
        <v>11</v>
      </c>
      <c r="K106" s="26" t="s">
        <v>11</v>
      </c>
      <c r="L106" s="26" t="s">
        <v>11</v>
      </c>
      <c r="M106" s="26" t="s">
        <v>11</v>
      </c>
      <c r="N106" s="149" t="s">
        <v>11</v>
      </c>
      <c r="O106" s="149" t="s">
        <v>11</v>
      </c>
      <c r="P106" s="25"/>
    </row>
    <row r="107" spans="1:16" ht="12.75">
      <c r="A107" s="227" t="s">
        <v>348</v>
      </c>
      <c r="B107" s="353"/>
      <c r="C107" s="353"/>
      <c r="D107" s="353"/>
      <c r="E107" s="353"/>
      <c r="F107" s="353"/>
      <c r="G107" s="353"/>
      <c r="H107" s="353"/>
      <c r="I107" s="353"/>
      <c r="J107" s="353"/>
      <c r="K107" s="353"/>
      <c r="L107" s="353"/>
      <c r="M107" s="353"/>
      <c r="N107" s="320">
        <v>930760</v>
      </c>
      <c r="O107" s="320">
        <v>0</v>
      </c>
      <c r="P107" s="25"/>
    </row>
    <row r="108" spans="1:16" ht="12.75">
      <c r="A108" s="227" t="s">
        <v>361</v>
      </c>
      <c r="B108" s="353"/>
      <c r="C108" s="353"/>
      <c r="D108" s="353"/>
      <c r="E108" s="353"/>
      <c r="F108" s="353"/>
      <c r="G108" s="353"/>
      <c r="H108" s="353"/>
      <c r="I108" s="353"/>
      <c r="J108" s="353"/>
      <c r="K108" s="353"/>
      <c r="L108" s="353"/>
      <c r="M108" s="353"/>
      <c r="N108" s="320">
        <v>13248900</v>
      </c>
      <c r="O108" s="320">
        <v>1298191</v>
      </c>
      <c r="P108" s="62"/>
    </row>
    <row r="109" spans="1:16" ht="12.75">
      <c r="A109" s="14" t="s">
        <v>1</v>
      </c>
      <c r="B109" s="247">
        <f>SUM(C109:G109)</f>
        <v>3268911</v>
      </c>
      <c r="C109" s="247"/>
      <c r="D109" s="247"/>
      <c r="E109" s="247"/>
      <c r="F109" s="247"/>
      <c r="G109" s="247">
        <v>3268911</v>
      </c>
      <c r="H109" s="247">
        <v>0</v>
      </c>
      <c r="I109" s="247">
        <v>7246151</v>
      </c>
      <c r="J109" s="269">
        <v>14391686</v>
      </c>
      <c r="K109" s="269">
        <v>11549352</v>
      </c>
      <c r="L109" s="269">
        <v>2825028</v>
      </c>
      <c r="M109" s="269">
        <v>62424</v>
      </c>
      <c r="N109" s="269">
        <f>SUM(N107:N108)</f>
        <v>14179660</v>
      </c>
      <c r="O109" s="269">
        <f>SUM(O107:O108)</f>
        <v>1298191</v>
      </c>
      <c r="P109" s="62"/>
    </row>
    <row r="110" spans="1:16" ht="12.75">
      <c r="A110" s="2" t="s">
        <v>291</v>
      </c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148"/>
      <c r="O110" s="148"/>
      <c r="P110" s="25"/>
    </row>
    <row r="111" spans="1:16" ht="15.75">
      <c r="A111" s="56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148"/>
      <c r="O111" s="148"/>
      <c r="P111" s="25"/>
    </row>
    <row r="112" ht="12.75">
      <c r="P112" s="62"/>
    </row>
    <row r="113" ht="12.75">
      <c r="P113" s="28"/>
    </row>
    <row r="114" ht="12.75">
      <c r="P114" s="62"/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2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5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7" width="15.140625" style="0" customWidth="1"/>
    <col min="8" max="8" width="15.57421875" style="0" customWidth="1"/>
  </cols>
  <sheetData>
    <row r="1" spans="1:16" ht="12.75">
      <c r="A1" s="459" t="s">
        <v>407</v>
      </c>
      <c r="B1" s="459"/>
      <c r="C1" s="459"/>
      <c r="D1" s="459"/>
      <c r="E1" s="459"/>
      <c r="F1" s="459"/>
      <c r="G1" s="459"/>
      <c r="H1" s="459"/>
      <c r="I1" s="436"/>
      <c r="J1" s="436"/>
      <c r="K1" s="436"/>
      <c r="L1" s="436"/>
      <c r="M1" s="436"/>
      <c r="N1" s="436"/>
      <c r="O1" s="436"/>
      <c r="P1" s="436"/>
    </row>
    <row r="2" spans="1:8" ht="12.75">
      <c r="A2" s="459" t="s">
        <v>235</v>
      </c>
      <c r="B2" s="459"/>
      <c r="C2" s="459"/>
      <c r="D2" s="459"/>
      <c r="E2" s="459"/>
      <c r="F2" s="459"/>
      <c r="G2" s="459"/>
      <c r="H2" s="459"/>
    </row>
    <row r="4" spans="1:8" ht="25.5">
      <c r="A4" s="30" t="s">
        <v>206</v>
      </c>
      <c r="B4" s="28">
        <v>2008</v>
      </c>
      <c r="C4" s="25">
        <v>2009</v>
      </c>
      <c r="D4" s="25">
        <v>2010</v>
      </c>
      <c r="E4" s="25">
        <v>2011</v>
      </c>
      <c r="F4" s="127" t="s">
        <v>347</v>
      </c>
      <c r="G4" s="127" t="s">
        <v>353</v>
      </c>
      <c r="H4" s="81" t="str">
        <f>"Total "&amp;CHAR(10)&amp;B4&amp;" ~ "&amp;G4</f>
        <v>Total 
2008 ~ FY2014</v>
      </c>
    </row>
    <row r="5" spans="1:8" ht="12.75">
      <c r="A5" s="19" t="s">
        <v>183</v>
      </c>
      <c r="B5" s="283">
        <v>3000000</v>
      </c>
      <c r="C5" s="283">
        <v>23245128.080000002</v>
      </c>
      <c r="D5" s="283">
        <v>24532976.5</v>
      </c>
      <c r="E5" s="283">
        <v>35896150.92</v>
      </c>
      <c r="F5" s="291">
        <v>56632162.2</v>
      </c>
      <c r="G5" s="291">
        <v>42569603.07</v>
      </c>
      <c r="H5" s="283">
        <f>SUM(B5:G5)</f>
        <v>185876020.76999998</v>
      </c>
    </row>
    <row r="6" spans="1:8" ht="12.75">
      <c r="A6" s="21"/>
      <c r="B6" s="21"/>
      <c r="C6" s="102"/>
      <c r="D6" s="102"/>
      <c r="E6" s="102"/>
      <c r="F6" s="138"/>
      <c r="G6" s="138"/>
      <c r="H6" s="102"/>
    </row>
    <row r="7" spans="1:8" ht="12.75">
      <c r="A7" s="30" t="s">
        <v>207</v>
      </c>
      <c r="B7" s="30"/>
      <c r="C7" s="102"/>
      <c r="D7" s="102"/>
      <c r="E7" s="102"/>
      <c r="F7" s="138"/>
      <c r="G7" s="138"/>
      <c r="H7" s="102"/>
    </row>
    <row r="8" spans="1:8" ht="12.75">
      <c r="A8" s="182" t="s">
        <v>20</v>
      </c>
      <c r="B8" s="290">
        <v>0</v>
      </c>
      <c r="C8" s="280">
        <v>125000</v>
      </c>
      <c r="D8" s="280">
        <v>3970159.58</v>
      </c>
      <c r="E8" s="280">
        <v>21733218.78</v>
      </c>
      <c r="F8" s="281">
        <v>34203559.13</v>
      </c>
      <c r="G8" s="281">
        <v>26688242.65</v>
      </c>
      <c r="H8" s="280">
        <f>SUM(B8:G8)</f>
        <v>86720180.14</v>
      </c>
    </row>
    <row r="9" spans="1:9" ht="12.75">
      <c r="A9" s="182" t="s">
        <v>19</v>
      </c>
      <c r="B9" s="290"/>
      <c r="C9" s="280"/>
      <c r="D9" s="280"/>
      <c r="E9" s="280">
        <v>1086568</v>
      </c>
      <c r="F9" s="281">
        <v>14874180.48</v>
      </c>
      <c r="G9" s="281">
        <v>13633307.92</v>
      </c>
      <c r="H9" s="281"/>
      <c r="I9" s="147"/>
    </row>
    <row r="10" spans="1:9" ht="12.75">
      <c r="A10" s="16" t="s">
        <v>1</v>
      </c>
      <c r="B10" s="283"/>
      <c r="C10" s="283"/>
      <c r="D10" s="283"/>
      <c r="E10" s="283">
        <f>SUM(E8:E9)</f>
        <v>22819786.78</v>
      </c>
      <c r="F10" s="283">
        <f>SUM(F8:F9)</f>
        <v>49077739.61</v>
      </c>
      <c r="G10" s="283">
        <f>SUM(G8:G9)</f>
        <v>40321550.57</v>
      </c>
      <c r="H10" s="291"/>
      <c r="I10" s="137"/>
    </row>
    <row r="11" spans="1:2" ht="12.75">
      <c r="A11" s="21"/>
      <c r="B11" s="21"/>
    </row>
    <row r="12" spans="1:10" ht="12.75">
      <c r="A12" s="43" t="s">
        <v>5</v>
      </c>
      <c r="B12" s="43"/>
      <c r="E12" s="137"/>
      <c r="F12" s="137"/>
      <c r="G12" s="137"/>
      <c r="H12" s="137"/>
      <c r="I12" s="137"/>
      <c r="J12" s="137"/>
    </row>
    <row r="13" spans="1:10" ht="12.75">
      <c r="A13" s="182" t="s">
        <v>402</v>
      </c>
      <c r="B13" s="292"/>
      <c r="C13" s="248"/>
      <c r="D13" s="248">
        <v>162</v>
      </c>
      <c r="E13" s="258">
        <v>1325</v>
      </c>
      <c r="F13" s="258">
        <v>2084</v>
      </c>
      <c r="G13" s="258">
        <v>1124</v>
      </c>
      <c r="H13" s="258">
        <f>SUM(B13:G13)</f>
        <v>4695</v>
      </c>
      <c r="I13" s="139"/>
      <c r="J13" s="137"/>
    </row>
    <row r="14" spans="1:10" ht="12.75">
      <c r="A14" s="182" t="s">
        <v>19</v>
      </c>
      <c r="B14" s="292"/>
      <c r="C14" s="248"/>
      <c r="D14" s="258">
        <v>443</v>
      </c>
      <c r="E14" s="258"/>
      <c r="F14" s="258"/>
      <c r="G14" s="258"/>
      <c r="H14" s="258">
        <f>SUM(B14:G14)</f>
        <v>443</v>
      </c>
      <c r="I14" s="136"/>
      <c r="J14" s="137"/>
    </row>
    <row r="15" spans="1:10" ht="12.75">
      <c r="A15" s="16" t="s">
        <v>1</v>
      </c>
      <c r="B15" s="292"/>
      <c r="C15" s="247">
        <f>SUM(C13:C14)</f>
        <v>0</v>
      </c>
      <c r="D15" s="247">
        <f>SUM(D13:D14)</f>
        <v>605</v>
      </c>
      <c r="E15" s="269">
        <f>SUM(E13:E14)</f>
        <v>1325</v>
      </c>
      <c r="F15" s="269">
        <f>SUM(F13:F14)</f>
        <v>2084</v>
      </c>
      <c r="G15" s="269">
        <f>SUM(G13:G14)</f>
        <v>1124</v>
      </c>
      <c r="H15" s="269">
        <f>SUM(B15:G15)</f>
        <v>5138</v>
      </c>
      <c r="I15" s="156"/>
      <c r="J15" s="137"/>
    </row>
    <row r="16" spans="1:10" ht="12.75">
      <c r="A16" s="43"/>
      <c r="B16" s="43"/>
      <c r="C16" s="24"/>
      <c r="D16" s="24"/>
      <c r="E16" s="74"/>
      <c r="F16" s="74"/>
      <c r="G16" s="74"/>
      <c r="H16" s="74"/>
      <c r="I16" s="137"/>
      <c r="J16" s="137"/>
    </row>
    <row r="17" spans="1:10" ht="12.75">
      <c r="A17" s="43"/>
      <c r="B17" s="43"/>
      <c r="C17" s="24"/>
      <c r="D17" s="24"/>
      <c r="E17" s="74"/>
      <c r="F17" s="74"/>
      <c r="G17" s="74"/>
      <c r="H17" s="74"/>
      <c r="I17" s="137"/>
      <c r="J17" s="137"/>
    </row>
    <row r="18" spans="1:10" ht="12.75">
      <c r="A18" s="432" t="s">
        <v>402</v>
      </c>
      <c r="B18" s="43"/>
      <c r="C18" s="24"/>
      <c r="D18" s="24"/>
      <c r="E18" s="74"/>
      <c r="F18" s="74"/>
      <c r="G18" s="74"/>
      <c r="H18" s="74"/>
      <c r="I18" s="137"/>
      <c r="J18" s="137"/>
    </row>
    <row r="19" spans="1:10" ht="12.75">
      <c r="A19" s="432"/>
      <c r="B19" s="21"/>
      <c r="E19" s="137"/>
      <c r="F19" s="137"/>
      <c r="G19" s="137"/>
      <c r="H19" s="137"/>
      <c r="I19" s="137"/>
      <c r="J19" s="137"/>
    </row>
    <row r="20" spans="1:2" ht="12.75">
      <c r="A20" s="43" t="s">
        <v>6</v>
      </c>
      <c r="B20" s="43"/>
    </row>
    <row r="21" spans="1:8" ht="12.75">
      <c r="A21" s="43" t="s">
        <v>7</v>
      </c>
      <c r="B21" s="40" t="s">
        <v>8</v>
      </c>
      <c r="C21" s="40" t="s">
        <v>8</v>
      </c>
      <c r="D21" s="40" t="s">
        <v>8</v>
      </c>
      <c r="E21" s="40" t="s">
        <v>8</v>
      </c>
      <c r="F21" s="40" t="s">
        <v>8</v>
      </c>
      <c r="G21" s="40" t="s">
        <v>8</v>
      </c>
      <c r="H21" s="40" t="s">
        <v>8</v>
      </c>
    </row>
    <row r="22" spans="1:8" ht="12.75">
      <c r="A22" s="19" t="s">
        <v>344</v>
      </c>
      <c r="B22" s="292"/>
      <c r="C22" s="248"/>
      <c r="D22" s="248">
        <v>5007</v>
      </c>
      <c r="E22" s="248">
        <v>41640</v>
      </c>
      <c r="F22" s="258">
        <v>61416</v>
      </c>
      <c r="G22" s="258">
        <v>38040</v>
      </c>
      <c r="H22" s="248">
        <f>SUM(B22:G22)</f>
        <v>146103</v>
      </c>
    </row>
    <row r="23" spans="1:8" ht="12.75">
      <c r="A23" s="19" t="s">
        <v>345</v>
      </c>
      <c r="B23" s="292"/>
      <c r="C23" s="248"/>
      <c r="D23" s="248">
        <v>75032</v>
      </c>
      <c r="E23" s="248">
        <v>621575</v>
      </c>
      <c r="F23" s="258">
        <v>869610</v>
      </c>
      <c r="G23" s="258">
        <v>548554</v>
      </c>
      <c r="H23" s="248">
        <f>SUM(B23:G23)</f>
        <v>2114771</v>
      </c>
    </row>
    <row r="24" spans="1:8" ht="12.75">
      <c r="A24" s="21"/>
      <c r="B24" s="21"/>
      <c r="D24" s="23"/>
      <c r="E24" s="23"/>
      <c r="F24" s="139"/>
      <c r="G24" s="139"/>
      <c r="H24" s="23"/>
    </row>
    <row r="25" spans="1:8" ht="12.75">
      <c r="A25" s="43" t="s">
        <v>111</v>
      </c>
      <c r="B25" s="44" t="s">
        <v>411</v>
      </c>
      <c r="C25" s="44" t="s">
        <v>411</v>
      </c>
      <c r="D25" s="44" t="s">
        <v>411</v>
      </c>
      <c r="E25" s="44" t="s">
        <v>411</v>
      </c>
      <c r="F25" s="58" t="s">
        <v>411</v>
      </c>
      <c r="G25" s="58" t="s">
        <v>411</v>
      </c>
      <c r="H25" s="44" t="s">
        <v>411</v>
      </c>
    </row>
    <row r="26" spans="1:8" ht="12.75">
      <c r="A26" s="19" t="s">
        <v>439</v>
      </c>
      <c r="B26" s="292"/>
      <c r="C26" s="248"/>
      <c r="D26" s="248">
        <v>1276</v>
      </c>
      <c r="E26" s="248">
        <v>8693</v>
      </c>
      <c r="F26" s="258">
        <v>14288</v>
      </c>
      <c r="G26" s="258">
        <v>9390</v>
      </c>
      <c r="H26" s="248">
        <f>SUM(B26:G26)</f>
        <v>33647</v>
      </c>
    </row>
    <row r="27" spans="1:8" ht="12.75">
      <c r="A27" s="5"/>
      <c r="B27" s="5"/>
      <c r="D27" s="23"/>
      <c r="E27" s="23"/>
      <c r="F27" s="139"/>
      <c r="G27" s="139"/>
      <c r="H27" s="23"/>
    </row>
    <row r="28" spans="1:8" ht="12.75">
      <c r="A28" s="43" t="s">
        <v>6</v>
      </c>
      <c r="B28" s="5"/>
      <c r="D28" s="23"/>
      <c r="E28" s="23"/>
      <c r="F28" s="139"/>
      <c r="G28" s="139"/>
      <c r="H28" s="23"/>
    </row>
    <row r="29" spans="1:8" ht="12.75">
      <c r="A29" s="1" t="s">
        <v>10</v>
      </c>
      <c r="B29" s="44" t="s">
        <v>11</v>
      </c>
      <c r="C29" s="44" t="s">
        <v>11</v>
      </c>
      <c r="D29" s="44" t="s">
        <v>11</v>
      </c>
      <c r="E29" s="44" t="s">
        <v>11</v>
      </c>
      <c r="F29" s="58" t="s">
        <v>11</v>
      </c>
      <c r="G29" s="58" t="s">
        <v>11</v>
      </c>
      <c r="H29" s="44" t="s">
        <v>11</v>
      </c>
    </row>
    <row r="30" spans="1:8" ht="12.75">
      <c r="A30" s="19" t="s">
        <v>344</v>
      </c>
      <c r="B30" s="292"/>
      <c r="C30" s="248"/>
      <c r="D30" s="248">
        <v>4487</v>
      </c>
      <c r="E30" s="248">
        <v>61347</v>
      </c>
      <c r="F30" s="258">
        <v>75657</v>
      </c>
      <c r="G30" s="258">
        <v>99959</v>
      </c>
      <c r="H30" s="248">
        <f>SUM(B30:G30)</f>
        <v>241450</v>
      </c>
    </row>
    <row r="31" spans="1:8" ht="12.75">
      <c r="A31" s="19" t="s">
        <v>345</v>
      </c>
      <c r="B31" s="292"/>
      <c r="C31" s="248"/>
      <c r="D31" s="248">
        <v>67968</v>
      </c>
      <c r="E31" s="248">
        <v>1016634</v>
      </c>
      <c r="F31" s="258">
        <v>1198392</v>
      </c>
      <c r="G31" s="258">
        <v>1647942</v>
      </c>
      <c r="H31" s="248">
        <f>SUM(B31:G31)</f>
        <v>3930936</v>
      </c>
    </row>
    <row r="32" spans="1:8" ht="12.75">
      <c r="A32" s="43"/>
      <c r="B32" s="43"/>
      <c r="C32" s="24"/>
      <c r="D32" s="62"/>
      <c r="E32" s="62"/>
      <c r="F32" s="98"/>
      <c r="G32" s="98"/>
      <c r="H32" s="62"/>
    </row>
    <row r="33" spans="1:8" ht="12.75">
      <c r="A33" s="43"/>
      <c r="B33" s="43"/>
      <c r="C33" s="24"/>
      <c r="D33" s="62"/>
      <c r="E33" s="62"/>
      <c r="F33" s="98"/>
      <c r="G33" s="98"/>
      <c r="H33" s="62"/>
    </row>
    <row r="34" spans="1:8" ht="12.75">
      <c r="A34" s="432" t="s">
        <v>19</v>
      </c>
      <c r="B34" s="43"/>
      <c r="C34" s="24"/>
      <c r="D34" s="62"/>
      <c r="E34" s="62"/>
      <c r="F34" s="98"/>
      <c r="G34" s="98"/>
      <c r="H34" s="62"/>
    </row>
    <row r="35" ht="12.75">
      <c r="A35" s="432"/>
    </row>
    <row r="36" spans="1:8" ht="12.75">
      <c r="A36" s="43" t="s">
        <v>6</v>
      </c>
      <c r="B36" s="28"/>
      <c r="C36" s="25"/>
      <c r="D36" s="25"/>
      <c r="E36" s="25"/>
      <c r="F36" s="348"/>
      <c r="G36" s="348"/>
      <c r="H36" s="349"/>
    </row>
    <row r="37" spans="1:8" ht="12.75">
      <c r="A37" s="43" t="s">
        <v>7</v>
      </c>
      <c r="B37" s="40" t="s">
        <v>8</v>
      </c>
      <c r="C37" s="40" t="s">
        <v>8</v>
      </c>
      <c r="D37" s="44" t="s">
        <v>8</v>
      </c>
      <c r="E37" s="44" t="s">
        <v>8</v>
      </c>
      <c r="F37" s="58" t="s">
        <v>8</v>
      </c>
      <c r="G37" s="58" t="s">
        <v>8</v>
      </c>
      <c r="H37" s="58" t="s">
        <v>8</v>
      </c>
    </row>
    <row r="38" spans="1:8" ht="12.75">
      <c r="A38" s="19" t="s">
        <v>344</v>
      </c>
      <c r="B38" s="76"/>
      <c r="C38" s="17"/>
      <c r="D38" s="17">
        <v>15949</v>
      </c>
      <c r="E38" s="17">
        <v>27009</v>
      </c>
      <c r="F38" s="66">
        <v>21602</v>
      </c>
      <c r="G38" s="66">
        <v>17893</v>
      </c>
      <c r="H38" s="248">
        <f>SUM(B38:G38)</f>
        <v>82453</v>
      </c>
    </row>
    <row r="39" spans="1:8" ht="12.75">
      <c r="A39" s="19" t="s">
        <v>345</v>
      </c>
      <c r="B39" s="292"/>
      <c r="C39" s="248"/>
      <c r="D39" s="248">
        <v>241683</v>
      </c>
      <c r="E39" s="248">
        <v>398064</v>
      </c>
      <c r="F39" s="258">
        <v>313871</v>
      </c>
      <c r="G39" s="258">
        <v>261178</v>
      </c>
      <c r="H39" s="248">
        <f>SUM(B39:G39)</f>
        <v>1214796</v>
      </c>
    </row>
    <row r="40" spans="1:8" ht="12.75">
      <c r="A40" s="21"/>
      <c r="B40" s="21"/>
      <c r="D40" s="23"/>
      <c r="E40" s="23"/>
      <c r="F40" s="139"/>
      <c r="G40" s="139"/>
      <c r="H40" s="23"/>
    </row>
    <row r="41" spans="1:8" ht="12.75">
      <c r="A41" s="43" t="s">
        <v>111</v>
      </c>
      <c r="B41" s="44" t="s">
        <v>411</v>
      </c>
      <c r="C41" s="44" t="s">
        <v>411</v>
      </c>
      <c r="D41" s="44" t="s">
        <v>411</v>
      </c>
      <c r="E41" s="44" t="s">
        <v>411</v>
      </c>
      <c r="F41" s="58" t="s">
        <v>411</v>
      </c>
      <c r="G41" s="58" t="s">
        <v>411</v>
      </c>
      <c r="H41" s="44" t="s">
        <v>411</v>
      </c>
    </row>
    <row r="42" spans="1:8" ht="12.75">
      <c r="A42" s="19" t="s">
        <v>438</v>
      </c>
      <c r="B42" s="292"/>
      <c r="C42" s="248"/>
      <c r="D42" s="248">
        <v>3753</v>
      </c>
      <c r="E42" s="248">
        <v>6497</v>
      </c>
      <c r="F42" s="258">
        <v>5416</v>
      </c>
      <c r="G42" s="258">
        <v>4825</v>
      </c>
      <c r="H42" s="248">
        <f>SUM(B42:G42)</f>
        <v>20491</v>
      </c>
    </row>
    <row r="43" spans="1:8" ht="12.75">
      <c r="A43" s="5"/>
      <c r="B43" s="5"/>
      <c r="D43" s="23"/>
      <c r="E43" s="23"/>
      <c r="F43" s="139"/>
      <c r="G43" s="139"/>
      <c r="H43" s="23"/>
    </row>
    <row r="44" spans="1:8" ht="12.75">
      <c r="A44" s="43" t="s">
        <v>10</v>
      </c>
      <c r="B44" s="44" t="s">
        <v>11</v>
      </c>
      <c r="C44" s="44" t="s">
        <v>11</v>
      </c>
      <c r="D44" s="44" t="s">
        <v>11</v>
      </c>
      <c r="E44" s="44" t="s">
        <v>11</v>
      </c>
      <c r="F44" s="58" t="s">
        <v>11</v>
      </c>
      <c r="G44" s="58" t="s">
        <v>11</v>
      </c>
      <c r="H44" s="44" t="s">
        <v>11</v>
      </c>
    </row>
    <row r="45" spans="1:8" ht="12.75">
      <c r="A45" s="19" t="s">
        <v>344</v>
      </c>
      <c r="B45" s="292"/>
      <c r="C45" s="248"/>
      <c r="D45" s="248">
        <v>5011</v>
      </c>
      <c r="E45" s="248">
        <v>59801</v>
      </c>
      <c r="F45" s="258">
        <v>63986</v>
      </c>
      <c r="G45" s="258">
        <v>50783</v>
      </c>
      <c r="H45" s="248">
        <f>SUM(B45:G45)</f>
        <v>179581</v>
      </c>
    </row>
    <row r="46" spans="1:8" ht="12.75">
      <c r="A46" s="19" t="s">
        <v>345</v>
      </c>
      <c r="B46" s="292"/>
      <c r="C46" s="248"/>
      <c r="D46" s="248">
        <v>76641</v>
      </c>
      <c r="E46" s="248">
        <v>970820</v>
      </c>
      <c r="F46" s="258">
        <v>1068728</v>
      </c>
      <c r="G46" s="258">
        <v>811628</v>
      </c>
      <c r="H46" s="248">
        <f>SUM(B46:G46)</f>
        <v>2927817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fitToHeight="1" fitToWidth="1" horizontalDpi="600" verticalDpi="600" orientation="landscape" scale="92" r:id="rId1"/>
  <headerFooter scaleWithDoc="0" alignWithMargins="0">
    <oddFooter>&amp;L&amp;6&amp;A - Results by Program Year&amp;R&amp;6printed &amp;D at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421875" style="0" bestFit="1" customWidth="1"/>
    <col min="2" max="5" width="17.00390625" style="0" customWidth="1"/>
  </cols>
  <sheetData>
    <row r="1" spans="1:5" ht="12.75">
      <c r="A1" s="458" t="s">
        <v>407</v>
      </c>
      <c r="B1" s="458"/>
      <c r="C1" s="458"/>
      <c r="D1" s="458"/>
      <c r="E1" s="458"/>
    </row>
    <row r="2" spans="1:5" ht="15.75" customHeight="1">
      <c r="A2" s="458" t="s">
        <v>288</v>
      </c>
      <c r="B2" s="458"/>
      <c r="C2" s="458"/>
      <c r="D2" s="458"/>
      <c r="E2" s="458"/>
    </row>
    <row r="4" spans="1:5" ht="25.5">
      <c r="A4" s="30" t="s">
        <v>206</v>
      </c>
      <c r="B4" s="25">
        <v>2011</v>
      </c>
      <c r="C4" s="81" t="s">
        <v>347</v>
      </c>
      <c r="D4" s="81" t="s">
        <v>353</v>
      </c>
      <c r="E4" s="224" t="str">
        <f>"Total "&amp;CHAR(10)&amp;B4&amp;" ~ "&amp;D4</f>
        <v>Total 
2011 ~ FY2014</v>
      </c>
    </row>
    <row r="5" spans="1:5" ht="12.75">
      <c r="A5" s="19" t="s">
        <v>429</v>
      </c>
      <c r="B5" s="280">
        <v>20000000</v>
      </c>
      <c r="C5" s="281">
        <v>20835056.68</v>
      </c>
      <c r="D5" s="281">
        <v>25000641.83</v>
      </c>
      <c r="E5" s="280">
        <f>SUM(B5:C5)</f>
        <v>40835056.68</v>
      </c>
    </row>
    <row r="6" spans="1:5" ht="12.75">
      <c r="A6" s="21"/>
      <c r="B6" s="102"/>
      <c r="C6" s="138"/>
      <c r="D6" s="138"/>
      <c r="E6" s="102"/>
    </row>
    <row r="7" spans="1:5" ht="12.75">
      <c r="A7" s="30" t="s">
        <v>207</v>
      </c>
      <c r="B7" s="102"/>
      <c r="C7" s="138"/>
      <c r="D7" s="138"/>
      <c r="E7" s="102"/>
    </row>
    <row r="8" spans="1:5" ht="12.75">
      <c r="A8" s="182" t="s">
        <v>20</v>
      </c>
      <c r="B8" s="280">
        <v>71596</v>
      </c>
      <c r="C8" s="281">
        <v>1981274.85</v>
      </c>
      <c r="D8" s="281">
        <v>5635882.94</v>
      </c>
      <c r="E8" s="280">
        <f>SUM(B8:C8)</f>
        <v>2052870.85</v>
      </c>
    </row>
    <row r="9" spans="1:6" ht="12.75">
      <c r="A9" s="182" t="s">
        <v>19</v>
      </c>
      <c r="B9" s="280"/>
      <c r="C9" s="281">
        <v>9128027.3</v>
      </c>
      <c r="D9" s="281">
        <v>7891740.53</v>
      </c>
      <c r="E9" s="280">
        <f>SUM(B9:C9)</f>
        <v>9128027.3</v>
      </c>
      <c r="F9" s="147"/>
    </row>
    <row r="10" spans="1:6" ht="12.75">
      <c r="A10" s="16" t="s">
        <v>1</v>
      </c>
      <c r="B10" s="283">
        <f>SUM(B8:B9)</f>
        <v>71596</v>
      </c>
      <c r="C10" s="283">
        <f>SUM(C8:C9)</f>
        <v>11109302.15</v>
      </c>
      <c r="D10" s="283">
        <f>SUM(D8:D9)</f>
        <v>13527623.47</v>
      </c>
      <c r="E10" s="283">
        <f>SUM(B10:C10)</f>
        <v>11180898.15</v>
      </c>
      <c r="F10" s="137"/>
    </row>
    <row r="11" ht="12.75">
      <c r="A11" s="21"/>
    </row>
    <row r="12" spans="1:7" ht="12.75">
      <c r="A12" s="43" t="s">
        <v>5</v>
      </c>
      <c r="B12" s="137"/>
      <c r="C12" s="137"/>
      <c r="D12" s="137"/>
      <c r="E12" s="137"/>
      <c r="F12" s="137"/>
      <c r="G12" s="137"/>
    </row>
    <row r="13" spans="1:7" ht="12.75">
      <c r="A13" s="182" t="s">
        <v>402</v>
      </c>
      <c r="B13" s="258"/>
      <c r="C13" s="258"/>
      <c r="D13" s="258"/>
      <c r="E13" s="258">
        <f>SUM(B13:C13)</f>
        <v>0</v>
      </c>
      <c r="F13" s="139"/>
      <c r="G13" s="137"/>
    </row>
    <row r="14" spans="1:7" ht="12.75">
      <c r="A14" s="182" t="s">
        <v>19</v>
      </c>
      <c r="B14" s="258"/>
      <c r="C14" s="258">
        <v>20</v>
      </c>
      <c r="D14" s="258">
        <v>11</v>
      </c>
      <c r="E14" s="258">
        <f>SUM(B14:C14)</f>
        <v>20</v>
      </c>
      <c r="F14" s="136"/>
      <c r="G14" s="137"/>
    </row>
    <row r="15" spans="1:7" ht="12.75">
      <c r="A15" s="16" t="s">
        <v>1</v>
      </c>
      <c r="B15" s="269">
        <f>SUM(B13:B14)</f>
        <v>0</v>
      </c>
      <c r="C15" s="269">
        <f>SUM(C13:C14)</f>
        <v>20</v>
      </c>
      <c r="D15" s="269">
        <f>SUM(D13:D14)</f>
        <v>11</v>
      </c>
      <c r="E15" s="269">
        <f>SUM(B15:C15)</f>
        <v>20</v>
      </c>
      <c r="F15" s="156"/>
      <c r="G15" s="137"/>
    </row>
    <row r="16" spans="1:7" ht="12.75">
      <c r="A16" s="43"/>
      <c r="B16" s="360"/>
      <c r="C16" s="360"/>
      <c r="D16" s="360"/>
      <c r="E16" s="360"/>
      <c r="F16" s="156"/>
      <c r="G16" s="137"/>
    </row>
    <row r="17" spans="1:7" ht="12.75">
      <c r="A17" s="43"/>
      <c r="B17" s="74"/>
      <c r="C17" s="74"/>
      <c r="D17" s="74"/>
      <c r="E17" s="74"/>
      <c r="F17" s="137"/>
      <c r="G17" s="137"/>
    </row>
    <row r="18" spans="1:7" ht="12.75">
      <c r="A18" s="432" t="s">
        <v>402</v>
      </c>
      <c r="B18" s="74"/>
      <c r="C18" s="74"/>
      <c r="D18" s="74"/>
      <c r="E18" s="74"/>
      <c r="F18" s="137"/>
      <c r="G18" s="137"/>
    </row>
    <row r="19" spans="1:7" ht="12.75">
      <c r="A19" s="432"/>
      <c r="B19" s="137"/>
      <c r="C19" s="137"/>
      <c r="D19" s="137"/>
      <c r="E19" s="137"/>
      <c r="F19" s="137"/>
      <c r="G19" s="137"/>
    </row>
    <row r="20" spans="1:4" ht="12.75">
      <c r="A20" s="43" t="s">
        <v>6</v>
      </c>
      <c r="C20" s="137"/>
      <c r="D20" s="137"/>
    </row>
    <row r="21" spans="1:5" ht="12.75">
      <c r="A21" s="43" t="s">
        <v>7</v>
      </c>
      <c r="B21" s="40" t="s">
        <v>8</v>
      </c>
      <c r="C21" s="63" t="s">
        <v>8</v>
      </c>
      <c r="D21" s="63" t="s">
        <v>8</v>
      </c>
      <c r="E21" s="40" t="s">
        <v>8</v>
      </c>
    </row>
    <row r="22" spans="1:5" ht="12.75">
      <c r="A22" s="19" t="s">
        <v>344</v>
      </c>
      <c r="B22" s="248"/>
      <c r="C22" s="258">
        <v>69</v>
      </c>
      <c r="D22" s="258">
        <v>28710</v>
      </c>
      <c r="E22" s="248">
        <f>SUM(B22:C22)</f>
        <v>69</v>
      </c>
    </row>
    <row r="23" spans="1:5" ht="12.75">
      <c r="A23" s="19" t="s">
        <v>345</v>
      </c>
      <c r="B23" s="248"/>
      <c r="C23" s="258">
        <v>1247</v>
      </c>
      <c r="D23" s="258">
        <v>505024</v>
      </c>
      <c r="E23" s="248">
        <f>SUM(B23:C23)</f>
        <v>1247</v>
      </c>
    </row>
    <row r="24" spans="1:5" ht="12.75">
      <c r="A24" s="39"/>
      <c r="B24" s="23"/>
      <c r="C24" s="139"/>
      <c r="D24" s="139"/>
      <c r="E24" s="23"/>
    </row>
    <row r="25" spans="1:5" ht="12.75">
      <c r="A25" s="43" t="s">
        <v>111</v>
      </c>
      <c r="B25" s="44" t="s">
        <v>411</v>
      </c>
      <c r="C25" s="58" t="s">
        <v>411</v>
      </c>
      <c r="D25" s="58" t="s">
        <v>411</v>
      </c>
      <c r="E25" s="44" t="s">
        <v>411</v>
      </c>
    </row>
    <row r="26" spans="1:5" ht="12.75">
      <c r="A26" s="19" t="s">
        <v>439</v>
      </c>
      <c r="B26" s="248"/>
      <c r="C26" s="258">
        <v>440</v>
      </c>
      <c r="D26" s="258">
        <v>5904</v>
      </c>
      <c r="E26" s="248">
        <f>SUM(B26:C26)</f>
        <v>440</v>
      </c>
    </row>
    <row r="27" spans="1:5" ht="12.75">
      <c r="A27" s="5"/>
      <c r="B27" s="23"/>
      <c r="C27" s="139"/>
      <c r="D27" s="139"/>
      <c r="E27" s="23"/>
    </row>
    <row r="28" spans="2:5" ht="12.75">
      <c r="B28" s="23"/>
      <c r="C28" s="139"/>
      <c r="D28" s="139"/>
      <c r="E28" s="23"/>
    </row>
    <row r="29" spans="1:5" ht="12.75">
      <c r="A29" s="43" t="s">
        <v>10</v>
      </c>
      <c r="B29" s="44" t="s">
        <v>11</v>
      </c>
      <c r="C29" s="58" t="s">
        <v>11</v>
      </c>
      <c r="D29" s="58" t="s">
        <v>11</v>
      </c>
      <c r="E29" s="44" t="s">
        <v>11</v>
      </c>
    </row>
    <row r="30" spans="1:5" ht="12.75">
      <c r="A30" s="19" t="s">
        <v>344</v>
      </c>
      <c r="B30" s="248"/>
      <c r="C30" s="258">
        <v>145315</v>
      </c>
      <c r="D30" s="258">
        <v>168712</v>
      </c>
      <c r="E30" s="248">
        <f>SUM(B30:C30)</f>
        <v>145315</v>
      </c>
    </row>
    <row r="31" spans="1:5" ht="12.75">
      <c r="A31" s="19" t="s">
        <v>345</v>
      </c>
      <c r="B31" s="248"/>
      <c r="C31" s="258">
        <v>2615671</v>
      </c>
      <c r="D31" s="258">
        <v>3036821</v>
      </c>
      <c r="E31" s="248">
        <f>SUM(B31:C31)</f>
        <v>2615671</v>
      </c>
    </row>
    <row r="32" spans="1:5" ht="12.75">
      <c r="A32" s="39"/>
      <c r="B32" s="257"/>
      <c r="C32" s="259"/>
      <c r="D32" s="259"/>
      <c r="E32" s="257"/>
    </row>
    <row r="33" spans="1:5" ht="12.75">
      <c r="A33" s="43"/>
      <c r="B33" s="62"/>
      <c r="C33" s="98"/>
      <c r="D33" s="98"/>
      <c r="E33" s="62"/>
    </row>
    <row r="34" spans="1:5" ht="12.75">
      <c r="A34" s="432" t="s">
        <v>19</v>
      </c>
      <c r="B34" s="62"/>
      <c r="C34" s="98"/>
      <c r="D34" s="98"/>
      <c r="E34" s="62"/>
    </row>
    <row r="35" spans="1:5" ht="12.75">
      <c r="A35" s="432"/>
      <c r="B35" s="62"/>
      <c r="C35" s="98"/>
      <c r="D35" s="98"/>
      <c r="E35" s="62"/>
    </row>
    <row r="36" spans="1:5" ht="12.75">
      <c r="A36" s="43" t="s">
        <v>6</v>
      </c>
      <c r="B36" s="25"/>
      <c r="C36" s="348"/>
      <c r="D36" s="348"/>
      <c r="E36" s="23"/>
    </row>
    <row r="37" spans="1:5" ht="12.75">
      <c r="A37" s="43" t="s">
        <v>7</v>
      </c>
      <c r="B37" s="44" t="s">
        <v>8</v>
      </c>
      <c r="C37" s="58" t="s">
        <v>8</v>
      </c>
      <c r="D37" s="58" t="s">
        <v>8</v>
      </c>
      <c r="E37" s="44"/>
    </row>
    <row r="38" spans="1:5" ht="12.75">
      <c r="A38" s="19" t="s">
        <v>344</v>
      </c>
      <c r="B38" s="248"/>
      <c r="C38" s="258">
        <v>17110</v>
      </c>
      <c r="D38" s="258">
        <v>10500</v>
      </c>
      <c r="E38" s="62"/>
    </row>
    <row r="39" spans="1:5" ht="12.75">
      <c r="A39" s="19" t="s">
        <v>345</v>
      </c>
      <c r="B39" s="248"/>
      <c r="C39" s="258">
        <v>296162</v>
      </c>
      <c r="D39" s="258">
        <v>147246</v>
      </c>
      <c r="E39" s="62"/>
    </row>
    <row r="40" spans="1:5" ht="12.75">
      <c r="A40" s="39"/>
      <c r="B40" s="23"/>
      <c r="C40" s="139"/>
      <c r="D40" s="139"/>
      <c r="E40" s="62"/>
    </row>
    <row r="41" spans="1:5" ht="12.75">
      <c r="A41" s="39" t="s">
        <v>111</v>
      </c>
      <c r="B41" s="44" t="s">
        <v>411</v>
      </c>
      <c r="C41" s="58" t="s">
        <v>411</v>
      </c>
      <c r="D41" s="58" t="s">
        <v>411</v>
      </c>
      <c r="E41" s="44"/>
    </row>
    <row r="42" spans="1:5" ht="12.75">
      <c r="A42" s="19" t="s">
        <v>438</v>
      </c>
      <c r="B42" s="248"/>
      <c r="C42" s="258">
        <v>4418</v>
      </c>
      <c r="D42" s="258">
        <v>862</v>
      </c>
      <c r="E42" s="62"/>
    </row>
    <row r="43" spans="2:5" ht="12.75">
      <c r="B43" s="23"/>
      <c r="C43" s="139"/>
      <c r="D43" s="139"/>
      <c r="E43" s="23"/>
    </row>
    <row r="44" spans="1:5" ht="12.75">
      <c r="A44" s="43" t="s">
        <v>10</v>
      </c>
      <c r="B44" s="44" t="s">
        <v>11</v>
      </c>
      <c r="C44" s="58" t="s">
        <v>11</v>
      </c>
      <c r="D44" s="58" t="s">
        <v>11</v>
      </c>
      <c r="E44" s="44"/>
    </row>
    <row r="45" spans="1:5" ht="12.75">
      <c r="A45" s="19" t="s">
        <v>344</v>
      </c>
      <c r="B45" s="248"/>
      <c r="C45" s="258">
        <v>125717</v>
      </c>
      <c r="D45" s="258">
        <v>29455</v>
      </c>
      <c r="E45" s="62"/>
    </row>
    <row r="46" spans="1:5" ht="12.75">
      <c r="A46" s="19" t="s">
        <v>345</v>
      </c>
      <c r="B46" s="248"/>
      <c r="C46" s="258">
        <v>1920420</v>
      </c>
      <c r="D46" s="258">
        <v>490811</v>
      </c>
      <c r="E46" s="62"/>
    </row>
  </sheetData>
  <sheetProtection/>
  <mergeCells count="2">
    <mergeCell ref="A2:E2"/>
    <mergeCell ref="A1:E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161" bestFit="1" customWidth="1"/>
    <col min="2" max="7" width="12.140625" style="161" customWidth="1"/>
    <col min="8" max="8" width="13.7109375" style="161" bestFit="1" customWidth="1"/>
    <col min="9" max="16384" width="9.140625" style="161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278</v>
      </c>
      <c r="B2" s="458"/>
      <c r="C2" s="458"/>
      <c r="D2" s="458"/>
      <c r="E2" s="458"/>
      <c r="F2" s="458"/>
      <c r="G2" s="458"/>
      <c r="H2" s="458"/>
    </row>
    <row r="3" spans="1:8" ht="12.75">
      <c r="A3" s="165"/>
      <c r="B3" s="165"/>
      <c r="C3" s="170"/>
      <c r="D3" s="170"/>
      <c r="E3" s="170"/>
      <c r="F3" s="170"/>
      <c r="G3" s="170"/>
      <c r="H3" s="170"/>
    </row>
    <row r="4" spans="1:8" ht="25.5">
      <c r="A4" s="168" t="s">
        <v>254</v>
      </c>
      <c r="B4" s="169">
        <v>2008</v>
      </c>
      <c r="C4" s="169">
        <v>2009</v>
      </c>
      <c r="D4" s="169">
        <v>2010</v>
      </c>
      <c r="E4" s="169">
        <v>2011</v>
      </c>
      <c r="F4" s="350" t="s">
        <v>347</v>
      </c>
      <c r="G4" s="350" t="s">
        <v>353</v>
      </c>
      <c r="H4" s="350" t="str">
        <f>"Total "&amp;CHAR(10)&amp;B4&amp;" ~ "&amp;G4</f>
        <v>Total 
2008 ~ FY2014</v>
      </c>
    </row>
    <row r="5" spans="1:8" ht="12.75">
      <c r="A5" s="194" t="s">
        <v>214</v>
      </c>
      <c r="B5" s="293">
        <v>2324000</v>
      </c>
      <c r="C5" s="293">
        <v>13276120</v>
      </c>
      <c r="D5" s="293">
        <v>13232385.46</v>
      </c>
      <c r="E5" s="293">
        <v>9115170.97</v>
      </c>
      <c r="F5" s="294">
        <v>5500000</v>
      </c>
      <c r="G5" s="294">
        <v>3370759.5</v>
      </c>
      <c r="H5" s="293">
        <f>SUM(B5:G5)</f>
        <v>46818435.93</v>
      </c>
    </row>
    <row r="6" spans="1:8" ht="12.75">
      <c r="A6" s="165"/>
      <c r="B6" s="166"/>
      <c r="C6" s="166"/>
      <c r="D6" s="166"/>
      <c r="E6" s="166"/>
      <c r="F6" s="221"/>
      <c r="G6" s="221"/>
      <c r="H6" s="166"/>
    </row>
    <row r="7" spans="1:8" ht="12.75">
      <c r="A7" s="168" t="s">
        <v>207</v>
      </c>
      <c r="B7" s="167"/>
      <c r="C7" s="167"/>
      <c r="D7" s="167"/>
      <c r="E7" s="167"/>
      <c r="F7" s="222"/>
      <c r="G7" s="222"/>
      <c r="H7" s="166"/>
    </row>
    <row r="8" spans="1:8" ht="12.75">
      <c r="A8" s="444" t="s">
        <v>20</v>
      </c>
      <c r="B8" s="293">
        <v>45880</v>
      </c>
      <c r="C8" s="293">
        <v>1862388.85</v>
      </c>
      <c r="D8" s="293">
        <v>7187364.49</v>
      </c>
      <c r="E8" s="293">
        <v>3493179</v>
      </c>
      <c r="F8" s="294">
        <v>3654240.5</v>
      </c>
      <c r="G8" s="294">
        <v>2585480</v>
      </c>
      <c r="H8" s="293">
        <f>SUM(B8:G8)</f>
        <v>18828532.84</v>
      </c>
    </row>
    <row r="9" spans="1:8" ht="12.75">
      <c r="A9" s="444" t="s">
        <v>19</v>
      </c>
      <c r="B9" s="293">
        <v>0</v>
      </c>
      <c r="C9" s="293">
        <v>5000022.45</v>
      </c>
      <c r="D9" s="293">
        <v>3390200</v>
      </c>
      <c r="E9" s="293">
        <v>2404280</v>
      </c>
      <c r="F9" s="294">
        <v>1964246.43</v>
      </c>
      <c r="G9" s="294">
        <v>561092.5</v>
      </c>
      <c r="H9" s="295"/>
    </row>
    <row r="10" spans="1:8" ht="12.75">
      <c r="A10" s="445" t="s">
        <v>1</v>
      </c>
      <c r="B10" s="446">
        <f aca="true" t="shared" si="0" ref="B10:G10">SUM(B8:B9)</f>
        <v>45880</v>
      </c>
      <c r="C10" s="446">
        <f t="shared" si="0"/>
        <v>6862411.300000001</v>
      </c>
      <c r="D10" s="446">
        <f t="shared" si="0"/>
        <v>10577564.49</v>
      </c>
      <c r="E10" s="446">
        <f t="shared" si="0"/>
        <v>5897459</v>
      </c>
      <c r="F10" s="447">
        <f t="shared" si="0"/>
        <v>5618486.93</v>
      </c>
      <c r="G10" s="447">
        <f t="shared" si="0"/>
        <v>3146572.5</v>
      </c>
      <c r="H10" s="295"/>
    </row>
    <row r="11" spans="1:8" ht="12.75">
      <c r="A11" s="165"/>
      <c r="B11" s="163"/>
      <c r="C11" s="163"/>
      <c r="D11" s="163"/>
      <c r="E11" s="163"/>
      <c r="F11" s="223"/>
      <c r="G11" s="223"/>
      <c r="H11" s="163"/>
    </row>
    <row r="12" spans="1:8" ht="12.75">
      <c r="A12" s="164" t="s">
        <v>5</v>
      </c>
      <c r="B12" s="163"/>
      <c r="C12" s="163"/>
      <c r="D12" s="163"/>
      <c r="E12" s="163"/>
      <c r="F12" s="223"/>
      <c r="G12" s="223"/>
      <c r="H12" s="163"/>
    </row>
    <row r="13" spans="1:8" ht="12.75">
      <c r="A13" s="162" t="s">
        <v>277</v>
      </c>
      <c r="B13" s="296">
        <v>30</v>
      </c>
      <c r="C13" s="296">
        <v>352</v>
      </c>
      <c r="D13" s="296">
        <v>965</v>
      </c>
      <c r="E13" s="296">
        <v>358</v>
      </c>
      <c r="F13" s="296">
        <v>516</v>
      </c>
      <c r="G13" s="296">
        <v>310</v>
      </c>
      <c r="H13" s="296">
        <f>SUM(B13:G13)</f>
        <v>2531</v>
      </c>
    </row>
    <row r="14" spans="1:8" ht="12.75">
      <c r="A14" s="162" t="s">
        <v>346</v>
      </c>
      <c r="B14" s="296"/>
      <c r="C14" s="296"/>
      <c r="D14" s="296"/>
      <c r="E14" s="296">
        <v>501</v>
      </c>
      <c r="F14" s="296">
        <v>534</v>
      </c>
      <c r="G14" s="296">
        <v>428</v>
      </c>
      <c r="H14" s="296">
        <f>SUM(B14:G14)</f>
        <v>1463</v>
      </c>
    </row>
  </sheetData>
  <sheetProtection/>
  <mergeCells count="2">
    <mergeCell ref="A2:H2"/>
    <mergeCell ref="A1:H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  <ignoredErrors>
    <ignoredError sqref="H6:H7 H11:H12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O95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3.140625" style="137" customWidth="1"/>
    <col min="2" max="2" width="13.421875" style="137" customWidth="1"/>
    <col min="3" max="4" width="12.7109375" style="137" hidden="1" customWidth="1"/>
    <col min="5" max="6" width="10.421875" style="137" customWidth="1"/>
    <col min="7" max="7" width="14.00390625" style="137" customWidth="1"/>
    <col min="8" max="8" width="14.421875" style="137" customWidth="1"/>
    <col min="9" max="12" width="15.00390625" style="137" customWidth="1"/>
    <col min="13" max="13" width="15.421875" style="137" customWidth="1"/>
    <col min="14" max="16384" width="9.140625" style="137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12.75">
      <c r="A2" s="458" t="s">
        <v>336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</row>
    <row r="4" spans="1:13" ht="25.5">
      <c r="A4" s="75" t="s">
        <v>206</v>
      </c>
      <c r="B4" s="215" t="s">
        <v>290</v>
      </c>
      <c r="C4" s="106">
        <v>2004</v>
      </c>
      <c r="D4" s="148">
        <v>2005</v>
      </c>
      <c r="E4" s="106">
        <v>2006</v>
      </c>
      <c r="F4" s="148">
        <v>2007</v>
      </c>
      <c r="G4" s="106">
        <v>2008</v>
      </c>
      <c r="H4" s="148">
        <v>2009</v>
      </c>
      <c r="I4" s="148">
        <v>2010</v>
      </c>
      <c r="J4" s="148">
        <v>2011</v>
      </c>
      <c r="K4" s="210" t="s">
        <v>347</v>
      </c>
      <c r="L4" s="210" t="s">
        <v>353</v>
      </c>
      <c r="M4" s="210" t="str">
        <f>"Total "&amp;CHAR(10)&amp;C4&amp;" ~ "&amp;L4</f>
        <v>Total 
2004 ~ FY2014</v>
      </c>
    </row>
    <row r="5" spans="1:15" ht="12.75">
      <c r="A5" s="335" t="s">
        <v>371</v>
      </c>
      <c r="B5" s="337">
        <f>SUM(C5:D5)</f>
        <v>3500000</v>
      </c>
      <c r="C5" s="291">
        <v>2500000</v>
      </c>
      <c r="D5" s="291">
        <v>1000000</v>
      </c>
      <c r="E5" s="291"/>
      <c r="F5" s="291"/>
      <c r="G5" s="291">
        <v>5000000</v>
      </c>
      <c r="H5" s="291">
        <v>23245128.080000002</v>
      </c>
      <c r="I5" s="291">
        <v>32305102.62</v>
      </c>
      <c r="J5" s="291">
        <v>43355701.5</v>
      </c>
      <c r="K5" s="291">
        <v>50055958</v>
      </c>
      <c r="L5" s="291">
        <v>40879563.75</v>
      </c>
      <c r="M5" s="291">
        <f>SUM(C5:L5)</f>
        <v>198341453.95</v>
      </c>
      <c r="N5" s="74"/>
      <c r="O5" s="74"/>
    </row>
    <row r="6" spans="1:15" ht="12.75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199"/>
      <c r="O6" s="199"/>
    </row>
    <row r="7" spans="1:13" ht="12.75">
      <c r="A7" s="75" t="s">
        <v>207</v>
      </c>
      <c r="B7" s="75"/>
      <c r="C7" s="75"/>
      <c r="D7" s="75"/>
      <c r="E7" s="75"/>
      <c r="F7" s="75"/>
      <c r="G7" s="75"/>
      <c r="H7" s="138"/>
      <c r="I7" s="138"/>
      <c r="J7" s="138"/>
      <c r="K7" s="138"/>
      <c r="L7" s="138"/>
      <c r="M7" s="138"/>
    </row>
    <row r="8" spans="1:13" ht="12.75">
      <c r="A8" s="181" t="s">
        <v>20</v>
      </c>
      <c r="B8" s="241">
        <f>SUM(C8:D8)</f>
        <v>32000</v>
      </c>
      <c r="C8" s="241">
        <v>32000</v>
      </c>
      <c r="D8" s="241">
        <v>0</v>
      </c>
      <c r="E8" s="241">
        <v>0</v>
      </c>
      <c r="F8" s="241">
        <v>0</v>
      </c>
      <c r="G8" s="241">
        <v>52000</v>
      </c>
      <c r="H8" s="241">
        <v>743119.2</v>
      </c>
      <c r="I8" s="281">
        <v>1242734.12</v>
      </c>
      <c r="J8" s="281">
        <v>5023091.48</v>
      </c>
      <c r="K8" s="281">
        <v>12518684.25</v>
      </c>
      <c r="L8" s="281">
        <v>12244089</v>
      </c>
      <c r="M8" s="281">
        <f>SUM(SUM(C8:H8)*1000+SUM(I8:L8))</f>
        <v>858147798.85</v>
      </c>
    </row>
    <row r="9" spans="1:13" ht="12.75">
      <c r="A9" s="181" t="s">
        <v>19</v>
      </c>
      <c r="B9" s="241">
        <f>SUM(C9:D9)</f>
        <v>0</v>
      </c>
      <c r="C9" s="241"/>
      <c r="D9" s="241"/>
      <c r="E9" s="241"/>
      <c r="F9" s="241"/>
      <c r="G9" s="241"/>
      <c r="H9" s="241"/>
      <c r="I9" s="281"/>
      <c r="J9" s="281">
        <v>26724700</v>
      </c>
      <c r="K9" s="281">
        <v>28460787.45</v>
      </c>
      <c r="L9" s="281">
        <v>20344379.75</v>
      </c>
      <c r="M9" s="311"/>
    </row>
    <row r="10" spans="1:13" ht="12.75">
      <c r="A10" s="190" t="s">
        <v>1</v>
      </c>
      <c r="B10" s="251">
        <f>SUM(C10:D10)</f>
        <v>32000</v>
      </c>
      <c r="C10" s="251">
        <f aca="true" t="shared" si="0" ref="C10:I10">SUM(C8:C9)</f>
        <v>32000</v>
      </c>
      <c r="D10" s="251">
        <f t="shared" si="0"/>
        <v>0</v>
      </c>
      <c r="E10" s="251">
        <f t="shared" si="0"/>
        <v>0</v>
      </c>
      <c r="F10" s="251">
        <f t="shared" si="0"/>
        <v>0</v>
      </c>
      <c r="G10" s="251">
        <f t="shared" si="0"/>
        <v>52000</v>
      </c>
      <c r="H10" s="251">
        <f t="shared" si="0"/>
        <v>743119.2</v>
      </c>
      <c r="I10" s="291">
        <f t="shared" si="0"/>
        <v>1242734.12</v>
      </c>
      <c r="J10" s="291">
        <f>SUM(J8:J9)</f>
        <v>31747791.48</v>
      </c>
      <c r="K10" s="291">
        <f>SUM(K8:K9)</f>
        <v>40979471.7</v>
      </c>
      <c r="L10" s="291">
        <f>SUM(L8:L9)</f>
        <v>32588468.75</v>
      </c>
      <c r="M10" s="311"/>
    </row>
    <row r="11" spans="1:7" ht="12.75">
      <c r="A11" s="158"/>
      <c r="B11" s="158"/>
      <c r="C11" s="158"/>
      <c r="D11" s="158"/>
      <c r="E11" s="158"/>
      <c r="F11" s="158"/>
      <c r="G11" s="158"/>
    </row>
    <row r="12" spans="1:7" ht="12.75">
      <c r="A12" s="151" t="s">
        <v>5</v>
      </c>
      <c r="B12" s="151"/>
      <c r="C12" s="151"/>
      <c r="D12" s="151"/>
      <c r="E12" s="151"/>
      <c r="F12" s="151"/>
      <c r="G12" s="151"/>
    </row>
    <row r="13" spans="1:13" ht="12.75">
      <c r="A13" s="181" t="s">
        <v>232</v>
      </c>
      <c r="B13" s="255">
        <f>SUM(C13:D13)</f>
        <v>0</v>
      </c>
      <c r="C13" s="255"/>
      <c r="D13" s="255"/>
      <c r="E13" s="255"/>
      <c r="F13" s="255"/>
      <c r="G13" s="255"/>
      <c r="H13" s="255">
        <v>4</v>
      </c>
      <c r="I13" s="255">
        <v>24</v>
      </c>
      <c r="J13" s="255">
        <v>51</v>
      </c>
      <c r="K13" s="255">
        <v>68</v>
      </c>
      <c r="L13" s="255">
        <v>43</v>
      </c>
      <c r="M13" s="255">
        <f>SUM(C13:L13)</f>
        <v>190</v>
      </c>
    </row>
    <row r="14" spans="1:15" ht="12.75">
      <c r="A14" s="181" t="s">
        <v>233</v>
      </c>
      <c r="B14" s="255">
        <f>SUM(C14:D14)</f>
        <v>0</v>
      </c>
      <c r="C14" s="255"/>
      <c r="D14" s="255"/>
      <c r="E14" s="255"/>
      <c r="F14" s="255"/>
      <c r="G14" s="255"/>
      <c r="H14" s="255">
        <v>0</v>
      </c>
      <c r="I14" s="255">
        <v>0</v>
      </c>
      <c r="J14" s="255">
        <v>16</v>
      </c>
      <c r="K14" s="255">
        <v>57</v>
      </c>
      <c r="L14" s="255">
        <v>48</v>
      </c>
      <c r="M14" s="255">
        <f>SUM(C14:L14)</f>
        <v>121</v>
      </c>
      <c r="O14" s="137" t="s">
        <v>391</v>
      </c>
    </row>
    <row r="15" spans="1:13" ht="12.75">
      <c r="A15" s="181" t="s">
        <v>392</v>
      </c>
      <c r="B15" s="255">
        <v>0</v>
      </c>
      <c r="C15" s="255"/>
      <c r="D15" s="255"/>
      <c r="E15" s="255"/>
      <c r="F15" s="255"/>
      <c r="G15" s="255"/>
      <c r="H15" s="255"/>
      <c r="I15" s="255"/>
      <c r="J15" s="255">
        <v>0</v>
      </c>
      <c r="K15" s="255">
        <v>12</v>
      </c>
      <c r="L15" s="255">
        <v>26</v>
      </c>
      <c r="M15" s="255">
        <f>SUM(C15:L15)</f>
        <v>38</v>
      </c>
    </row>
    <row r="16" spans="1:13" ht="12.75">
      <c r="A16" s="190" t="s">
        <v>1</v>
      </c>
      <c r="B16" s="256">
        <f>SUM(C16:D16)</f>
        <v>0</v>
      </c>
      <c r="C16" s="256"/>
      <c r="D16" s="256"/>
      <c r="E16" s="256"/>
      <c r="F16" s="256"/>
      <c r="G16" s="256"/>
      <c r="H16" s="256">
        <f aca="true" t="shared" si="1" ref="H16:M16">SUM(H13:H15)</f>
        <v>4</v>
      </c>
      <c r="I16" s="256">
        <f t="shared" si="1"/>
        <v>24</v>
      </c>
      <c r="J16" s="256">
        <f t="shared" si="1"/>
        <v>67</v>
      </c>
      <c r="K16" s="256">
        <f t="shared" si="1"/>
        <v>137</v>
      </c>
      <c r="L16" s="256">
        <f t="shared" si="1"/>
        <v>117</v>
      </c>
      <c r="M16" s="256">
        <f t="shared" si="1"/>
        <v>349</v>
      </c>
    </row>
    <row r="17" spans="1:13" ht="12.75">
      <c r="A17" s="151"/>
      <c r="B17" s="151"/>
      <c r="C17" s="151"/>
      <c r="D17" s="151"/>
      <c r="E17" s="151"/>
      <c r="F17" s="151"/>
      <c r="G17" s="151"/>
      <c r="H17" s="74"/>
      <c r="I17" s="74"/>
      <c r="J17" s="74"/>
      <c r="K17" s="74"/>
      <c r="L17" s="74"/>
      <c r="M17" s="74"/>
    </row>
    <row r="18" spans="1:7" ht="12.75">
      <c r="A18" s="151" t="s">
        <v>5</v>
      </c>
      <c r="B18" s="151"/>
      <c r="C18" s="151"/>
      <c r="D18" s="151"/>
      <c r="E18" s="151"/>
      <c r="F18" s="151"/>
      <c r="G18" s="151"/>
    </row>
    <row r="19" spans="1:14" ht="12.75">
      <c r="A19" s="335" t="s">
        <v>19</v>
      </c>
      <c r="B19" s="255">
        <f>SUM(C19:D19)</f>
        <v>0</v>
      </c>
      <c r="C19" s="256"/>
      <c r="D19" s="256"/>
      <c r="E19" s="256"/>
      <c r="F19" s="256"/>
      <c r="G19" s="256"/>
      <c r="H19" s="254"/>
      <c r="I19" s="254">
        <v>121</v>
      </c>
      <c r="J19" s="254"/>
      <c r="K19" s="254"/>
      <c r="L19" s="254"/>
      <c r="M19" s="74"/>
      <c r="N19" s="131"/>
    </row>
    <row r="20" spans="1:14" ht="12.75">
      <c r="A20" s="238"/>
      <c r="B20" s="327"/>
      <c r="C20" s="327"/>
      <c r="D20" s="327"/>
      <c r="E20" s="327"/>
      <c r="F20" s="327"/>
      <c r="G20" s="327"/>
      <c r="H20" s="313"/>
      <c r="I20" s="313"/>
      <c r="J20" s="313"/>
      <c r="K20" s="313"/>
      <c r="L20" s="313"/>
      <c r="M20" s="74"/>
      <c r="N20" s="131"/>
    </row>
    <row r="21" spans="1:13" ht="12.75">
      <c r="A21" s="432" t="s">
        <v>402</v>
      </c>
      <c r="B21" s="151"/>
      <c r="C21" s="151"/>
      <c r="D21" s="151"/>
      <c r="E21" s="151"/>
      <c r="F21" s="151"/>
      <c r="G21" s="151"/>
      <c r="H21" s="74"/>
      <c r="I21" s="74"/>
      <c r="J21" s="74"/>
      <c r="K21" s="74"/>
      <c r="L21" s="74"/>
      <c r="M21" s="74"/>
    </row>
    <row r="22" spans="1:7" ht="12.75">
      <c r="A22" s="432"/>
      <c r="B22" s="151"/>
      <c r="C22" s="158"/>
      <c r="D22" s="158"/>
      <c r="E22" s="158"/>
      <c r="F22" s="158"/>
      <c r="G22" s="158"/>
    </row>
    <row r="23" spans="1:13" ht="12.75">
      <c r="A23" s="43" t="s">
        <v>6</v>
      </c>
      <c r="B23" s="151"/>
      <c r="C23" s="151"/>
      <c r="D23" s="151"/>
      <c r="E23" s="151"/>
      <c r="F23" s="151"/>
      <c r="G23" s="151"/>
      <c r="H23" s="74"/>
      <c r="I23" s="74"/>
      <c r="J23" s="74"/>
      <c r="K23" s="74"/>
      <c r="L23" s="74"/>
      <c r="M23" s="74"/>
    </row>
    <row r="24" spans="1:13" ht="12.75">
      <c r="A24" s="43" t="s">
        <v>421</v>
      </c>
      <c r="B24" s="440"/>
      <c r="C24" s="441"/>
      <c r="D24" s="441"/>
      <c r="E24" s="441"/>
      <c r="F24" s="441"/>
      <c r="G24" s="441" t="s">
        <v>8</v>
      </c>
      <c r="H24" s="441" t="s">
        <v>8</v>
      </c>
      <c r="I24" s="442" t="s">
        <v>8</v>
      </c>
      <c r="J24" s="442" t="s">
        <v>8</v>
      </c>
      <c r="K24" s="442" t="s">
        <v>8</v>
      </c>
      <c r="L24" s="442" t="s">
        <v>8</v>
      </c>
      <c r="M24" s="442" t="s">
        <v>8</v>
      </c>
    </row>
    <row r="25" spans="1:13" ht="12.75">
      <c r="A25" s="181" t="s">
        <v>371</v>
      </c>
      <c r="B25" s="256"/>
      <c r="C25" s="256"/>
      <c r="D25" s="256"/>
      <c r="E25" s="256"/>
      <c r="F25" s="256"/>
      <c r="G25" s="256"/>
      <c r="H25" s="254"/>
      <c r="I25" s="254"/>
      <c r="J25" s="287"/>
      <c r="K25" s="254">
        <v>29077</v>
      </c>
      <c r="L25" s="254">
        <v>32400</v>
      </c>
      <c r="M25" s="255">
        <f>SUM(C25:L25)</f>
        <v>61477</v>
      </c>
    </row>
    <row r="26" spans="1:13" ht="12.75">
      <c r="A26" s="181" t="s">
        <v>374</v>
      </c>
      <c r="B26" s="256"/>
      <c r="C26" s="256"/>
      <c r="D26" s="256"/>
      <c r="E26" s="256"/>
      <c r="F26" s="256"/>
      <c r="G26" s="256"/>
      <c r="H26" s="254"/>
      <c r="I26" s="254"/>
      <c r="J26" s="287"/>
      <c r="K26" s="254">
        <v>0</v>
      </c>
      <c r="L26" s="254">
        <v>0</v>
      </c>
      <c r="M26" s="255">
        <f>SUM(C26:L26)</f>
        <v>0</v>
      </c>
    </row>
    <row r="27" spans="1:13" ht="12.75">
      <c r="A27" s="190" t="s">
        <v>1</v>
      </c>
      <c r="B27" s="256">
        <f>SUM(C27:D27)</f>
        <v>0</v>
      </c>
      <c r="C27" s="256"/>
      <c r="D27" s="256"/>
      <c r="E27" s="256"/>
      <c r="F27" s="256"/>
      <c r="G27" s="256"/>
      <c r="H27" s="256"/>
      <c r="I27" s="256">
        <v>796</v>
      </c>
      <c r="J27" s="256">
        <v>15422</v>
      </c>
      <c r="K27" s="256">
        <f>SUM(K25:K26)</f>
        <v>29077</v>
      </c>
      <c r="L27" s="256">
        <f>SUM(L25:L26)</f>
        <v>32400</v>
      </c>
      <c r="M27" s="256">
        <f>SUM(C27:L27)</f>
        <v>77695</v>
      </c>
    </row>
    <row r="28" spans="1:13" ht="12.75">
      <c r="A28" s="158"/>
      <c r="B28" s="158"/>
      <c r="C28" s="158"/>
      <c r="D28" s="158"/>
      <c r="E28" s="158"/>
      <c r="F28" s="158"/>
      <c r="G28" s="158"/>
      <c r="I28" s="139"/>
      <c r="J28" s="139"/>
      <c r="K28" s="139"/>
      <c r="L28" s="139"/>
      <c r="M28" s="139"/>
    </row>
    <row r="29" spans="1:13" ht="12.75">
      <c r="A29" s="151" t="s">
        <v>422</v>
      </c>
      <c r="B29" s="158"/>
      <c r="C29" s="63"/>
      <c r="D29" s="63"/>
      <c r="E29" s="63"/>
      <c r="F29" s="63"/>
      <c r="G29" s="63"/>
      <c r="H29" s="63"/>
      <c r="I29" s="58"/>
      <c r="J29" s="58"/>
      <c r="K29" s="58"/>
      <c r="L29" s="58"/>
      <c r="M29" s="58"/>
    </row>
    <row r="30" spans="1:13" ht="12.75">
      <c r="A30" s="181" t="s">
        <v>371</v>
      </c>
      <c r="B30" s="256"/>
      <c r="C30" s="256"/>
      <c r="D30" s="256"/>
      <c r="E30" s="256"/>
      <c r="F30" s="256"/>
      <c r="G30" s="256"/>
      <c r="H30" s="254"/>
      <c r="I30" s="254"/>
      <c r="J30" s="287"/>
      <c r="K30" s="254">
        <v>485339</v>
      </c>
      <c r="L30" s="254">
        <v>555474</v>
      </c>
      <c r="M30" s="255">
        <f>SUM(C30:L30)</f>
        <v>1040813</v>
      </c>
    </row>
    <row r="31" spans="1:13" ht="12.75">
      <c r="A31" s="181" t="s">
        <v>374</v>
      </c>
      <c r="B31" s="256"/>
      <c r="C31" s="256"/>
      <c r="D31" s="256"/>
      <c r="E31" s="256"/>
      <c r="F31" s="256"/>
      <c r="G31" s="256"/>
      <c r="H31" s="254"/>
      <c r="I31" s="254"/>
      <c r="J31" s="287"/>
      <c r="K31" s="254">
        <v>0</v>
      </c>
      <c r="L31" s="254">
        <v>0</v>
      </c>
      <c r="M31" s="255">
        <f>SUM(C31:L31)</f>
        <v>0</v>
      </c>
    </row>
    <row r="32" spans="1:13" ht="12.75">
      <c r="A32" s="190" t="s">
        <v>1</v>
      </c>
      <c r="B32" s="256">
        <f>SUM(C32:D32)</f>
        <v>0</v>
      </c>
      <c r="C32" s="256"/>
      <c r="D32" s="256"/>
      <c r="E32" s="256"/>
      <c r="F32" s="256"/>
      <c r="G32" s="256"/>
      <c r="H32" s="256"/>
      <c r="I32" s="256">
        <v>8757</v>
      </c>
      <c r="J32" s="256">
        <v>216562</v>
      </c>
      <c r="K32" s="256">
        <f>SUM(K30:K31)</f>
        <v>485339</v>
      </c>
      <c r="L32" s="256">
        <f>SUM(L30:L31)</f>
        <v>555474</v>
      </c>
      <c r="M32" s="256">
        <f>SUM(C32:L32)</f>
        <v>1266132</v>
      </c>
    </row>
    <row r="33" spans="1:13" ht="12.75">
      <c r="A33" s="158"/>
      <c r="B33" s="158"/>
      <c r="C33" s="158"/>
      <c r="D33" s="158"/>
      <c r="E33" s="158"/>
      <c r="F33" s="158"/>
      <c r="G33" s="158"/>
      <c r="I33" s="139"/>
      <c r="J33" s="139"/>
      <c r="K33" s="139"/>
      <c r="L33" s="139"/>
      <c r="M33" s="139"/>
    </row>
    <row r="34" spans="1:13" ht="12.75">
      <c r="A34" s="151" t="s">
        <v>426</v>
      </c>
      <c r="B34" s="158"/>
      <c r="C34" s="58"/>
      <c r="D34" s="58"/>
      <c r="E34" s="58"/>
      <c r="F34" s="58"/>
      <c r="G34" s="58" t="s">
        <v>411</v>
      </c>
      <c r="H34" s="58" t="s">
        <v>411</v>
      </c>
      <c r="I34" s="58" t="s">
        <v>411</v>
      </c>
      <c r="J34" s="58" t="s">
        <v>411</v>
      </c>
      <c r="K34" s="58" t="s">
        <v>411</v>
      </c>
      <c r="L34" s="58" t="s">
        <v>411</v>
      </c>
      <c r="M34" s="58" t="s">
        <v>411</v>
      </c>
    </row>
    <row r="35" spans="1:13" ht="12.75">
      <c r="A35" s="181" t="s">
        <v>371</v>
      </c>
      <c r="B35" s="256"/>
      <c r="C35" s="256"/>
      <c r="D35" s="256"/>
      <c r="E35" s="256"/>
      <c r="F35" s="256"/>
      <c r="G35" s="256"/>
      <c r="H35" s="254"/>
      <c r="I35" s="254"/>
      <c r="J35" s="287"/>
      <c r="K35" s="254">
        <v>7626</v>
      </c>
      <c r="L35" s="254">
        <v>5847</v>
      </c>
      <c r="M35" s="255">
        <f>SUM(C35:L35)</f>
        <v>13473</v>
      </c>
    </row>
    <row r="36" spans="1:13" ht="12.75">
      <c r="A36" s="181" t="s">
        <v>374</v>
      </c>
      <c r="B36" s="256"/>
      <c r="C36" s="256"/>
      <c r="D36" s="256"/>
      <c r="E36" s="256"/>
      <c r="F36" s="256"/>
      <c r="G36" s="256"/>
      <c r="H36" s="254"/>
      <c r="I36" s="254"/>
      <c r="J36" s="287"/>
      <c r="K36" s="254">
        <v>0</v>
      </c>
      <c r="L36" s="254">
        <v>0</v>
      </c>
      <c r="M36" s="255">
        <f>SUM(C36:L36)</f>
        <v>0</v>
      </c>
    </row>
    <row r="37" spans="1:13" ht="12.75">
      <c r="A37" s="190" t="s">
        <v>1</v>
      </c>
      <c r="B37" s="256">
        <f>SUM(C37:D37)</f>
        <v>0</v>
      </c>
      <c r="C37" s="256"/>
      <c r="D37" s="256"/>
      <c r="E37" s="256"/>
      <c r="F37" s="256"/>
      <c r="G37" s="256"/>
      <c r="H37" s="256"/>
      <c r="I37" s="256">
        <v>62</v>
      </c>
      <c r="J37" s="256">
        <v>2514</v>
      </c>
      <c r="K37" s="256">
        <f>SUM(K35:K36)</f>
        <v>7626</v>
      </c>
      <c r="L37" s="256">
        <f>SUM(L35:L36)</f>
        <v>5847</v>
      </c>
      <c r="M37" s="256">
        <f>SUM(C37:L37)</f>
        <v>16049</v>
      </c>
    </row>
    <row r="38" spans="1:13" ht="12.75">
      <c r="A38" s="151"/>
      <c r="B38" s="327"/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</row>
    <row r="39" spans="1:12" ht="12.75">
      <c r="A39" s="151" t="s">
        <v>343</v>
      </c>
      <c r="B39" s="74"/>
      <c r="C39" s="74"/>
      <c r="D39" s="74"/>
      <c r="E39" s="151"/>
      <c r="F39" s="74"/>
      <c r="G39" s="74"/>
      <c r="H39" s="74"/>
      <c r="I39" s="74"/>
      <c r="J39" s="74"/>
      <c r="K39" s="74"/>
      <c r="L39" s="74"/>
    </row>
    <row r="40" spans="1:12" ht="12.75">
      <c r="A40" s="443" t="s">
        <v>7</v>
      </c>
      <c r="B40" s="365" t="s">
        <v>8</v>
      </c>
      <c r="C40" s="365" t="s">
        <v>8</v>
      </c>
      <c r="D40" s="365" t="s">
        <v>8</v>
      </c>
      <c r="E40" s="365" t="s">
        <v>8</v>
      </c>
      <c r="F40" s="365" t="s">
        <v>8</v>
      </c>
      <c r="G40" s="365" t="s">
        <v>8</v>
      </c>
      <c r="H40" s="365" t="s">
        <v>8</v>
      </c>
      <c r="I40" s="365" t="s">
        <v>8</v>
      </c>
      <c r="J40" s="365" t="s">
        <v>8</v>
      </c>
      <c r="K40" s="365" t="s">
        <v>8</v>
      </c>
      <c r="L40" s="365" t="s">
        <v>8</v>
      </c>
    </row>
    <row r="41" spans="1:12" ht="12.75">
      <c r="A41" s="181" t="s">
        <v>372</v>
      </c>
      <c r="B41" s="256"/>
      <c r="C41" s="256"/>
      <c r="D41" s="256"/>
      <c r="E41" s="256"/>
      <c r="F41" s="256"/>
      <c r="G41" s="256"/>
      <c r="H41" s="254"/>
      <c r="I41" s="254"/>
      <c r="J41" s="287"/>
      <c r="K41" s="254">
        <v>17520</v>
      </c>
      <c r="L41" s="254">
        <v>8255</v>
      </c>
    </row>
    <row r="42" spans="1:12" ht="12.75">
      <c r="A42" s="181" t="s">
        <v>373</v>
      </c>
      <c r="B42" s="256"/>
      <c r="C42" s="256"/>
      <c r="D42" s="256"/>
      <c r="E42" s="256"/>
      <c r="F42" s="256"/>
      <c r="G42" s="256"/>
      <c r="H42" s="254"/>
      <c r="I42" s="254"/>
      <c r="J42" s="287"/>
      <c r="K42" s="254">
        <v>210240</v>
      </c>
      <c r="L42" s="254">
        <v>99059</v>
      </c>
    </row>
    <row r="44" spans="1:12" ht="12.75">
      <c r="A44" s="157" t="s">
        <v>456</v>
      </c>
      <c r="B44" s="149" t="s">
        <v>411</v>
      </c>
      <c r="C44" s="149" t="s">
        <v>411</v>
      </c>
      <c r="D44" s="149" t="s">
        <v>411</v>
      </c>
      <c r="E44" s="149" t="s">
        <v>411</v>
      </c>
      <c r="F44" s="149" t="s">
        <v>411</v>
      </c>
      <c r="G44" s="149" t="s">
        <v>411</v>
      </c>
      <c r="H44" s="149" t="s">
        <v>411</v>
      </c>
      <c r="I44" s="149" t="s">
        <v>411</v>
      </c>
      <c r="J44" s="149" t="s">
        <v>411</v>
      </c>
      <c r="K44" s="149" t="s">
        <v>411</v>
      </c>
      <c r="L44" s="149" t="s">
        <v>411</v>
      </c>
    </row>
    <row r="45" spans="1:12" ht="12.75">
      <c r="A45" s="181" t="s">
        <v>372</v>
      </c>
      <c r="B45" s="256"/>
      <c r="C45" s="256"/>
      <c r="D45" s="256"/>
      <c r="E45" s="256"/>
      <c r="F45" s="256"/>
      <c r="G45" s="256"/>
      <c r="H45" s="254"/>
      <c r="I45" s="254"/>
      <c r="J45" s="287"/>
      <c r="K45" s="254">
        <v>2000</v>
      </c>
      <c r="L45" s="254">
        <v>1795</v>
      </c>
    </row>
    <row r="46" spans="1:13" ht="12.75">
      <c r="A46" s="336"/>
      <c r="B46" s="336"/>
      <c r="C46" s="336"/>
      <c r="D46" s="336"/>
      <c r="E46" s="336"/>
      <c r="F46" s="336"/>
      <c r="G46" s="336"/>
      <c r="I46" s="139"/>
      <c r="J46" s="139"/>
      <c r="K46" s="139"/>
      <c r="L46" s="139"/>
      <c r="M46" s="139"/>
    </row>
    <row r="47" spans="1:13" ht="12.75">
      <c r="A47" s="43" t="s">
        <v>6</v>
      </c>
      <c r="B47" s="151"/>
      <c r="C47" s="151"/>
      <c r="D47" s="151"/>
      <c r="E47" s="151"/>
      <c r="F47" s="151"/>
      <c r="G47" s="151"/>
      <c r="H47" s="74"/>
      <c r="I47" s="98"/>
      <c r="J47" s="98"/>
      <c r="K47" s="98"/>
      <c r="L47" s="98"/>
      <c r="M47" s="98"/>
    </row>
    <row r="48" spans="1:13" ht="12.75">
      <c r="A48" s="341" t="s">
        <v>423</v>
      </c>
      <c r="B48" s="442"/>
      <c r="C48" s="442"/>
      <c r="D48" s="442"/>
      <c r="E48" s="442"/>
      <c r="F48" s="442"/>
      <c r="G48" s="442" t="s">
        <v>11</v>
      </c>
      <c r="H48" s="442" t="s">
        <v>11</v>
      </c>
      <c r="I48" s="442" t="s">
        <v>11</v>
      </c>
      <c r="J48" s="442" t="s">
        <v>11</v>
      </c>
      <c r="K48" s="442" t="s">
        <v>11</v>
      </c>
      <c r="L48" s="442" t="s">
        <v>11</v>
      </c>
      <c r="M48" s="442" t="s">
        <v>11</v>
      </c>
    </row>
    <row r="49" spans="1:13" ht="12.75">
      <c r="A49" s="181" t="s">
        <v>371</v>
      </c>
      <c r="B49" s="256"/>
      <c r="C49" s="256"/>
      <c r="D49" s="256"/>
      <c r="E49" s="256"/>
      <c r="F49" s="256"/>
      <c r="G49" s="256"/>
      <c r="H49" s="254"/>
      <c r="I49" s="254"/>
      <c r="J49" s="287"/>
      <c r="K49" s="254">
        <v>116964</v>
      </c>
      <c r="L49" s="254">
        <v>242120</v>
      </c>
      <c r="M49" s="254">
        <f>SUM(C49:L49)</f>
        <v>359084</v>
      </c>
    </row>
    <row r="50" spans="1:13" ht="12.75">
      <c r="A50" s="181" t="s">
        <v>374</v>
      </c>
      <c r="B50" s="256"/>
      <c r="C50" s="256"/>
      <c r="D50" s="256"/>
      <c r="E50" s="256"/>
      <c r="F50" s="256"/>
      <c r="G50" s="256"/>
      <c r="H50" s="254"/>
      <c r="I50" s="254"/>
      <c r="J50" s="287"/>
      <c r="K50" s="254">
        <v>83277</v>
      </c>
      <c r="L50" s="254">
        <v>37431</v>
      </c>
      <c r="M50" s="254">
        <f>SUM(C50:L50)</f>
        <v>120708</v>
      </c>
    </row>
    <row r="51" spans="1:13" ht="12.75">
      <c r="A51" s="190" t="s">
        <v>1</v>
      </c>
      <c r="B51" s="256">
        <f>SUM(C51:D51)</f>
        <v>0</v>
      </c>
      <c r="C51" s="256"/>
      <c r="D51" s="256"/>
      <c r="E51" s="256"/>
      <c r="F51" s="256"/>
      <c r="G51" s="256"/>
      <c r="H51" s="256"/>
      <c r="I51" s="256"/>
      <c r="J51" s="256">
        <v>45344</v>
      </c>
      <c r="K51" s="256">
        <f>SUM(K49:K50)</f>
        <v>200241</v>
      </c>
      <c r="L51" s="256">
        <f>SUM(L49:L50)</f>
        <v>279551</v>
      </c>
      <c r="M51" s="256">
        <f>SUM(C51:L51)</f>
        <v>525136</v>
      </c>
    </row>
    <row r="52" spans="1:13" ht="12.75">
      <c r="A52" s="158"/>
      <c r="B52" s="158"/>
      <c r="C52" s="158"/>
      <c r="D52" s="158"/>
      <c r="E52" s="158"/>
      <c r="F52" s="158"/>
      <c r="G52" s="158"/>
      <c r="I52" s="139"/>
      <c r="J52" s="139"/>
      <c r="K52" s="139"/>
      <c r="L52" s="139"/>
      <c r="M52" s="139"/>
    </row>
    <row r="53" spans="1:13" ht="12.75">
      <c r="A53" s="151" t="s">
        <v>424</v>
      </c>
      <c r="B53" s="58"/>
      <c r="C53" s="58"/>
      <c r="D53" s="58"/>
      <c r="E53" s="58"/>
      <c r="F53" s="58"/>
      <c r="G53" s="58" t="s">
        <v>11</v>
      </c>
      <c r="H53" s="58" t="s">
        <v>11</v>
      </c>
      <c r="I53" s="58" t="s">
        <v>11</v>
      </c>
      <c r="J53" s="58" t="s">
        <v>11</v>
      </c>
      <c r="K53" s="58" t="s">
        <v>11</v>
      </c>
      <c r="L53" s="58" t="s">
        <v>11</v>
      </c>
      <c r="M53" s="58" t="s">
        <v>11</v>
      </c>
    </row>
    <row r="54" spans="1:13" ht="12.75">
      <c r="A54" s="181" t="s">
        <v>371</v>
      </c>
      <c r="B54" s="256"/>
      <c r="C54" s="256"/>
      <c r="D54" s="256"/>
      <c r="E54" s="256"/>
      <c r="F54" s="256"/>
      <c r="G54" s="256"/>
      <c r="H54" s="254"/>
      <c r="I54" s="254"/>
      <c r="J54" s="287"/>
      <c r="K54" s="254">
        <v>2224850</v>
      </c>
      <c r="L54" s="254">
        <v>4504875</v>
      </c>
      <c r="M54" s="254">
        <f>SUM(C54:L54)</f>
        <v>6729725</v>
      </c>
    </row>
    <row r="55" spans="1:13" ht="12.75">
      <c r="A55" s="181" t="s">
        <v>374</v>
      </c>
      <c r="B55" s="256"/>
      <c r="C55" s="256"/>
      <c r="D55" s="256"/>
      <c r="E55" s="256"/>
      <c r="F55" s="256"/>
      <c r="G55" s="256"/>
      <c r="H55" s="254"/>
      <c r="I55" s="254"/>
      <c r="J55" s="287"/>
      <c r="K55" s="254">
        <v>999324</v>
      </c>
      <c r="L55" s="254">
        <v>449172</v>
      </c>
      <c r="M55" s="254">
        <f>SUM(C55:L55)</f>
        <v>1448496</v>
      </c>
    </row>
    <row r="56" spans="1:13" ht="12.75">
      <c r="A56" s="190" t="s">
        <v>1</v>
      </c>
      <c r="B56" s="256">
        <f>SUM(C56:D56)</f>
        <v>0</v>
      </c>
      <c r="C56" s="256"/>
      <c r="D56" s="256"/>
      <c r="E56" s="256"/>
      <c r="F56" s="256"/>
      <c r="G56" s="256"/>
      <c r="H56" s="256"/>
      <c r="I56" s="256"/>
      <c r="J56" s="256">
        <v>527074</v>
      </c>
      <c r="K56" s="256">
        <f>SUM(K54:K55)</f>
        <v>3224174</v>
      </c>
      <c r="L56" s="256">
        <f>SUM(L54:L55)</f>
        <v>4954047</v>
      </c>
      <c r="M56" s="256">
        <f>SUM(C56:L56)</f>
        <v>8705295</v>
      </c>
    </row>
    <row r="57" spans="1:13" ht="12.75">
      <c r="A57" s="334" t="s">
        <v>291</v>
      </c>
      <c r="B57" s="151"/>
      <c r="C57" s="151"/>
      <c r="D57" s="151"/>
      <c r="E57" s="151"/>
      <c r="F57" s="151"/>
      <c r="G57" s="151"/>
      <c r="H57" s="74"/>
      <c r="I57" s="98"/>
      <c r="J57" s="98"/>
      <c r="K57" s="98"/>
      <c r="L57" s="98"/>
      <c r="M57" s="98"/>
    </row>
    <row r="58" spans="1:13" ht="12.75">
      <c r="A58" s="334"/>
      <c r="B58" s="151"/>
      <c r="C58" s="151"/>
      <c r="D58" s="151"/>
      <c r="E58" s="151"/>
      <c r="F58" s="151"/>
      <c r="G58" s="151"/>
      <c r="H58" s="74"/>
      <c r="I58" s="98"/>
      <c r="J58" s="98"/>
      <c r="K58" s="98"/>
      <c r="L58" s="98"/>
      <c r="M58" s="98"/>
    </row>
    <row r="59" spans="1:13" ht="12.75">
      <c r="A59" s="432" t="s">
        <v>19</v>
      </c>
      <c r="B59" s="151"/>
      <c r="C59" s="151"/>
      <c r="D59" s="151"/>
      <c r="E59" s="151"/>
      <c r="F59" s="151"/>
      <c r="G59" s="151"/>
      <c r="H59" s="74"/>
      <c r="I59" s="98"/>
      <c r="J59" s="98"/>
      <c r="K59" s="98"/>
      <c r="L59" s="98"/>
      <c r="M59" s="98"/>
    </row>
    <row r="60" spans="1:15" ht="12.75">
      <c r="A60" s="432"/>
      <c r="B60" s="106"/>
      <c r="C60" s="106"/>
      <c r="D60" s="106"/>
      <c r="E60" s="106"/>
      <c r="F60" s="106"/>
      <c r="M60" s="338"/>
      <c r="O60" s="147" t="s">
        <v>88</v>
      </c>
    </row>
    <row r="61" spans="1:15" ht="24">
      <c r="A61" s="43" t="s">
        <v>6</v>
      </c>
      <c r="B61" s="74"/>
      <c r="C61" s="74"/>
      <c r="D61" s="74"/>
      <c r="E61" s="74"/>
      <c r="F61" s="74"/>
      <c r="G61" s="106">
        <v>2008</v>
      </c>
      <c r="H61" s="148">
        <v>2009</v>
      </c>
      <c r="I61" s="351">
        <v>2010</v>
      </c>
      <c r="J61" s="351">
        <v>2011</v>
      </c>
      <c r="K61" s="352" t="str">
        <f>K4</f>
        <v>(18 month)
2012-2013</v>
      </c>
      <c r="L61" s="352" t="str">
        <f>L4</f>
        <v>FY2014</v>
      </c>
      <c r="M61" s="98"/>
      <c r="O61" s="147"/>
    </row>
    <row r="62" spans="1:13" ht="12.75">
      <c r="A62" s="43" t="s">
        <v>421</v>
      </c>
      <c r="B62" s="441"/>
      <c r="C62" s="441"/>
      <c r="D62" s="441"/>
      <c r="E62" s="441"/>
      <c r="F62" s="441"/>
      <c r="G62" s="441" t="s">
        <v>8</v>
      </c>
      <c r="H62" s="441" t="s">
        <v>8</v>
      </c>
      <c r="I62" s="442" t="s">
        <v>8</v>
      </c>
      <c r="J62" s="442" t="s">
        <v>8</v>
      </c>
      <c r="K62" s="442" t="s">
        <v>8</v>
      </c>
      <c r="L62" s="442" t="s">
        <v>8</v>
      </c>
      <c r="M62" s="58"/>
    </row>
    <row r="63" spans="1:13" ht="12.75">
      <c r="A63" s="181" t="s">
        <v>371</v>
      </c>
      <c r="B63" s="256"/>
      <c r="C63" s="256"/>
      <c r="D63" s="256"/>
      <c r="E63" s="256"/>
      <c r="F63" s="256"/>
      <c r="G63" s="256"/>
      <c r="H63" s="254"/>
      <c r="I63" s="254"/>
      <c r="J63" s="287"/>
      <c r="K63" s="254">
        <v>48001</v>
      </c>
      <c r="L63" s="254">
        <v>26141</v>
      </c>
      <c r="M63" s="58"/>
    </row>
    <row r="64" spans="1:13" ht="12.75">
      <c r="A64" s="181" t="s">
        <v>374</v>
      </c>
      <c r="B64" s="256"/>
      <c r="C64" s="256"/>
      <c r="D64" s="256"/>
      <c r="E64" s="256"/>
      <c r="F64" s="256"/>
      <c r="G64" s="256"/>
      <c r="H64" s="254"/>
      <c r="I64" s="254"/>
      <c r="J64" s="287"/>
      <c r="K64" s="254"/>
      <c r="L64" s="254">
        <v>0</v>
      </c>
      <c r="M64" s="58"/>
    </row>
    <row r="65" spans="1:13" ht="12.75">
      <c r="A65" s="190" t="s">
        <v>1</v>
      </c>
      <c r="B65" s="256">
        <f>SUM(C65:D65)</f>
        <v>0</v>
      </c>
      <c r="C65" s="256"/>
      <c r="D65" s="256"/>
      <c r="E65" s="256"/>
      <c r="F65" s="256"/>
      <c r="G65" s="256"/>
      <c r="H65" s="256"/>
      <c r="I65" s="256"/>
      <c r="J65" s="321">
        <v>50830</v>
      </c>
      <c r="K65" s="256">
        <f>SUM(K63:K64)</f>
        <v>48001</v>
      </c>
      <c r="L65" s="256">
        <f>SUM(L63:L64)</f>
        <v>26141</v>
      </c>
      <c r="M65" s="98"/>
    </row>
    <row r="66" spans="1:13" ht="12.75">
      <c r="A66" s="158"/>
      <c r="B66" s="158"/>
      <c r="C66" s="158"/>
      <c r="D66" s="158"/>
      <c r="E66" s="158"/>
      <c r="F66" s="158"/>
      <c r="G66" s="158"/>
      <c r="I66" s="139"/>
      <c r="J66" s="139"/>
      <c r="K66" s="139"/>
      <c r="L66" s="139"/>
      <c r="M66" s="98"/>
    </row>
    <row r="67" spans="1:13" ht="12.75">
      <c r="A67" s="151" t="s">
        <v>422</v>
      </c>
      <c r="B67" s="63"/>
      <c r="C67" s="63"/>
      <c r="D67" s="63"/>
      <c r="E67" s="63"/>
      <c r="F67" s="63"/>
      <c r="G67" s="63" t="s">
        <v>8</v>
      </c>
      <c r="H67" s="63" t="s">
        <v>8</v>
      </c>
      <c r="I67" s="58" t="s">
        <v>8</v>
      </c>
      <c r="J67" s="58" t="s">
        <v>8</v>
      </c>
      <c r="K67" s="58" t="s">
        <v>8</v>
      </c>
      <c r="L67" s="58" t="s">
        <v>8</v>
      </c>
      <c r="M67" s="58"/>
    </row>
    <row r="68" spans="1:13" ht="12.75">
      <c r="A68" s="181" t="s">
        <v>371</v>
      </c>
      <c r="B68" s="256"/>
      <c r="C68" s="256"/>
      <c r="D68" s="256"/>
      <c r="E68" s="256"/>
      <c r="F68" s="256"/>
      <c r="G68" s="256"/>
      <c r="H68" s="254"/>
      <c r="I68" s="254"/>
      <c r="J68" s="287"/>
      <c r="K68" s="254">
        <v>793618</v>
      </c>
      <c r="L68" s="254">
        <v>427118</v>
      </c>
      <c r="M68" s="58"/>
    </row>
    <row r="69" spans="1:13" ht="12.75">
      <c r="A69" s="181" t="s">
        <v>374</v>
      </c>
      <c r="B69" s="256"/>
      <c r="C69" s="256"/>
      <c r="D69" s="256"/>
      <c r="E69" s="256"/>
      <c r="F69" s="256"/>
      <c r="G69" s="256"/>
      <c r="H69" s="254"/>
      <c r="I69" s="254"/>
      <c r="J69" s="287"/>
      <c r="K69" s="254"/>
      <c r="L69" s="254">
        <v>0</v>
      </c>
      <c r="M69" s="58"/>
    </row>
    <row r="70" spans="1:13" ht="12.75">
      <c r="A70" s="190" t="s">
        <v>1</v>
      </c>
      <c r="B70" s="256">
        <f>SUM(C70:D70)</f>
        <v>0</v>
      </c>
      <c r="C70" s="256"/>
      <c r="D70" s="256"/>
      <c r="E70" s="256"/>
      <c r="F70" s="256"/>
      <c r="G70" s="256"/>
      <c r="H70" s="256"/>
      <c r="I70" s="256"/>
      <c r="J70" s="321">
        <v>847665</v>
      </c>
      <c r="K70" s="256">
        <f>SUM(K68:K69)</f>
        <v>793618</v>
      </c>
      <c r="L70" s="256">
        <f>SUM(L68:L69)</f>
        <v>427118</v>
      </c>
      <c r="M70" s="98"/>
    </row>
    <row r="71" spans="1:13" ht="12.75">
      <c r="A71" s="158"/>
      <c r="B71" s="158"/>
      <c r="C71" s="158"/>
      <c r="D71" s="158"/>
      <c r="E71" s="158"/>
      <c r="F71" s="158"/>
      <c r="G71" s="158"/>
      <c r="I71" s="139"/>
      <c r="J71" s="139"/>
      <c r="K71" s="139"/>
      <c r="L71" s="139"/>
      <c r="M71" s="98"/>
    </row>
    <row r="72" spans="1:13" ht="12.75">
      <c r="A72" s="151" t="s">
        <v>109</v>
      </c>
      <c r="B72" s="58"/>
      <c r="C72" s="58"/>
      <c r="D72" s="58"/>
      <c r="E72" s="58"/>
      <c r="F72" s="58"/>
      <c r="G72" s="58" t="s">
        <v>411</v>
      </c>
      <c r="H72" s="58" t="s">
        <v>411</v>
      </c>
      <c r="I72" s="58" t="s">
        <v>411</v>
      </c>
      <c r="J72" s="58" t="s">
        <v>411</v>
      </c>
      <c r="K72" s="58" t="s">
        <v>411</v>
      </c>
      <c r="L72" s="58" t="s">
        <v>411</v>
      </c>
      <c r="M72" s="58"/>
    </row>
    <row r="73" spans="1:13" ht="12.75">
      <c r="A73" s="181" t="s">
        <v>371</v>
      </c>
      <c r="B73" s="256"/>
      <c r="C73" s="256"/>
      <c r="D73" s="256"/>
      <c r="E73" s="256"/>
      <c r="F73" s="256"/>
      <c r="G73" s="256"/>
      <c r="H73" s="254"/>
      <c r="I73" s="254"/>
      <c r="J73" s="287"/>
      <c r="K73" s="254">
        <v>9585</v>
      </c>
      <c r="L73" s="254">
        <v>6525</v>
      </c>
      <c r="M73" s="58"/>
    </row>
    <row r="74" spans="1:13" ht="12.75">
      <c r="A74" s="181" t="s">
        <v>374</v>
      </c>
      <c r="B74" s="256"/>
      <c r="C74" s="256"/>
      <c r="D74" s="256"/>
      <c r="E74" s="256"/>
      <c r="F74" s="256"/>
      <c r="G74" s="256"/>
      <c r="H74" s="254"/>
      <c r="I74" s="254"/>
      <c r="J74" s="287"/>
      <c r="K74" s="254">
        <v>1795</v>
      </c>
      <c r="L74" s="254">
        <v>0</v>
      </c>
      <c r="M74" s="58"/>
    </row>
    <row r="75" spans="1:13" ht="12.75">
      <c r="A75" s="190" t="s">
        <v>1</v>
      </c>
      <c r="B75" s="256">
        <f>SUM(C75:D75)</f>
        <v>0</v>
      </c>
      <c r="C75" s="256"/>
      <c r="D75" s="256"/>
      <c r="E75" s="256"/>
      <c r="F75" s="256"/>
      <c r="G75" s="256"/>
      <c r="H75" s="256"/>
      <c r="I75" s="256"/>
      <c r="J75" s="321">
        <v>10469</v>
      </c>
      <c r="K75" s="256">
        <f>SUM(K73:K74)</f>
        <v>11380</v>
      </c>
      <c r="L75" s="256">
        <f>SUM(L73:L74)</f>
        <v>6525</v>
      </c>
      <c r="M75" s="98"/>
    </row>
    <row r="77" ht="12.75">
      <c r="A77" s="151" t="s">
        <v>343</v>
      </c>
    </row>
    <row r="78" spans="1:12" ht="12.75">
      <c r="A78" s="157" t="s">
        <v>7</v>
      </c>
      <c r="B78" s="149" t="s">
        <v>8</v>
      </c>
      <c r="C78" s="149" t="s">
        <v>8</v>
      </c>
      <c r="D78" s="149" t="s">
        <v>8</v>
      </c>
      <c r="E78" s="149" t="s">
        <v>8</v>
      </c>
      <c r="F78" s="149" t="s">
        <v>8</v>
      </c>
      <c r="G78" s="149" t="s">
        <v>8</v>
      </c>
      <c r="H78" s="149" t="s">
        <v>8</v>
      </c>
      <c r="I78" s="149" t="s">
        <v>8</v>
      </c>
      <c r="J78" s="149" t="s">
        <v>8</v>
      </c>
      <c r="K78" s="149" t="s">
        <v>8</v>
      </c>
      <c r="L78" s="149" t="s">
        <v>8</v>
      </c>
    </row>
    <row r="79" spans="1:12" ht="12.75">
      <c r="A79" s="181" t="s">
        <v>372</v>
      </c>
      <c r="B79" s="256"/>
      <c r="C79" s="256"/>
      <c r="D79" s="256"/>
      <c r="E79" s="256"/>
      <c r="F79" s="256"/>
      <c r="G79" s="256"/>
      <c r="H79" s="254"/>
      <c r="I79" s="254"/>
      <c r="J79" s="287"/>
      <c r="K79" s="254">
        <v>7952</v>
      </c>
      <c r="L79" s="254">
        <v>0</v>
      </c>
    </row>
    <row r="80" spans="1:12" ht="12.75">
      <c r="A80" s="181" t="s">
        <v>373</v>
      </c>
      <c r="B80" s="256"/>
      <c r="C80" s="256"/>
      <c r="D80" s="256"/>
      <c r="E80" s="256"/>
      <c r="F80" s="256"/>
      <c r="G80" s="256"/>
      <c r="H80" s="254"/>
      <c r="I80" s="254"/>
      <c r="J80" s="287"/>
      <c r="K80" s="254">
        <v>95419</v>
      </c>
      <c r="L80" s="254">
        <v>0</v>
      </c>
    </row>
    <row r="82" spans="1:12" ht="12.75">
      <c r="A82" s="151" t="s">
        <v>111</v>
      </c>
      <c r="B82" s="149" t="s">
        <v>411</v>
      </c>
      <c r="C82" s="149" t="s">
        <v>411</v>
      </c>
      <c r="D82" s="149" t="s">
        <v>411</v>
      </c>
      <c r="E82" s="149" t="s">
        <v>411</v>
      </c>
      <c r="F82" s="149" t="s">
        <v>411</v>
      </c>
      <c r="G82" s="149" t="s">
        <v>411</v>
      </c>
      <c r="H82" s="149" t="s">
        <v>411</v>
      </c>
      <c r="I82" s="149" t="s">
        <v>411</v>
      </c>
      <c r="J82" s="149" t="s">
        <v>411</v>
      </c>
      <c r="K82" s="149" t="s">
        <v>411</v>
      </c>
      <c r="L82" s="149" t="s">
        <v>411</v>
      </c>
    </row>
    <row r="83" spans="1:12" ht="12.75">
      <c r="A83" s="181" t="s">
        <v>372</v>
      </c>
      <c r="B83" s="256"/>
      <c r="C83" s="256"/>
      <c r="D83" s="256"/>
      <c r="E83" s="256"/>
      <c r="F83" s="256"/>
      <c r="G83" s="256"/>
      <c r="H83" s="254"/>
      <c r="I83" s="254"/>
      <c r="J83" s="287"/>
      <c r="K83" s="254">
        <v>1795</v>
      </c>
      <c r="L83" s="254">
        <v>0</v>
      </c>
    </row>
    <row r="84" spans="1:13" ht="12.75">
      <c r="A84" s="336"/>
      <c r="B84" s="336"/>
      <c r="C84" s="336"/>
      <c r="D84" s="336"/>
      <c r="E84" s="336"/>
      <c r="F84" s="336"/>
      <c r="G84" s="336"/>
      <c r="I84" s="139"/>
      <c r="J84" s="139"/>
      <c r="K84" s="139"/>
      <c r="L84" s="139"/>
      <c r="M84" s="98"/>
    </row>
    <row r="85" spans="1:13" ht="12.75">
      <c r="A85" s="43" t="s">
        <v>6</v>
      </c>
      <c r="B85" s="151"/>
      <c r="C85" s="151"/>
      <c r="D85" s="151"/>
      <c r="E85" s="151"/>
      <c r="F85" s="151"/>
      <c r="G85" s="151"/>
      <c r="H85" s="74"/>
      <c r="I85" s="98"/>
      <c r="J85" s="98"/>
      <c r="K85" s="98"/>
      <c r="L85" s="98"/>
      <c r="M85" s="98"/>
    </row>
    <row r="86" spans="1:13" ht="12.75">
      <c r="A86" s="443" t="s">
        <v>423</v>
      </c>
      <c r="B86" s="442"/>
      <c r="C86" s="442"/>
      <c r="D86" s="442"/>
      <c r="E86" s="442"/>
      <c r="F86" s="442"/>
      <c r="G86" s="442" t="s">
        <v>11</v>
      </c>
      <c r="H86" s="442" t="s">
        <v>11</v>
      </c>
      <c r="I86" s="442" t="s">
        <v>11</v>
      </c>
      <c r="J86" s="442" t="s">
        <v>11</v>
      </c>
      <c r="K86" s="442" t="s">
        <v>11</v>
      </c>
      <c r="L86" s="442" t="s">
        <v>11</v>
      </c>
      <c r="M86" s="58"/>
    </row>
    <row r="87" spans="1:13" ht="12.75">
      <c r="A87" s="181" t="s">
        <v>371</v>
      </c>
      <c r="B87" s="256"/>
      <c r="C87" s="256"/>
      <c r="D87" s="256"/>
      <c r="E87" s="256"/>
      <c r="F87" s="256"/>
      <c r="G87" s="256"/>
      <c r="H87" s="254"/>
      <c r="I87" s="254"/>
      <c r="J87" s="287"/>
      <c r="K87" s="254">
        <v>291973</v>
      </c>
      <c r="L87" s="254">
        <v>176810</v>
      </c>
      <c r="M87" s="58"/>
    </row>
    <row r="88" spans="1:13" ht="12.75">
      <c r="A88" s="181" t="s">
        <v>374</v>
      </c>
      <c r="B88" s="256"/>
      <c r="C88" s="256"/>
      <c r="D88" s="256"/>
      <c r="E88" s="256"/>
      <c r="F88" s="256"/>
      <c r="G88" s="256"/>
      <c r="H88" s="254"/>
      <c r="I88" s="254"/>
      <c r="J88" s="287"/>
      <c r="K88" s="254">
        <v>35318</v>
      </c>
      <c r="L88" s="254">
        <v>0</v>
      </c>
      <c r="M88" s="58"/>
    </row>
    <row r="89" spans="1:13" ht="12.75">
      <c r="A89" s="190" t="s">
        <v>1</v>
      </c>
      <c r="B89" s="256">
        <f>SUM(C89:D89)</f>
        <v>0</v>
      </c>
      <c r="C89" s="256"/>
      <c r="D89" s="256"/>
      <c r="E89" s="256"/>
      <c r="F89" s="256"/>
      <c r="G89" s="256"/>
      <c r="H89" s="256"/>
      <c r="I89" s="256">
        <v>105152</v>
      </c>
      <c r="J89" s="321">
        <v>270852</v>
      </c>
      <c r="K89" s="256">
        <f>SUM(K87:K88)</f>
        <v>327291</v>
      </c>
      <c r="L89" s="256">
        <f>SUM(L87:L88)</f>
        <v>176810</v>
      </c>
      <c r="M89" s="98"/>
    </row>
    <row r="90" spans="1:13" ht="12.75">
      <c r="A90" s="158"/>
      <c r="B90" s="158"/>
      <c r="C90" s="158"/>
      <c r="D90" s="158"/>
      <c r="E90" s="158"/>
      <c r="F90" s="158"/>
      <c r="G90" s="158"/>
      <c r="I90" s="139"/>
      <c r="J90" s="139"/>
      <c r="K90" s="139"/>
      <c r="L90" s="139"/>
      <c r="M90" s="98"/>
    </row>
    <row r="91" spans="1:13" ht="12.75">
      <c r="A91" s="151" t="s">
        <v>424</v>
      </c>
      <c r="B91" s="58"/>
      <c r="C91" s="58"/>
      <c r="D91" s="58"/>
      <c r="E91" s="58"/>
      <c r="F91" s="58"/>
      <c r="G91" s="58" t="s">
        <v>11</v>
      </c>
      <c r="H91" s="58" t="s">
        <v>11</v>
      </c>
      <c r="I91" s="58" t="s">
        <v>11</v>
      </c>
      <c r="J91" s="58" t="s">
        <v>11</v>
      </c>
      <c r="K91" s="58" t="s">
        <v>11</v>
      </c>
      <c r="L91" s="58" t="s">
        <v>11</v>
      </c>
      <c r="M91" s="58"/>
    </row>
    <row r="92" spans="1:13" ht="12.75">
      <c r="A92" s="181" t="s">
        <v>371</v>
      </c>
      <c r="B92" s="256"/>
      <c r="C92" s="256"/>
      <c r="D92" s="256"/>
      <c r="E92" s="256"/>
      <c r="F92" s="256"/>
      <c r="G92" s="256"/>
      <c r="H92" s="254"/>
      <c r="I92" s="254"/>
      <c r="J92" s="287"/>
      <c r="K92" s="254">
        <v>5426910</v>
      </c>
      <c r="L92" s="254">
        <v>3336062</v>
      </c>
      <c r="M92" s="58"/>
    </row>
    <row r="93" spans="1:13" ht="12.75">
      <c r="A93" s="181" t="s">
        <v>374</v>
      </c>
      <c r="B93" s="256"/>
      <c r="C93" s="256"/>
      <c r="D93" s="256"/>
      <c r="E93" s="256"/>
      <c r="F93" s="256"/>
      <c r="G93" s="256"/>
      <c r="H93" s="254"/>
      <c r="I93" s="254"/>
      <c r="J93" s="287"/>
      <c r="K93" s="254">
        <v>423816</v>
      </c>
      <c r="L93" s="254">
        <v>0</v>
      </c>
      <c r="M93" s="58"/>
    </row>
    <row r="94" spans="1:13" ht="12.75">
      <c r="A94" s="190" t="s">
        <v>1</v>
      </c>
      <c r="B94" s="256">
        <f>SUM(C94:D94)</f>
        <v>0</v>
      </c>
      <c r="C94" s="256"/>
      <c r="D94" s="256"/>
      <c r="E94" s="256"/>
      <c r="F94" s="256"/>
      <c r="G94" s="256"/>
      <c r="H94" s="256"/>
      <c r="I94" s="256">
        <v>1738786</v>
      </c>
      <c r="J94" s="321">
        <v>4620736</v>
      </c>
      <c r="K94" s="256">
        <f>SUM(K92:K93)</f>
        <v>5850726</v>
      </c>
      <c r="L94" s="256">
        <f>SUM(L92:L93)</f>
        <v>3336062</v>
      </c>
      <c r="M94" s="98"/>
    </row>
    <row r="95" ht="12.75">
      <c r="A95" s="334" t="str">
        <f>A57</f>
        <v>* These columns/years have been hidden in this worksheet for viewing &amp; printing purposes</v>
      </c>
    </row>
  </sheetData>
  <sheetProtection/>
  <mergeCells count="2">
    <mergeCell ref="A2:M2"/>
    <mergeCell ref="A1:M1"/>
  </mergeCells>
  <printOptions/>
  <pageMargins left="0.17" right="0.17" top="0.4" bottom="0.6" header="0.24" footer="0.24"/>
  <pageSetup fitToHeight="0" fitToWidth="0"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57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2.57421875" style="0" bestFit="1" customWidth="1"/>
    <col min="2" max="5" width="14.421875" style="0" customWidth="1"/>
    <col min="6" max="6" width="13.7109375" style="0" customWidth="1"/>
  </cols>
  <sheetData>
    <row r="1" spans="1:6" ht="12.75">
      <c r="A1" s="458" t="s">
        <v>407</v>
      </c>
      <c r="B1" s="458"/>
      <c r="C1" s="458"/>
      <c r="D1" s="458"/>
      <c r="E1" s="458"/>
      <c r="F1" s="458"/>
    </row>
    <row r="2" spans="1:6" ht="12.75">
      <c r="A2" s="458" t="s">
        <v>234</v>
      </c>
      <c r="B2" s="458"/>
      <c r="C2" s="458"/>
      <c r="D2" s="458"/>
      <c r="E2" s="458"/>
      <c r="F2" s="458"/>
    </row>
    <row r="4" spans="1:6" ht="25.5">
      <c r="A4" s="30" t="s">
        <v>206</v>
      </c>
      <c r="B4" s="25">
        <v>2010</v>
      </c>
      <c r="C4" s="25">
        <v>2011</v>
      </c>
      <c r="D4" s="127" t="s">
        <v>347</v>
      </c>
      <c r="E4" s="127" t="s">
        <v>353</v>
      </c>
      <c r="F4" s="81" t="str">
        <f>"Total "&amp;CHAR(10)&amp;C4&amp;" ~ "&amp;E4</f>
        <v>Total 
2011 ~ FY2014</v>
      </c>
    </row>
    <row r="5" spans="1:6" ht="12.75">
      <c r="A5" s="19" t="s">
        <v>431</v>
      </c>
      <c r="B5" s="219">
        <v>4966134.6</v>
      </c>
      <c r="C5" s="219">
        <v>7471645.96</v>
      </c>
      <c r="D5" s="220">
        <v>7610817.58</v>
      </c>
      <c r="E5" s="220">
        <v>10265275.46</v>
      </c>
      <c r="F5" s="219">
        <f>SUM(B5:E5)</f>
        <v>30313873.6</v>
      </c>
    </row>
    <row r="6" spans="1:6" ht="12.75">
      <c r="A6" s="21"/>
      <c r="B6" s="102"/>
      <c r="C6" s="102"/>
      <c r="D6" s="138"/>
      <c r="E6" s="138"/>
      <c r="F6" s="102"/>
    </row>
    <row r="7" spans="1:6" ht="12.75">
      <c r="A7" s="30" t="s">
        <v>207</v>
      </c>
      <c r="B7" s="102"/>
      <c r="C7" s="102"/>
      <c r="D7" s="138"/>
      <c r="E7" s="138"/>
      <c r="F7" s="102"/>
    </row>
    <row r="8" spans="1:6" ht="12.75">
      <c r="A8" s="182" t="s">
        <v>20</v>
      </c>
      <c r="B8" s="280">
        <v>494488.64</v>
      </c>
      <c r="C8" s="280">
        <v>478711.08</v>
      </c>
      <c r="D8" s="281">
        <v>1345542.12</v>
      </c>
      <c r="E8" s="281">
        <v>1686006.88</v>
      </c>
      <c r="F8" s="298">
        <f>SUM(B8:E8)</f>
        <v>4004748.7199999997</v>
      </c>
    </row>
    <row r="9" spans="1:6" ht="12.75">
      <c r="A9" s="182" t="s">
        <v>19</v>
      </c>
      <c r="B9" s="280"/>
      <c r="C9" s="280">
        <v>1083760</v>
      </c>
      <c r="D9" s="281">
        <v>3021189.2</v>
      </c>
      <c r="E9" s="281">
        <v>7153125.9</v>
      </c>
      <c r="F9" s="297"/>
    </row>
    <row r="10" spans="1:6" ht="12.75">
      <c r="A10" s="16" t="s">
        <v>1</v>
      </c>
      <c r="B10" s="283"/>
      <c r="C10" s="283">
        <f>SUM(C8:C9)</f>
        <v>1562471.08</v>
      </c>
      <c r="D10" s="283">
        <f>SUM(D8:D9)</f>
        <v>4366731.32</v>
      </c>
      <c r="E10" s="283">
        <f>SUM(E8:E9)</f>
        <v>8839132.780000001</v>
      </c>
      <c r="F10" s="297"/>
    </row>
    <row r="11" spans="1:6" ht="12.75">
      <c r="A11" s="43"/>
      <c r="B11" s="121"/>
      <c r="C11" s="121"/>
      <c r="D11" s="121"/>
      <c r="E11" s="121"/>
      <c r="F11" s="121"/>
    </row>
    <row r="12" ht="12.75">
      <c r="A12" s="43" t="s">
        <v>5</v>
      </c>
    </row>
    <row r="13" spans="1:8" ht="12.75">
      <c r="A13" s="182" t="s">
        <v>232</v>
      </c>
      <c r="B13" s="248">
        <v>13</v>
      </c>
      <c r="C13" s="248">
        <v>6</v>
      </c>
      <c r="D13" s="258">
        <v>10</v>
      </c>
      <c r="E13" s="258">
        <v>15</v>
      </c>
      <c r="F13" s="248">
        <f>SUM(B13:E13)</f>
        <v>44</v>
      </c>
      <c r="H13" s="87" t="s">
        <v>389</v>
      </c>
    </row>
    <row r="14" spans="1:8" ht="12.75">
      <c r="A14" s="182" t="s">
        <v>233</v>
      </c>
      <c r="B14" s="248">
        <v>0</v>
      </c>
      <c r="C14" s="248">
        <v>0</v>
      </c>
      <c r="D14" s="320">
        <v>1</v>
      </c>
      <c r="E14" s="320">
        <v>5</v>
      </c>
      <c r="F14" s="248">
        <f>SUM(B14:E14)</f>
        <v>6</v>
      </c>
      <c r="H14" s="87" t="s">
        <v>390</v>
      </c>
    </row>
    <row r="15" spans="1:6" ht="12.75">
      <c r="A15" s="182" t="s">
        <v>388</v>
      </c>
      <c r="B15" s="248">
        <v>0</v>
      </c>
      <c r="C15" s="248">
        <v>0</v>
      </c>
      <c r="D15" s="320">
        <v>1</v>
      </c>
      <c r="E15" s="320">
        <v>0</v>
      </c>
      <c r="F15" s="248">
        <f>SUM(B15:E15)</f>
        <v>1</v>
      </c>
    </row>
    <row r="16" spans="1:6" s="1" customFormat="1" ht="12.75">
      <c r="A16" s="16" t="s">
        <v>1</v>
      </c>
      <c r="B16" s="247">
        <f>SUM(B13:B15)</f>
        <v>13</v>
      </c>
      <c r="C16" s="247">
        <f>SUM(C13:C15)</f>
        <v>6</v>
      </c>
      <c r="D16" s="247">
        <f>SUM(D13:D15)</f>
        <v>12</v>
      </c>
      <c r="E16" s="247">
        <f>SUM(E13:E15)</f>
        <v>20</v>
      </c>
      <c r="F16" s="247">
        <f>SUM(B16:E16)</f>
        <v>51</v>
      </c>
    </row>
    <row r="17" spans="1:6" ht="12.75">
      <c r="A17" s="43"/>
      <c r="B17" s="24"/>
      <c r="C17" s="24"/>
      <c r="D17" s="24"/>
      <c r="E17" s="24"/>
      <c r="F17" s="24"/>
    </row>
    <row r="18" ht="12.75">
      <c r="A18" s="43" t="s">
        <v>430</v>
      </c>
    </row>
    <row r="19" spans="1:7" ht="12.75">
      <c r="A19" s="19" t="s">
        <v>431</v>
      </c>
      <c r="B19" s="258"/>
      <c r="C19" s="258"/>
      <c r="D19" s="258"/>
      <c r="E19" s="258">
        <v>0</v>
      </c>
      <c r="F19" s="24"/>
      <c r="G19" s="131"/>
    </row>
    <row r="20" spans="1:7" ht="12.75">
      <c r="A20" s="43"/>
      <c r="B20" s="259"/>
      <c r="C20" s="259"/>
      <c r="D20" s="259"/>
      <c r="E20" s="259"/>
      <c r="F20" s="24"/>
      <c r="G20" s="131"/>
    </row>
    <row r="21" spans="1:7" ht="12.75">
      <c r="A21" s="43"/>
      <c r="B21" s="259"/>
      <c r="C21" s="259"/>
      <c r="D21" s="259"/>
      <c r="E21" s="259"/>
      <c r="F21" s="24"/>
      <c r="G21" s="131"/>
    </row>
    <row r="22" spans="1:7" ht="12.75">
      <c r="A22" s="432" t="s">
        <v>402</v>
      </c>
      <c r="B22" s="259"/>
      <c r="C22" s="259"/>
      <c r="D22" s="259"/>
      <c r="E22" s="259"/>
      <c r="F22" s="24"/>
      <c r="G22" s="131"/>
    </row>
    <row r="23" spans="1:6" ht="12.75">
      <c r="A23" s="432"/>
      <c r="B23" s="24"/>
      <c r="C23" s="24"/>
      <c r="D23" s="24"/>
      <c r="E23" s="24"/>
      <c r="F23" s="24"/>
    </row>
    <row r="24" ht="12.75">
      <c r="A24" s="43" t="s">
        <v>6</v>
      </c>
    </row>
    <row r="25" spans="1:6" ht="12.75">
      <c r="A25" s="43" t="s">
        <v>7</v>
      </c>
      <c r="B25" s="40" t="s">
        <v>8</v>
      </c>
      <c r="C25" s="40" t="s">
        <v>8</v>
      </c>
      <c r="D25" s="40" t="s">
        <v>8</v>
      </c>
      <c r="E25" s="40" t="s">
        <v>8</v>
      </c>
      <c r="F25" s="40" t="s">
        <v>8</v>
      </c>
    </row>
    <row r="26" spans="1:6" ht="12.75">
      <c r="A26" s="398" t="s">
        <v>344</v>
      </c>
      <c r="B26" s="248"/>
      <c r="C26" s="248">
        <v>0</v>
      </c>
      <c r="D26" s="248">
        <v>0</v>
      </c>
      <c r="E26" s="248">
        <v>1313</v>
      </c>
      <c r="F26" s="248">
        <f>SUM(B26:E26)</f>
        <v>1313</v>
      </c>
    </row>
    <row r="27" spans="1:6" ht="12.75">
      <c r="A27" s="398" t="s">
        <v>345</v>
      </c>
      <c r="B27" s="248"/>
      <c r="C27" s="248">
        <v>0</v>
      </c>
      <c r="D27" s="248">
        <v>0</v>
      </c>
      <c r="E27" s="248">
        <v>23486</v>
      </c>
      <c r="F27" s="248">
        <f>SUM(B27:E27)</f>
        <v>23486</v>
      </c>
    </row>
    <row r="28" spans="1:6" ht="12.75">
      <c r="A28" s="94"/>
      <c r="B28" s="23"/>
      <c r="C28" s="23"/>
      <c r="D28" s="23"/>
      <c r="E28" s="23"/>
      <c r="F28" s="23"/>
    </row>
    <row r="29" spans="1:6" ht="12.75">
      <c r="A29" s="78" t="s">
        <v>111</v>
      </c>
      <c r="B29" s="44" t="s">
        <v>411</v>
      </c>
      <c r="C29" s="44" t="s">
        <v>411</v>
      </c>
      <c r="D29" s="44" t="s">
        <v>411</v>
      </c>
      <c r="E29" s="44" t="s">
        <v>411</v>
      </c>
      <c r="F29" s="44" t="s">
        <v>411</v>
      </c>
    </row>
    <row r="30" spans="1:6" ht="12.75">
      <c r="A30" s="398" t="s">
        <v>439</v>
      </c>
      <c r="B30" s="248"/>
      <c r="C30" s="248">
        <v>0</v>
      </c>
      <c r="D30" s="248">
        <v>0</v>
      </c>
      <c r="E30" s="248">
        <v>990</v>
      </c>
      <c r="F30" s="248">
        <f>SUM(B30:E30)</f>
        <v>990</v>
      </c>
    </row>
    <row r="31" spans="1:6" ht="12.75">
      <c r="A31" s="46"/>
      <c r="B31" s="23"/>
      <c r="C31" s="23"/>
      <c r="D31" s="23"/>
      <c r="E31" s="23"/>
      <c r="F31" s="23"/>
    </row>
    <row r="32" spans="1:6" ht="12.75">
      <c r="A32" s="43" t="s">
        <v>6</v>
      </c>
      <c r="B32" s="23"/>
      <c r="C32" s="23"/>
      <c r="D32" s="23"/>
      <c r="E32" s="23"/>
      <c r="F32" s="23"/>
    </row>
    <row r="33" spans="1:6" ht="12.75">
      <c r="A33" s="78" t="s">
        <v>10</v>
      </c>
      <c r="B33" s="44" t="s">
        <v>11</v>
      </c>
      <c r="C33" s="44" t="s">
        <v>11</v>
      </c>
      <c r="D33" s="44" t="s">
        <v>11</v>
      </c>
      <c r="E33" s="44" t="s">
        <v>11</v>
      </c>
      <c r="F33" s="44" t="s">
        <v>11</v>
      </c>
    </row>
    <row r="34" spans="1:6" ht="12.75">
      <c r="A34" s="398" t="s">
        <v>344</v>
      </c>
      <c r="B34" s="248"/>
      <c r="C34" s="248">
        <v>0</v>
      </c>
      <c r="D34" s="248">
        <v>0</v>
      </c>
      <c r="E34" s="248">
        <v>963</v>
      </c>
      <c r="F34" s="248">
        <f>SUM(B34:E34)</f>
        <v>963</v>
      </c>
    </row>
    <row r="35" spans="1:6" ht="12.75">
      <c r="A35" s="398" t="s">
        <v>345</v>
      </c>
      <c r="B35" s="248"/>
      <c r="C35" s="248">
        <v>0</v>
      </c>
      <c r="D35" s="248">
        <v>0</v>
      </c>
      <c r="E35" s="248">
        <v>15048</v>
      </c>
      <c r="F35" s="248">
        <f>SUM(B35:E35)</f>
        <v>15048</v>
      </c>
    </row>
    <row r="36" spans="1:6" ht="12.75">
      <c r="A36" s="94"/>
      <c r="B36" s="257"/>
      <c r="C36" s="257"/>
      <c r="D36" s="257"/>
      <c r="E36" s="257"/>
      <c r="F36" s="257"/>
    </row>
    <row r="37" spans="1:6" ht="12.75">
      <c r="A37" s="78"/>
      <c r="B37" s="62"/>
      <c r="C37" s="62"/>
      <c r="D37" s="62"/>
      <c r="E37" s="62"/>
      <c r="F37" s="62"/>
    </row>
    <row r="38" spans="1:6" ht="12.75">
      <c r="A38" s="432" t="s">
        <v>19</v>
      </c>
      <c r="B38" s="62"/>
      <c r="C38" s="62"/>
      <c r="D38" s="62"/>
      <c r="E38" s="62"/>
      <c r="F38" s="62"/>
    </row>
    <row r="39" spans="1:6" ht="12.75">
      <c r="A39" s="78"/>
      <c r="B39" s="62"/>
      <c r="C39" s="62"/>
      <c r="D39" s="62"/>
      <c r="E39" s="62"/>
      <c r="F39" s="62"/>
    </row>
    <row r="40" spans="1:6" ht="12.75">
      <c r="A40" s="43" t="s">
        <v>6</v>
      </c>
      <c r="B40" s="23"/>
      <c r="C40" s="23"/>
      <c r="D40" s="23"/>
      <c r="E40" s="23"/>
      <c r="F40" s="62"/>
    </row>
    <row r="41" spans="1:6" ht="12.75">
      <c r="A41" s="43" t="s">
        <v>7</v>
      </c>
      <c r="B41" s="44" t="s">
        <v>8</v>
      </c>
      <c r="C41" s="44" t="s">
        <v>8</v>
      </c>
      <c r="D41" s="44" t="s">
        <v>8</v>
      </c>
      <c r="E41" s="44" t="s">
        <v>8</v>
      </c>
      <c r="F41" s="44"/>
    </row>
    <row r="42" spans="1:6" ht="12.75">
      <c r="A42" s="398" t="s">
        <v>344</v>
      </c>
      <c r="B42" s="248"/>
      <c r="C42" s="248">
        <v>6352</v>
      </c>
      <c r="D42" s="258">
        <v>2147</v>
      </c>
      <c r="E42" s="258">
        <v>449</v>
      </c>
      <c r="F42" s="62"/>
    </row>
    <row r="43" spans="1:6" ht="12.75">
      <c r="A43" s="398" t="s">
        <v>345</v>
      </c>
      <c r="B43" s="248"/>
      <c r="C43" s="248">
        <v>112356</v>
      </c>
      <c r="D43" s="258">
        <v>33006</v>
      </c>
      <c r="E43" s="258">
        <v>6425</v>
      </c>
      <c r="F43" s="62"/>
    </row>
    <row r="44" spans="1:6" ht="12.75">
      <c r="A44" s="135"/>
      <c r="B44" s="23"/>
      <c r="C44" s="23"/>
      <c r="D44" s="139"/>
      <c r="E44" s="139"/>
      <c r="F44" s="62"/>
    </row>
    <row r="45" spans="1:6" ht="12.75">
      <c r="A45" s="78" t="s">
        <v>111</v>
      </c>
      <c r="B45" s="44" t="s">
        <v>411</v>
      </c>
      <c r="C45" s="44" t="s">
        <v>411</v>
      </c>
      <c r="D45" s="58" t="s">
        <v>411</v>
      </c>
      <c r="E45" s="58" t="s">
        <v>411</v>
      </c>
      <c r="F45" s="44"/>
    </row>
    <row r="46" spans="1:6" ht="12.75">
      <c r="A46" s="398" t="s">
        <v>439</v>
      </c>
      <c r="B46" s="248"/>
      <c r="C46" s="248">
        <v>1288</v>
      </c>
      <c r="D46" s="258">
        <v>200</v>
      </c>
      <c r="E46" s="258">
        <v>7</v>
      </c>
      <c r="F46" s="62"/>
    </row>
    <row r="47" spans="1:6" ht="12.75">
      <c r="A47" s="46"/>
      <c r="B47" s="23"/>
      <c r="C47" s="23"/>
      <c r="D47" s="139"/>
      <c r="E47" s="139"/>
      <c r="F47" s="62"/>
    </row>
    <row r="48" spans="1:6" ht="12.75">
      <c r="A48" s="78" t="s">
        <v>6</v>
      </c>
      <c r="B48" s="23"/>
      <c r="C48" s="23"/>
      <c r="D48" s="139"/>
      <c r="E48" s="139"/>
      <c r="F48" s="62"/>
    </row>
    <row r="49" spans="1:6" ht="12.75">
      <c r="A49" s="78" t="s">
        <v>10</v>
      </c>
      <c r="B49" s="44" t="s">
        <v>11</v>
      </c>
      <c r="C49" s="44" t="s">
        <v>11</v>
      </c>
      <c r="D49" s="58" t="s">
        <v>11</v>
      </c>
      <c r="E49" s="58" t="s">
        <v>11</v>
      </c>
      <c r="F49" s="44"/>
    </row>
    <row r="50" spans="1:6" ht="12.75">
      <c r="A50" s="398" t="s">
        <v>344</v>
      </c>
      <c r="B50" s="248"/>
      <c r="C50" s="248">
        <v>7716</v>
      </c>
      <c r="D50" s="258">
        <v>9247</v>
      </c>
      <c r="E50" s="258">
        <v>113</v>
      </c>
      <c r="F50" s="62"/>
    </row>
    <row r="51" spans="1:6" ht="12.75">
      <c r="A51" s="398" t="s">
        <v>345</v>
      </c>
      <c r="B51" s="248"/>
      <c r="C51" s="248">
        <v>223315</v>
      </c>
      <c r="D51" s="258">
        <v>254619</v>
      </c>
      <c r="E51" s="258">
        <v>1631</v>
      </c>
      <c r="F51" s="62"/>
    </row>
    <row r="52" spans="1:6" ht="12.75">
      <c r="A52" s="23"/>
      <c r="B52" s="23"/>
      <c r="C52" s="23"/>
      <c r="D52" s="23"/>
      <c r="E52" s="23"/>
      <c r="F52" s="23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Yea&amp;8r&amp;R&amp;6printed &amp;D at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Q77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27.8515625" style="0" customWidth="1"/>
    <col min="2" max="2" width="15.421875" style="0" bestFit="1" customWidth="1"/>
    <col min="3" max="7" width="15.421875" style="0" hidden="1" customWidth="1"/>
    <col min="8" max="14" width="15.421875" style="0" bestFit="1" customWidth="1"/>
    <col min="15" max="15" width="15.421875" style="0" customWidth="1"/>
    <col min="16" max="16" width="17.421875" style="0" bestFit="1" customWidth="1"/>
    <col min="17" max="17" width="10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20" t="s">
        <v>401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27">
      <c r="A4" s="24"/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28"/>
    </row>
    <row r="5" spans="1:16" ht="12.75">
      <c r="A5" s="14" t="s">
        <v>279</v>
      </c>
      <c r="B5" s="239">
        <f>SUM(C5:G5)</f>
        <v>825901000</v>
      </c>
      <c r="C5" s="239">
        <f>C19</f>
        <v>114882000</v>
      </c>
      <c r="D5" s="239">
        <f aca="true" t="shared" si="0" ref="D5:M5">D19</f>
        <v>132686000</v>
      </c>
      <c r="E5" s="239">
        <f t="shared" si="0"/>
        <v>137138000</v>
      </c>
      <c r="F5" s="239">
        <f t="shared" si="0"/>
        <v>197340000</v>
      </c>
      <c r="G5" s="239">
        <f t="shared" si="0"/>
        <v>243855000</v>
      </c>
      <c r="H5" s="239">
        <f t="shared" si="0"/>
        <v>309114000</v>
      </c>
      <c r="I5" s="239">
        <f t="shared" si="0"/>
        <v>349555000</v>
      </c>
      <c r="J5" s="239">
        <f t="shared" si="0"/>
        <v>419491000</v>
      </c>
      <c r="K5" s="239">
        <f t="shared" si="0"/>
        <v>525380811.39</v>
      </c>
      <c r="L5" s="239">
        <f t="shared" si="0"/>
        <v>460728352.16999996</v>
      </c>
      <c r="M5" s="239">
        <f t="shared" si="0"/>
        <v>506323547.37</v>
      </c>
      <c r="N5" s="239">
        <f>N19</f>
        <v>511366306.14</v>
      </c>
      <c r="O5" s="239">
        <f>O19</f>
        <v>418086273.54</v>
      </c>
      <c r="P5" s="33"/>
    </row>
    <row r="6" spans="1:16" ht="12.75">
      <c r="A6" s="184" t="s">
        <v>253</v>
      </c>
      <c r="B6" s="240">
        <f>SUM(C6:G6)</f>
        <v>487339542</v>
      </c>
      <c r="C6" s="240">
        <f>C28</f>
        <v>57555000</v>
      </c>
      <c r="D6" s="240">
        <f aca="true" t="shared" si="1" ref="D6:M6">D28</f>
        <v>99904000</v>
      </c>
      <c r="E6" s="240">
        <f t="shared" si="1"/>
        <v>97786000</v>
      </c>
      <c r="F6" s="240">
        <f t="shared" si="1"/>
        <v>107502000</v>
      </c>
      <c r="G6" s="240">
        <f t="shared" si="1"/>
        <v>124592542</v>
      </c>
      <c r="H6" s="240">
        <f t="shared" si="1"/>
        <v>171197000</v>
      </c>
      <c r="I6" s="240">
        <f t="shared" si="1"/>
        <v>176811000</v>
      </c>
      <c r="J6" s="240">
        <f t="shared" si="1"/>
        <v>147550000</v>
      </c>
      <c r="K6" s="240">
        <f t="shared" si="1"/>
        <v>178164199.73</v>
      </c>
      <c r="L6" s="240">
        <f t="shared" si="1"/>
        <v>219585204.35999998</v>
      </c>
      <c r="M6" s="240">
        <f t="shared" si="1"/>
        <v>191875940.36</v>
      </c>
      <c r="N6" s="240">
        <f>N28</f>
        <v>277843944.14</v>
      </c>
      <c r="O6" s="240">
        <f>O28</f>
        <v>202221164.29000005</v>
      </c>
      <c r="P6" s="173"/>
    </row>
    <row r="7" spans="1:16" ht="12.75">
      <c r="A7" s="16" t="s">
        <v>280</v>
      </c>
      <c r="B7" s="240">
        <f>SUM(C7:G7)</f>
        <v>528364000</v>
      </c>
      <c r="C7" s="240">
        <f aca="true" t="shared" si="2" ref="C7:N7">C37</f>
        <v>22207000</v>
      </c>
      <c r="D7" s="240">
        <f t="shared" si="2"/>
        <v>51454000</v>
      </c>
      <c r="E7" s="240">
        <f t="shared" si="2"/>
        <v>79453000</v>
      </c>
      <c r="F7" s="240">
        <f t="shared" si="2"/>
        <v>165230000</v>
      </c>
      <c r="G7" s="240">
        <f t="shared" si="2"/>
        <v>210020000</v>
      </c>
      <c r="H7" s="240">
        <f t="shared" si="2"/>
        <v>164134000</v>
      </c>
      <c r="I7" s="240">
        <f t="shared" si="2"/>
        <v>115348000</v>
      </c>
      <c r="J7" s="240">
        <f t="shared" si="2"/>
        <v>155425000</v>
      </c>
      <c r="K7" s="240">
        <f t="shared" si="2"/>
        <v>167687937.8</v>
      </c>
      <c r="L7" s="240">
        <f t="shared" si="2"/>
        <v>141768354.47</v>
      </c>
      <c r="M7" s="240">
        <f t="shared" si="2"/>
        <v>124590088.59</v>
      </c>
      <c r="N7" s="240">
        <f t="shared" si="2"/>
        <v>135449403.45</v>
      </c>
      <c r="O7" s="240">
        <f>O37</f>
        <v>118973831.49999999</v>
      </c>
      <c r="P7" s="173"/>
    </row>
    <row r="8" spans="1:16" ht="8.25" customHeight="1">
      <c r="A8" s="409"/>
      <c r="B8" s="410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173"/>
    </row>
    <row r="9" spans="1:16" ht="12.75" customHeight="1">
      <c r="A9" s="171" t="s">
        <v>380</v>
      </c>
      <c r="B9" s="240">
        <f>SUM(C9:G9)</f>
        <v>1015703542</v>
      </c>
      <c r="C9" s="240">
        <f>C6+C7</f>
        <v>79762000</v>
      </c>
      <c r="D9" s="240">
        <f aca="true" t="shared" si="3" ref="D9:M9">D6+D7</f>
        <v>151358000</v>
      </c>
      <c r="E9" s="240">
        <f t="shared" si="3"/>
        <v>177239000</v>
      </c>
      <c r="F9" s="240">
        <f t="shared" si="3"/>
        <v>272732000</v>
      </c>
      <c r="G9" s="240">
        <f t="shared" si="3"/>
        <v>334612542</v>
      </c>
      <c r="H9" s="240">
        <f t="shared" si="3"/>
        <v>335331000</v>
      </c>
      <c r="I9" s="240">
        <f t="shared" si="3"/>
        <v>292159000</v>
      </c>
      <c r="J9" s="240">
        <f t="shared" si="3"/>
        <v>302975000</v>
      </c>
      <c r="K9" s="240">
        <f t="shared" si="3"/>
        <v>345852137.53</v>
      </c>
      <c r="L9" s="240">
        <f t="shared" si="3"/>
        <v>361353558.83</v>
      </c>
      <c r="M9" s="240">
        <f t="shared" si="3"/>
        <v>316466028.95000005</v>
      </c>
      <c r="N9" s="240">
        <f>N6+N7</f>
        <v>413293347.59</v>
      </c>
      <c r="O9" s="240">
        <f>O6+O7</f>
        <v>321194995.79</v>
      </c>
      <c r="P9" s="173"/>
    </row>
    <row r="10" spans="1:16" ht="12.75">
      <c r="A10" s="128" t="s">
        <v>441</v>
      </c>
      <c r="B10" s="418">
        <f>B9/B5</f>
        <v>1.2298127039439353</v>
      </c>
      <c r="C10" s="418">
        <f>C9/C5</f>
        <v>0.6942950157552967</v>
      </c>
      <c r="D10" s="418">
        <f aca="true" t="shared" si="4" ref="D10:M10">D9/D5</f>
        <v>1.1407232111903292</v>
      </c>
      <c r="E10" s="418">
        <f t="shared" si="4"/>
        <v>1.2924134813107964</v>
      </c>
      <c r="F10" s="418">
        <f t="shared" si="4"/>
        <v>1.3820411472585385</v>
      </c>
      <c r="G10" s="418">
        <f t="shared" si="4"/>
        <v>1.3721783108814665</v>
      </c>
      <c r="H10" s="418">
        <f t="shared" si="4"/>
        <v>1.0848133698247249</v>
      </c>
      <c r="I10" s="418">
        <f t="shared" si="4"/>
        <v>0.8358026633863055</v>
      </c>
      <c r="J10" s="418">
        <f t="shared" si="4"/>
        <v>0.7222443389727073</v>
      </c>
      <c r="K10" s="418">
        <f t="shared" si="4"/>
        <v>0.6582884833859444</v>
      </c>
      <c r="L10" s="418">
        <f t="shared" si="4"/>
        <v>0.7843093595782606</v>
      </c>
      <c r="M10" s="418">
        <f t="shared" si="4"/>
        <v>0.6250272786913067</v>
      </c>
      <c r="N10" s="418">
        <f>N9/N5</f>
        <v>0.8082138823531523</v>
      </c>
      <c r="O10" s="418">
        <f>O9/O5</f>
        <v>0.7682505169815627</v>
      </c>
      <c r="P10" s="174"/>
    </row>
    <row r="11" spans="1:16" ht="12.7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</row>
    <row r="12" spans="1:16" ht="26.25">
      <c r="A12" s="415" t="s">
        <v>279</v>
      </c>
      <c r="B12" s="197" t="str">
        <f>B4</f>
        <v>Summary 
2001 to 2005*</v>
      </c>
      <c r="C12" s="28">
        <v>2001</v>
      </c>
      <c r="D12" s="28">
        <v>2002</v>
      </c>
      <c r="E12" s="28">
        <v>2003</v>
      </c>
      <c r="F12" s="28">
        <v>2004</v>
      </c>
      <c r="G12" s="28">
        <v>2005</v>
      </c>
      <c r="H12" s="28">
        <v>2006</v>
      </c>
      <c r="I12" s="28">
        <v>2007</v>
      </c>
      <c r="J12" s="28">
        <v>2008</v>
      </c>
      <c r="K12" s="28">
        <v>2009</v>
      </c>
      <c r="L12" s="28">
        <v>2010</v>
      </c>
      <c r="M12" s="28">
        <v>2011</v>
      </c>
      <c r="N12" s="197" t="str">
        <f>N4</f>
        <v>(18 month)1
2012-2013</v>
      </c>
      <c r="O12" s="197" t="str">
        <f>O4</f>
        <v>FY2014</v>
      </c>
      <c r="P12" s="24"/>
    </row>
    <row r="13" spans="1:17" ht="12.75">
      <c r="A13" s="227" t="s">
        <v>83</v>
      </c>
      <c r="B13" s="242">
        <f aca="true" t="shared" si="5" ref="B13:B19">SUM(C13:G13)</f>
        <v>519626000</v>
      </c>
      <c r="C13" s="242">
        <v>86132000</v>
      </c>
      <c r="D13" s="242">
        <v>101316000</v>
      </c>
      <c r="E13" s="242">
        <v>101138000</v>
      </c>
      <c r="F13" s="242">
        <v>117290000</v>
      </c>
      <c r="G13" s="242">
        <v>113750000</v>
      </c>
      <c r="H13" s="242">
        <v>128645000</v>
      </c>
      <c r="I13" s="242">
        <v>159705000</v>
      </c>
      <c r="J13" s="242">
        <v>189928000</v>
      </c>
      <c r="K13" s="242">
        <v>265312926.03</v>
      </c>
      <c r="L13" s="242">
        <v>275568372.46</v>
      </c>
      <c r="M13" s="242">
        <v>325875452.17</v>
      </c>
      <c r="N13" s="243">
        <v>395313328.45</v>
      </c>
      <c r="O13" s="243">
        <v>304264392.03</v>
      </c>
      <c r="P13" s="33"/>
      <c r="Q13" t="s">
        <v>88</v>
      </c>
    </row>
    <row r="14" spans="1:16" ht="12.75">
      <c r="A14" s="227" t="s">
        <v>381</v>
      </c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3"/>
      <c r="O14" s="243">
        <v>37964525.92</v>
      </c>
      <c r="P14" s="33"/>
    </row>
    <row r="15" spans="1:16" ht="12.75">
      <c r="A15" s="227" t="s">
        <v>84</v>
      </c>
      <c r="B15" s="242">
        <f t="shared" si="5"/>
        <v>296100000</v>
      </c>
      <c r="C15" s="242">
        <v>28750000</v>
      </c>
      <c r="D15" s="242">
        <v>31370000</v>
      </c>
      <c r="E15" s="242">
        <v>36000000</v>
      </c>
      <c r="F15" s="242">
        <v>80050000</v>
      </c>
      <c r="G15" s="242">
        <v>119930000</v>
      </c>
      <c r="H15" s="242">
        <v>170562000</v>
      </c>
      <c r="I15" s="242">
        <v>175495000</v>
      </c>
      <c r="J15" s="242">
        <v>217763000</v>
      </c>
      <c r="K15" s="242">
        <v>250677103.54</v>
      </c>
      <c r="L15" s="242">
        <v>177346129.96</v>
      </c>
      <c r="M15" s="242">
        <v>90312891.01</v>
      </c>
      <c r="N15" s="243">
        <v>31031421.2</v>
      </c>
      <c r="O15" s="243">
        <v>20311137.42</v>
      </c>
      <c r="P15" s="33"/>
    </row>
    <row r="16" spans="1:16" ht="12.75">
      <c r="A16" s="227" t="s">
        <v>270</v>
      </c>
      <c r="B16" s="242">
        <f t="shared" si="5"/>
        <v>0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>
        <v>57634153.38</v>
      </c>
      <c r="N16" s="243">
        <v>49045280.92</v>
      </c>
      <c r="O16" s="243">
        <v>31367385.35</v>
      </c>
      <c r="P16" s="33"/>
    </row>
    <row r="17" spans="1:16" ht="12.75">
      <c r="A17" s="227" t="s">
        <v>102</v>
      </c>
      <c r="B17" s="242">
        <f t="shared" si="5"/>
        <v>10175000</v>
      </c>
      <c r="C17" s="242"/>
      <c r="D17" s="242"/>
      <c r="E17" s="242"/>
      <c r="F17" s="242"/>
      <c r="G17" s="242">
        <v>10175000</v>
      </c>
      <c r="H17" s="242">
        <v>9907000</v>
      </c>
      <c r="I17" s="242">
        <v>14355000</v>
      </c>
      <c r="J17" s="242">
        <v>11800000</v>
      </c>
      <c r="K17" s="242">
        <v>9390781.82</v>
      </c>
      <c r="L17" s="242">
        <v>7813849.75</v>
      </c>
      <c r="M17" s="242">
        <v>7501050.81</v>
      </c>
      <c r="N17" s="243">
        <v>14186401.28</v>
      </c>
      <c r="O17" s="243">
        <v>11385232.61</v>
      </c>
      <c r="P17" s="33"/>
    </row>
    <row r="18" spans="1:16" ht="12.75">
      <c r="A18" s="227" t="s">
        <v>271</v>
      </c>
      <c r="B18" s="242">
        <f t="shared" si="5"/>
        <v>0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>
        <v>25000000</v>
      </c>
      <c r="N18" s="243">
        <v>21789874.29</v>
      </c>
      <c r="O18" s="243">
        <v>12793600.21</v>
      </c>
      <c r="P18" s="33"/>
    </row>
    <row r="19" spans="1:16" ht="12.75">
      <c r="A19" s="14" t="s">
        <v>1</v>
      </c>
      <c r="B19" s="244">
        <f t="shared" si="5"/>
        <v>825901000</v>
      </c>
      <c r="C19" s="244">
        <f>SUM(C13:C18)</f>
        <v>114882000</v>
      </c>
      <c r="D19" s="244">
        <f aca="true" t="shared" si="6" ref="D19:M19">SUM(D13:D18)</f>
        <v>132686000</v>
      </c>
      <c r="E19" s="244">
        <f t="shared" si="6"/>
        <v>137138000</v>
      </c>
      <c r="F19" s="244">
        <f t="shared" si="6"/>
        <v>197340000</v>
      </c>
      <c r="G19" s="244">
        <f t="shared" si="6"/>
        <v>243855000</v>
      </c>
      <c r="H19" s="244">
        <f t="shared" si="6"/>
        <v>309114000</v>
      </c>
      <c r="I19" s="244">
        <f t="shared" si="6"/>
        <v>349555000</v>
      </c>
      <c r="J19" s="244">
        <f t="shared" si="6"/>
        <v>419491000</v>
      </c>
      <c r="K19" s="244">
        <f t="shared" si="6"/>
        <v>525380811.39</v>
      </c>
      <c r="L19" s="244">
        <f t="shared" si="6"/>
        <v>460728352.16999996</v>
      </c>
      <c r="M19" s="244">
        <f t="shared" si="6"/>
        <v>506323547.37</v>
      </c>
      <c r="N19" s="244">
        <f>SUM(N13:N18)</f>
        <v>511366306.14</v>
      </c>
      <c r="O19" s="244">
        <f>SUM(O13:O18)</f>
        <v>418086273.54</v>
      </c>
      <c r="P19" s="33"/>
    </row>
    <row r="20" spans="1:16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26.25">
      <c r="A21" s="415" t="s">
        <v>253</v>
      </c>
      <c r="B21" s="197" t="str">
        <f>B4</f>
        <v>Summary 
2001 to 2005*</v>
      </c>
      <c r="C21" s="28">
        <v>2001</v>
      </c>
      <c r="D21" s="28">
        <v>2002</v>
      </c>
      <c r="E21" s="28">
        <v>2003</v>
      </c>
      <c r="F21" s="28">
        <v>2004</v>
      </c>
      <c r="G21" s="28">
        <v>2005</v>
      </c>
      <c r="H21" s="28">
        <v>2006</v>
      </c>
      <c r="I21" s="28">
        <v>2007</v>
      </c>
      <c r="J21" s="28">
        <v>2008</v>
      </c>
      <c r="K21" s="28">
        <v>2009</v>
      </c>
      <c r="L21" s="28">
        <v>2010</v>
      </c>
      <c r="M21" s="28">
        <v>2011</v>
      </c>
      <c r="N21" s="197" t="str">
        <f>N4</f>
        <v>(18 month)1
2012-2013</v>
      </c>
      <c r="O21" s="197" t="str">
        <f>O4</f>
        <v>FY2014</v>
      </c>
      <c r="P21" s="24"/>
    </row>
    <row r="22" spans="1:16" ht="12.75">
      <c r="A22" s="235" t="s">
        <v>83</v>
      </c>
      <c r="B22" s="239">
        <f aca="true" t="shared" si="7" ref="B22:B28">SUM(C22:G22)</f>
        <v>416309160</v>
      </c>
      <c r="C22" s="239">
        <f>'Summary Breakdown'!C7</f>
        <v>56570000</v>
      </c>
      <c r="D22" s="239">
        <f>'Summary Breakdown'!D7</f>
        <v>93258000</v>
      </c>
      <c r="E22" s="239">
        <f>'Summary Breakdown'!E7</f>
        <v>88314000</v>
      </c>
      <c r="F22" s="239">
        <f>'Summary Breakdown'!F7</f>
        <v>92753000</v>
      </c>
      <c r="G22" s="239">
        <f>'Summary Breakdown'!G7</f>
        <v>85414160</v>
      </c>
      <c r="H22" s="239">
        <f>'Summary Breakdown'!H7</f>
        <v>79642000</v>
      </c>
      <c r="I22" s="239">
        <f>'Summary Breakdown'!I7</f>
        <v>90078000</v>
      </c>
      <c r="J22" s="239">
        <f>'Summary Breakdown'!J7</f>
        <v>82452000</v>
      </c>
      <c r="K22" s="239">
        <f>'Summary Breakdown'!K7</f>
        <v>120958657.9</v>
      </c>
      <c r="L22" s="239">
        <f>'Summary Breakdown'!L7</f>
        <v>153712920.29</v>
      </c>
      <c r="M22" s="239">
        <f>'Summary Breakdown'!M7</f>
        <v>139035801.19</v>
      </c>
      <c r="N22" s="241">
        <f>'Summary Breakdown'!N7</f>
        <v>236467134.94</v>
      </c>
      <c r="O22" s="241">
        <f>'Summary Breakdown'!O7</f>
        <v>178097681.61</v>
      </c>
      <c r="P22" s="23"/>
    </row>
    <row r="23" spans="1:16" ht="12.75">
      <c r="A23" s="227" t="s">
        <v>381</v>
      </c>
      <c r="B23" s="239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41"/>
      <c r="O23" s="241">
        <f>'Summary Breakdown'!O8</f>
        <v>1474906.46</v>
      </c>
      <c r="P23" s="23"/>
    </row>
    <row r="24" spans="1:15" ht="12.75">
      <c r="A24" s="235" t="s">
        <v>84</v>
      </c>
      <c r="B24" s="239">
        <f t="shared" si="7"/>
        <v>67376382</v>
      </c>
      <c r="C24" s="239">
        <f>'Summary Breakdown'!C9</f>
        <v>985000</v>
      </c>
      <c r="D24" s="239">
        <f>'Summary Breakdown'!D9</f>
        <v>6646000</v>
      </c>
      <c r="E24" s="239">
        <f>'Summary Breakdown'!E9</f>
        <v>9472000</v>
      </c>
      <c r="F24" s="239">
        <f>'Summary Breakdown'!F9</f>
        <v>14749000</v>
      </c>
      <c r="G24" s="239">
        <f>'Summary Breakdown'!G9</f>
        <v>35524382</v>
      </c>
      <c r="H24" s="239">
        <f>'Summary Breakdown'!H9</f>
        <v>84279000</v>
      </c>
      <c r="I24" s="239">
        <f>'Summary Breakdown'!I9</f>
        <v>78210000</v>
      </c>
      <c r="J24" s="239">
        <f>'Summary Breakdown'!J9</f>
        <v>56930000</v>
      </c>
      <c r="K24" s="239">
        <f>'Summary Breakdown'!K9</f>
        <v>52677504.54</v>
      </c>
      <c r="L24" s="239">
        <f>'Summary Breakdown'!L9</f>
        <v>62334485.13</v>
      </c>
      <c r="M24" s="239">
        <f>'Summary Breakdown'!M9</f>
        <v>38963321.6</v>
      </c>
      <c r="N24" s="241">
        <f>'Summary Breakdown'!N9</f>
        <v>18003594.66</v>
      </c>
      <c r="O24" s="241">
        <f>'Summary Breakdown'!O9</f>
        <v>4193889.84</v>
      </c>
    </row>
    <row r="25" spans="1:15" ht="12.75">
      <c r="A25" s="235" t="s">
        <v>270</v>
      </c>
      <c r="B25" s="239">
        <f t="shared" si="7"/>
        <v>0</v>
      </c>
      <c r="C25" s="239">
        <f>'Summary Breakdown'!C10</f>
        <v>0</v>
      </c>
      <c r="D25" s="239">
        <f>'Summary Breakdown'!D10</f>
        <v>0</v>
      </c>
      <c r="E25" s="239">
        <f>'Summary Breakdown'!E10</f>
        <v>0</v>
      </c>
      <c r="F25" s="239">
        <f>'Summary Breakdown'!F10</f>
        <v>0</v>
      </c>
      <c r="G25" s="239">
        <f>'Summary Breakdown'!G10</f>
        <v>0</v>
      </c>
      <c r="H25" s="239">
        <f>'Summary Breakdown'!H10</f>
        <v>0</v>
      </c>
      <c r="I25" s="239">
        <f>'Summary Breakdown'!I10</f>
        <v>0</v>
      </c>
      <c r="J25" s="239">
        <f>'Summary Breakdown'!J10</f>
        <v>0</v>
      </c>
      <c r="K25" s="239">
        <f>'Summary Breakdown'!K10</f>
        <v>0</v>
      </c>
      <c r="L25" s="239">
        <f>'Summary Breakdown'!L10</f>
        <v>0</v>
      </c>
      <c r="M25" s="239">
        <f>'Summary Breakdown'!M10</f>
        <v>6335017</v>
      </c>
      <c r="N25" s="241">
        <f>'Summary Breakdown'!N10</f>
        <v>5268131.56</v>
      </c>
      <c r="O25" s="241">
        <f>'Summary Breakdown'!O10</f>
        <v>5524016.06</v>
      </c>
    </row>
    <row r="26" spans="1:15" ht="12.75">
      <c r="A26" s="227" t="s">
        <v>102</v>
      </c>
      <c r="B26" s="239">
        <f t="shared" si="7"/>
        <v>3654000</v>
      </c>
      <c r="C26" s="239">
        <f>'Summary Breakdown'!C11</f>
        <v>0</v>
      </c>
      <c r="D26" s="239">
        <f>'Summary Breakdown'!D11</f>
        <v>0</v>
      </c>
      <c r="E26" s="239">
        <f>'Summary Breakdown'!E11</f>
        <v>0</v>
      </c>
      <c r="F26" s="239">
        <f>'Summary Breakdown'!F11</f>
        <v>0</v>
      </c>
      <c r="G26" s="239">
        <f>'Summary Breakdown'!G11</f>
        <v>3654000</v>
      </c>
      <c r="H26" s="239">
        <f>'Summary Breakdown'!H11</f>
        <v>7276000</v>
      </c>
      <c r="I26" s="239">
        <f>'Summary Breakdown'!I11</f>
        <v>8523000</v>
      </c>
      <c r="J26" s="239">
        <f>'Summary Breakdown'!J11</f>
        <v>8168000</v>
      </c>
      <c r="K26" s="239">
        <f>'Summary Breakdown'!K11</f>
        <v>4528037.29</v>
      </c>
      <c r="L26" s="239">
        <f>'Summary Breakdown'!L11</f>
        <v>3537798.94</v>
      </c>
      <c r="M26" s="239">
        <f>'Summary Breakdown'!M11</f>
        <v>4331674.86</v>
      </c>
      <c r="N26" s="241">
        <f>'Summary Breakdown'!N11</f>
        <v>9108808.9</v>
      </c>
      <c r="O26" s="241">
        <f>'Summary Breakdown'!O11</f>
        <v>5511570.11</v>
      </c>
    </row>
    <row r="27" spans="1:15" ht="12.75">
      <c r="A27" s="227" t="s">
        <v>271</v>
      </c>
      <c r="B27" s="239">
        <f t="shared" si="7"/>
        <v>0</v>
      </c>
      <c r="C27" s="239">
        <f>'Summary Breakdown'!C12</f>
        <v>0</v>
      </c>
      <c r="D27" s="239">
        <f>'Summary Breakdown'!D12</f>
        <v>0</v>
      </c>
      <c r="E27" s="239">
        <f>'Summary Breakdown'!E12</f>
        <v>0</v>
      </c>
      <c r="F27" s="239">
        <f>'Summary Breakdown'!F12</f>
        <v>0</v>
      </c>
      <c r="G27" s="239">
        <f>'Summary Breakdown'!G12</f>
        <v>0</v>
      </c>
      <c r="H27" s="239">
        <f>'Summary Breakdown'!H12</f>
        <v>0</v>
      </c>
      <c r="I27" s="239">
        <f>'Summary Breakdown'!I12</f>
        <v>0</v>
      </c>
      <c r="J27" s="239">
        <f>'Summary Breakdown'!J12</f>
        <v>0</v>
      </c>
      <c r="K27" s="239">
        <f>'Summary Breakdown'!K12</f>
        <v>0</v>
      </c>
      <c r="L27" s="239">
        <f>'Summary Breakdown'!L12</f>
        <v>0</v>
      </c>
      <c r="M27" s="239">
        <f>'Summary Breakdown'!M12</f>
        <v>3210125.71</v>
      </c>
      <c r="N27" s="241">
        <f>'Summary Breakdown'!N12</f>
        <v>8996274.08</v>
      </c>
      <c r="O27" s="241">
        <f>'Summary Breakdown'!O12</f>
        <v>7419100.21</v>
      </c>
    </row>
    <row r="28" spans="1:15" ht="12.75">
      <c r="A28" s="14" t="s">
        <v>1</v>
      </c>
      <c r="B28" s="245">
        <f t="shared" si="7"/>
        <v>487339542</v>
      </c>
      <c r="C28" s="245">
        <f aca="true" t="shared" si="8" ref="C28:L28">SUM(C22:C27)</f>
        <v>57555000</v>
      </c>
      <c r="D28" s="245">
        <f t="shared" si="8"/>
        <v>99904000</v>
      </c>
      <c r="E28" s="245">
        <f t="shared" si="8"/>
        <v>97786000</v>
      </c>
      <c r="F28" s="245">
        <f t="shared" si="8"/>
        <v>107502000</v>
      </c>
      <c r="G28" s="245">
        <f t="shared" si="8"/>
        <v>124592542</v>
      </c>
      <c r="H28" s="245">
        <f t="shared" si="8"/>
        <v>171197000</v>
      </c>
      <c r="I28" s="245">
        <f t="shared" si="8"/>
        <v>176811000</v>
      </c>
      <c r="J28" s="245">
        <f t="shared" si="8"/>
        <v>147550000</v>
      </c>
      <c r="K28" s="245">
        <f t="shared" si="8"/>
        <v>178164199.73</v>
      </c>
      <c r="L28" s="245">
        <f t="shared" si="8"/>
        <v>219585204.35999998</v>
      </c>
      <c r="M28" s="245">
        <f>SUM(M22:M27)</f>
        <v>191875940.36</v>
      </c>
      <c r="N28" s="245">
        <f>SUM(N22:N27)</f>
        <v>277843944.14</v>
      </c>
      <c r="O28" s="245">
        <f>SUM(O22:O27)</f>
        <v>202221164.29000005</v>
      </c>
    </row>
    <row r="29" spans="1:15" ht="12.75">
      <c r="A29" s="2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6" ht="26.25">
      <c r="A30" s="416" t="s">
        <v>281</v>
      </c>
      <c r="B30" s="197" t="str">
        <f>B4</f>
        <v>Summary 
2001 to 2005*</v>
      </c>
      <c r="C30" s="28">
        <v>2001</v>
      </c>
      <c r="D30" s="28">
        <v>2002</v>
      </c>
      <c r="E30" s="28">
        <v>2003</v>
      </c>
      <c r="F30" s="28">
        <v>2004</v>
      </c>
      <c r="G30" s="28">
        <v>2005</v>
      </c>
      <c r="H30" s="28">
        <v>2006</v>
      </c>
      <c r="I30" s="28">
        <v>2007</v>
      </c>
      <c r="J30" s="28">
        <v>2008</v>
      </c>
      <c r="K30" s="28">
        <v>2009</v>
      </c>
      <c r="L30" s="28">
        <v>2010</v>
      </c>
      <c r="M30" s="28">
        <v>2011</v>
      </c>
      <c r="N30" s="197" t="str">
        <f>N4</f>
        <v>(18 month)1
2012-2013</v>
      </c>
      <c r="O30" s="197" t="str">
        <f>O4</f>
        <v>FY2014</v>
      </c>
      <c r="P30" s="28"/>
    </row>
    <row r="31" spans="1:16" ht="12.75">
      <c r="A31" s="235" t="s">
        <v>83</v>
      </c>
      <c r="B31" s="239">
        <f aca="true" t="shared" si="9" ref="B31:B37">SUM(C31:G31)</f>
        <v>217108000</v>
      </c>
      <c r="C31" s="239">
        <v>13991000</v>
      </c>
      <c r="D31" s="239">
        <v>36767000</v>
      </c>
      <c r="E31" s="239">
        <v>44644000</v>
      </c>
      <c r="F31" s="239">
        <v>50727000</v>
      </c>
      <c r="G31" s="239">
        <v>70979000</v>
      </c>
      <c r="H31" s="239">
        <v>60233000</v>
      </c>
      <c r="I31" s="239">
        <v>35894000</v>
      </c>
      <c r="J31" s="239">
        <v>47204000</v>
      </c>
      <c r="K31" s="239">
        <v>51113035.8</v>
      </c>
      <c r="L31" s="239">
        <v>62873145.18</v>
      </c>
      <c r="M31" s="239">
        <v>71002166</v>
      </c>
      <c r="N31" s="241">
        <v>106178396.85</v>
      </c>
      <c r="O31" s="241">
        <v>95187313.75</v>
      </c>
      <c r="P31" s="24"/>
    </row>
    <row r="32" spans="1:16" ht="12.75">
      <c r="A32" s="227" t="s">
        <v>381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41"/>
      <c r="O32" s="241">
        <v>6050795.1</v>
      </c>
      <c r="P32" s="24"/>
    </row>
    <row r="33" spans="1:16" ht="12.75">
      <c r="A33" s="235" t="s">
        <v>84</v>
      </c>
      <c r="B33" s="239">
        <f t="shared" si="9"/>
        <v>311256000</v>
      </c>
      <c r="C33" s="239">
        <v>8216000</v>
      </c>
      <c r="D33" s="239">
        <v>14687000</v>
      </c>
      <c r="E33" s="239">
        <v>34809000</v>
      </c>
      <c r="F33" s="239">
        <v>114503000</v>
      </c>
      <c r="G33" s="239">
        <v>139041000</v>
      </c>
      <c r="H33" s="239">
        <v>103901000</v>
      </c>
      <c r="I33" s="246">
        <v>79454000</v>
      </c>
      <c r="J33" s="239">
        <v>108221000</v>
      </c>
      <c r="K33" s="239">
        <v>116574902</v>
      </c>
      <c r="L33" s="239">
        <v>78895209.29</v>
      </c>
      <c r="M33" s="239">
        <v>25322065.3</v>
      </c>
      <c r="N33" s="241">
        <v>8373817.07</v>
      </c>
      <c r="O33" s="241">
        <v>7755043.27</v>
      </c>
      <c r="P33" s="33"/>
    </row>
    <row r="34" spans="1:17" ht="12.75">
      <c r="A34" s="227" t="s">
        <v>270</v>
      </c>
      <c r="B34" s="239">
        <f t="shared" si="9"/>
        <v>0</v>
      </c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>
        <v>6475983</v>
      </c>
      <c r="N34" s="241">
        <v>8103589.32</v>
      </c>
      <c r="O34" s="241">
        <v>8106179.38</v>
      </c>
      <c r="P34" s="33"/>
      <c r="Q34" s="23"/>
    </row>
    <row r="35" spans="1:16" ht="12.75">
      <c r="A35" s="227" t="s">
        <v>102</v>
      </c>
      <c r="B35" s="239">
        <f t="shared" si="9"/>
        <v>0</v>
      </c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33"/>
    </row>
    <row r="36" spans="1:16" ht="12.75">
      <c r="A36" s="227" t="s">
        <v>271</v>
      </c>
      <c r="B36" s="239">
        <f t="shared" si="9"/>
        <v>0</v>
      </c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>
        <v>21789874.29</v>
      </c>
      <c r="N36" s="241">
        <v>12793600.21</v>
      </c>
      <c r="O36" s="241">
        <v>1874500</v>
      </c>
      <c r="P36" s="33"/>
    </row>
    <row r="37" spans="1:16" ht="12.75">
      <c r="A37" s="14" t="s">
        <v>1</v>
      </c>
      <c r="B37" s="245">
        <f t="shared" si="9"/>
        <v>528364000</v>
      </c>
      <c r="C37" s="245">
        <f>SUM(C31:C36)</f>
        <v>22207000</v>
      </c>
      <c r="D37" s="245">
        <f aca="true" t="shared" si="10" ref="D37:M37">SUM(D31:D36)</f>
        <v>51454000</v>
      </c>
      <c r="E37" s="245">
        <f t="shared" si="10"/>
        <v>79453000</v>
      </c>
      <c r="F37" s="245">
        <f t="shared" si="10"/>
        <v>165230000</v>
      </c>
      <c r="G37" s="245">
        <f t="shared" si="10"/>
        <v>210020000</v>
      </c>
      <c r="H37" s="245">
        <f t="shared" si="10"/>
        <v>164134000</v>
      </c>
      <c r="I37" s="245">
        <f t="shared" si="10"/>
        <v>115348000</v>
      </c>
      <c r="J37" s="245">
        <f t="shared" si="10"/>
        <v>155425000</v>
      </c>
      <c r="K37" s="245">
        <f t="shared" si="10"/>
        <v>167687937.8</v>
      </c>
      <c r="L37" s="245">
        <f t="shared" si="10"/>
        <v>141768354.47</v>
      </c>
      <c r="M37" s="245">
        <f t="shared" si="10"/>
        <v>124590088.59</v>
      </c>
      <c r="N37" s="245">
        <f>SUM(N31:N36)</f>
        <v>135449403.45</v>
      </c>
      <c r="O37" s="245">
        <f>SUM(O31:O36)</f>
        <v>118973831.49999999</v>
      </c>
      <c r="P37" s="33"/>
    </row>
    <row r="38" spans="1:16" ht="12.75">
      <c r="A38" s="2" t="s">
        <v>291</v>
      </c>
      <c r="P38" s="33"/>
    </row>
    <row r="39" spans="1:16" ht="12.75">
      <c r="A39" s="24"/>
      <c r="B39" s="2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</row>
    <row r="40" spans="1:16" ht="12.75">
      <c r="A40" s="457" t="str">
        <f>A1</f>
        <v>New Jersey's Clean Energy Program</v>
      </c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</row>
    <row r="41" spans="1:16" ht="12.75">
      <c r="A41" s="457" t="str">
        <f>A2</f>
        <v>Program Summary: 2001 - FY2014</v>
      </c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</row>
    <row r="42" spans="1:15" ht="26.25">
      <c r="A42" s="414" t="s">
        <v>344</v>
      </c>
      <c r="B42" s="197" t="str">
        <f>B4</f>
        <v>Summary 
2001 to 2005*</v>
      </c>
      <c r="C42" s="28">
        <v>2001</v>
      </c>
      <c r="D42" s="28">
        <v>2002</v>
      </c>
      <c r="E42" s="28">
        <v>2003</v>
      </c>
      <c r="F42" s="28">
        <v>2004</v>
      </c>
      <c r="G42" s="28">
        <v>2005</v>
      </c>
      <c r="H42" s="28">
        <v>2006</v>
      </c>
      <c r="I42" s="28">
        <v>2007</v>
      </c>
      <c r="J42" s="28">
        <v>2008</v>
      </c>
      <c r="K42" s="28">
        <v>2009</v>
      </c>
      <c r="L42" s="28">
        <v>2010</v>
      </c>
      <c r="M42" s="28">
        <v>2011</v>
      </c>
      <c r="N42" s="197" t="str">
        <f>N4</f>
        <v>(18 month)1
2012-2013</v>
      </c>
      <c r="O42" s="197" t="str">
        <f>O4</f>
        <v>FY2014</v>
      </c>
    </row>
    <row r="43" spans="1:15" ht="12.75">
      <c r="A43" s="43" t="s">
        <v>6</v>
      </c>
      <c r="B43" s="40" t="s">
        <v>8</v>
      </c>
      <c r="C43" s="40" t="s">
        <v>8</v>
      </c>
      <c r="D43" s="40" t="s">
        <v>8</v>
      </c>
      <c r="E43" s="40" t="s">
        <v>8</v>
      </c>
      <c r="F43" s="40" t="s">
        <v>8</v>
      </c>
      <c r="G43" s="40" t="s">
        <v>8</v>
      </c>
      <c r="H43" s="40" t="s">
        <v>8</v>
      </c>
      <c r="I43" s="40" t="s">
        <v>8</v>
      </c>
      <c r="J43" s="40" t="s">
        <v>8</v>
      </c>
      <c r="K43" s="40" t="s">
        <v>8</v>
      </c>
      <c r="L43" s="40" t="s">
        <v>8</v>
      </c>
      <c r="M43" s="40" t="s">
        <v>8</v>
      </c>
      <c r="N43" s="40" t="s">
        <v>8</v>
      </c>
      <c r="O43" s="40" t="s">
        <v>8</v>
      </c>
    </row>
    <row r="44" spans="1:15" ht="12.75">
      <c r="A44" s="19" t="s">
        <v>83</v>
      </c>
      <c r="B44" s="247">
        <f>SUM(C44:G44)</f>
        <v>1076217</v>
      </c>
      <c r="C44" s="247">
        <f>'Annual Savings'!C34</f>
        <v>50672</v>
      </c>
      <c r="D44" s="247">
        <f>'Annual Savings'!D34</f>
        <v>168796</v>
      </c>
      <c r="E44" s="247">
        <f>'Annual Savings'!E34</f>
        <v>285577</v>
      </c>
      <c r="F44" s="247">
        <f>'Annual Savings'!F34</f>
        <v>328513</v>
      </c>
      <c r="G44" s="247">
        <f>'Annual Savings'!G34</f>
        <v>242659</v>
      </c>
      <c r="H44" s="247">
        <f>'Annual Savings'!H34</f>
        <v>128252</v>
      </c>
      <c r="I44" s="247">
        <f>'Annual Savings'!I34</f>
        <v>228721</v>
      </c>
      <c r="J44" s="247">
        <f>'Annual Savings'!J34</f>
        <v>335001</v>
      </c>
      <c r="K44" s="247">
        <f>'Annual Savings'!K34</f>
        <v>462162</v>
      </c>
      <c r="L44" s="247">
        <f>'Annual Savings'!L34</f>
        <v>347906.80000000005</v>
      </c>
      <c r="M44" s="247">
        <f>'Annual Savings'!M34</f>
        <v>453682.1</v>
      </c>
      <c r="N44" s="247">
        <f>'Annual Savings'!N34</f>
        <v>638802</v>
      </c>
      <c r="O44" s="247">
        <f>'Annual Savings'!O34</f>
        <v>518814</v>
      </c>
    </row>
    <row r="45" spans="1:15" ht="12.75">
      <c r="A45" s="3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</row>
    <row r="46" spans="1:15" ht="12.75">
      <c r="A46" s="43" t="s">
        <v>194</v>
      </c>
      <c r="B46" s="359"/>
      <c r="C46" s="257"/>
      <c r="D46" s="257"/>
      <c r="E46" s="257"/>
      <c r="F46" s="257"/>
      <c r="G46" s="257"/>
      <c r="H46" s="257"/>
      <c r="I46" s="257"/>
      <c r="J46" s="257"/>
      <c r="K46" s="257"/>
      <c r="L46" s="257"/>
      <c r="M46" s="257"/>
      <c r="N46" s="257"/>
      <c r="O46" s="257"/>
    </row>
    <row r="47" spans="1:15" ht="12.75">
      <c r="A47" s="182" t="s">
        <v>50</v>
      </c>
      <c r="B47" s="268">
        <f>SUM(C47:G47)</f>
        <v>767</v>
      </c>
      <c r="C47" s="268">
        <f>'CHP-FuelCell_Lrg-Small'!C45</f>
        <v>0</v>
      </c>
      <c r="D47" s="268">
        <f>'CHP-FuelCell_Lrg-Small'!D45</f>
        <v>0</v>
      </c>
      <c r="E47" s="268">
        <f>'CHP-FuelCell_Lrg-Small'!E45</f>
        <v>0</v>
      </c>
      <c r="F47" s="268">
        <f>'CHP-FuelCell_Lrg-Small'!F45</f>
        <v>0</v>
      </c>
      <c r="G47" s="268">
        <f>'Annual Savings'!G39</f>
        <v>767</v>
      </c>
      <c r="H47" s="268">
        <f>'Annual Savings'!H39</f>
        <v>12575</v>
      </c>
      <c r="I47" s="268">
        <f>'Annual Savings'!I39</f>
        <v>102125</v>
      </c>
      <c r="J47" s="268">
        <f>'Annual Savings'!J39</f>
        <v>9114</v>
      </c>
      <c r="K47" s="268">
        <f>'Annual Savings'!K39</f>
        <v>35317</v>
      </c>
      <c r="L47" s="268">
        <f>'Annual Savings'!L39</f>
        <v>47743</v>
      </c>
      <c r="M47" s="268">
        <f>'Annual Savings'!M39</f>
        <v>0</v>
      </c>
      <c r="N47" s="268">
        <f>'Annual Savings'!N39</f>
        <v>17520</v>
      </c>
      <c r="O47" s="268">
        <f>'Annual Savings'!O39</f>
        <v>9409</v>
      </c>
    </row>
    <row r="48" spans="1:15" ht="12.75">
      <c r="A48" s="182" t="s">
        <v>84</v>
      </c>
      <c r="B48" s="268">
        <f>SUM(C48:G48)</f>
        <v>45797</v>
      </c>
      <c r="C48" s="268">
        <f>'Annual Savings'!C48</f>
        <v>11</v>
      </c>
      <c r="D48" s="268">
        <f>'Annual Savings'!D48</f>
        <v>2896</v>
      </c>
      <c r="E48" s="268">
        <f>'Annual Savings'!E48</f>
        <v>7239</v>
      </c>
      <c r="F48" s="268">
        <f>'Annual Savings'!F48</f>
        <v>6515</v>
      </c>
      <c r="G48" s="268">
        <f>'Annual Savings'!G48</f>
        <v>29136</v>
      </c>
      <c r="H48" s="268">
        <f>'Annual Savings'!H48</f>
        <v>44659</v>
      </c>
      <c r="I48" s="268">
        <f>'Annual Savings'!I48</f>
        <v>140229</v>
      </c>
      <c r="J48" s="268">
        <f>'Annual Savings'!J48</f>
        <v>188968.72</v>
      </c>
      <c r="K48" s="268">
        <f>'Annual Savings'!K48</f>
        <v>169101</v>
      </c>
      <c r="L48" s="268">
        <f>'Annual Savings'!L48</f>
        <v>327579</v>
      </c>
      <c r="M48" s="268">
        <f>'Annual Savings'!M48</f>
        <v>382066</v>
      </c>
      <c r="N48" s="268">
        <f>'Annual Savings'!N48</f>
        <v>640636</v>
      </c>
      <c r="O48" s="268">
        <f>'Annual Savings'!O48</f>
        <v>261660</v>
      </c>
    </row>
    <row r="49" spans="1:15" ht="12.75">
      <c r="A49" s="14" t="s">
        <v>1</v>
      </c>
      <c r="B49" s="247">
        <f aca="true" t="shared" si="11" ref="B49:N49">SUM(B47:B48)</f>
        <v>46564</v>
      </c>
      <c r="C49" s="247">
        <f t="shared" si="11"/>
        <v>11</v>
      </c>
      <c r="D49" s="247">
        <f t="shared" si="11"/>
        <v>2896</v>
      </c>
      <c r="E49" s="247">
        <f t="shared" si="11"/>
        <v>7239</v>
      </c>
      <c r="F49" s="247">
        <f t="shared" si="11"/>
        <v>6515</v>
      </c>
      <c r="G49" s="247">
        <f t="shared" si="11"/>
        <v>29903</v>
      </c>
      <c r="H49" s="247">
        <f t="shared" si="11"/>
        <v>57234</v>
      </c>
      <c r="I49" s="247">
        <f t="shared" si="11"/>
        <v>242354</v>
      </c>
      <c r="J49" s="247">
        <f t="shared" si="11"/>
        <v>198082.72</v>
      </c>
      <c r="K49" s="247">
        <f t="shared" si="11"/>
        <v>204418</v>
      </c>
      <c r="L49" s="247">
        <f t="shared" si="11"/>
        <v>375322</v>
      </c>
      <c r="M49" s="247">
        <f t="shared" si="11"/>
        <v>382066</v>
      </c>
      <c r="N49" s="247">
        <f t="shared" si="11"/>
        <v>658156</v>
      </c>
      <c r="O49" s="247">
        <f>SUM(O47:O48)</f>
        <v>271069</v>
      </c>
    </row>
    <row r="50" spans="1:15" ht="12.75">
      <c r="A50" s="24"/>
      <c r="B50" s="24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</row>
    <row r="51" spans="1:15" ht="12.75">
      <c r="A51" s="43" t="s">
        <v>451</v>
      </c>
      <c r="B51" s="40" t="s">
        <v>411</v>
      </c>
      <c r="C51" s="40" t="s">
        <v>411</v>
      </c>
      <c r="D51" s="40" t="s">
        <v>411</v>
      </c>
      <c r="E51" s="40" t="s">
        <v>411</v>
      </c>
      <c r="F51" s="40" t="s">
        <v>411</v>
      </c>
      <c r="G51" s="40" t="s">
        <v>411</v>
      </c>
      <c r="H51" s="40" t="s">
        <v>411</v>
      </c>
      <c r="I51" s="40" t="s">
        <v>411</v>
      </c>
      <c r="J51" s="40" t="s">
        <v>411</v>
      </c>
      <c r="K51" s="40" t="s">
        <v>411</v>
      </c>
      <c r="L51" s="40" t="s">
        <v>411</v>
      </c>
      <c r="M51" s="40" t="s">
        <v>411</v>
      </c>
      <c r="N51" s="40" t="s">
        <v>411</v>
      </c>
      <c r="O51" s="40" t="s">
        <v>411</v>
      </c>
    </row>
    <row r="52" spans="1:15" ht="12.75">
      <c r="A52" s="437" t="s">
        <v>83</v>
      </c>
      <c r="B52" s="247">
        <f>SUM(C52:G52)</f>
        <v>282564</v>
      </c>
      <c r="C52" s="247">
        <f>'Annual Savings'!C80</f>
        <v>18168</v>
      </c>
      <c r="D52" s="247">
        <f>'Annual Savings'!D80</f>
        <v>44617</v>
      </c>
      <c r="E52" s="247">
        <f>'Annual Savings'!E80</f>
        <v>67564</v>
      </c>
      <c r="F52" s="247">
        <f>'Annual Savings'!F80</f>
        <v>78754</v>
      </c>
      <c r="G52" s="247">
        <f>'Annual Savings'!G80</f>
        <v>73461</v>
      </c>
      <c r="H52" s="247">
        <f>'Annual Savings'!H80</f>
        <v>51449</v>
      </c>
      <c r="I52" s="247">
        <f>'Annual Savings'!I80</f>
        <v>48860</v>
      </c>
      <c r="J52" s="247">
        <f>'Annual Savings'!J80</f>
        <v>40666</v>
      </c>
      <c r="K52" s="247">
        <f>'Annual Savings'!K80</f>
        <v>46349</v>
      </c>
      <c r="L52" s="247">
        <f>'Annual Savings'!L80</f>
        <v>62520.600000000006</v>
      </c>
      <c r="M52" s="247">
        <f>'Annual Savings'!M80</f>
        <v>129665.8</v>
      </c>
      <c r="N52" s="247">
        <f>'Annual Savings'!N80</f>
        <v>118792.90000000001</v>
      </c>
      <c r="O52" s="247">
        <f>'Annual Savings'!O80</f>
        <v>80245</v>
      </c>
    </row>
    <row r="53" spans="1:15" ht="12.75">
      <c r="A53" s="30"/>
      <c r="B53" s="359"/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59"/>
    </row>
    <row r="54" spans="1:15" ht="12.75">
      <c r="A54" s="43" t="s">
        <v>452</v>
      </c>
      <c r="B54" s="359"/>
      <c r="C54" s="257"/>
      <c r="D54" s="257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</row>
    <row r="55" spans="1:15" ht="12.75">
      <c r="A55" s="182" t="s">
        <v>50</v>
      </c>
      <c r="B55" s="268">
        <f>SUM(C55:G55)</f>
        <v>140</v>
      </c>
      <c r="C55" s="268">
        <f>'Annual Savings'!C85</f>
        <v>0</v>
      </c>
      <c r="D55" s="268">
        <f>'Annual Savings'!D85</f>
        <v>0</v>
      </c>
      <c r="E55" s="268">
        <f>'Annual Savings'!E85</f>
        <v>0</v>
      </c>
      <c r="F55" s="268">
        <f>'Annual Savings'!F85</f>
        <v>0</v>
      </c>
      <c r="G55" s="268">
        <f>'Annual Savings'!G85</f>
        <v>140</v>
      </c>
      <c r="H55" s="268">
        <f>'Annual Savings'!H85</f>
        <v>3175</v>
      </c>
      <c r="I55" s="268">
        <f>'Annual Savings'!I85</f>
        <v>4925</v>
      </c>
      <c r="J55" s="268">
        <f>'Annual Savings'!J85</f>
        <v>1276</v>
      </c>
      <c r="K55" s="268">
        <f>'Annual Savings'!K85</f>
        <v>4700</v>
      </c>
      <c r="L55" s="268">
        <f>'Annual Savings'!L85</f>
        <v>5535</v>
      </c>
      <c r="M55" s="268">
        <f>'Annual Savings'!M85</f>
        <v>0</v>
      </c>
      <c r="N55" s="268">
        <f>'Annual Savings'!N85</f>
        <v>2000</v>
      </c>
      <c r="O55" s="268">
        <f>'Annual Savings'!O85</f>
        <v>2205</v>
      </c>
    </row>
    <row r="56" spans="1:15" ht="12.75">
      <c r="A56" s="183" t="s">
        <v>84</v>
      </c>
      <c r="B56" s="268">
        <f>SUM(C56:G56)</f>
        <v>14523</v>
      </c>
      <c r="C56" s="268">
        <f>'Annual Savings'!C88:G88</f>
        <v>8</v>
      </c>
      <c r="D56" s="268">
        <v>1142</v>
      </c>
      <c r="E56" s="268">
        <v>1743</v>
      </c>
      <c r="F56" s="268">
        <v>2644</v>
      </c>
      <c r="G56" s="268">
        <f>'Annual Savings'!G94</f>
        <v>8986</v>
      </c>
      <c r="H56" s="268">
        <f>'Annual Savings'!H94</f>
        <v>18725</v>
      </c>
      <c r="I56" s="268">
        <f>'Annual Savings'!I94</f>
        <v>28920</v>
      </c>
      <c r="J56" s="268">
        <f>'Annual Savings'!J94</f>
        <v>32805</v>
      </c>
      <c r="K56" s="268">
        <f>'Annual Savings'!K94</f>
        <v>50778</v>
      </c>
      <c r="L56" s="268">
        <f>'Annual Savings'!L94</f>
        <v>183244</v>
      </c>
      <c r="M56" s="268">
        <f>'Annual Savings'!M94</f>
        <v>318387</v>
      </c>
      <c r="N56" s="268">
        <f>'Annual Savings'!N94</f>
        <v>533150</v>
      </c>
      <c r="O56" s="268">
        <f>'Annual Savings'!O94</f>
        <v>207397</v>
      </c>
    </row>
    <row r="57" spans="1:15" ht="12.75">
      <c r="A57" s="14" t="s">
        <v>1</v>
      </c>
      <c r="B57" s="247">
        <f aca="true" t="shared" si="12" ref="B57:N57">SUM(B55:B56)</f>
        <v>14663</v>
      </c>
      <c r="C57" s="247">
        <f t="shared" si="12"/>
        <v>8</v>
      </c>
      <c r="D57" s="247">
        <f t="shared" si="12"/>
        <v>1142</v>
      </c>
      <c r="E57" s="247">
        <f t="shared" si="12"/>
        <v>1743</v>
      </c>
      <c r="F57" s="247">
        <f t="shared" si="12"/>
        <v>2644</v>
      </c>
      <c r="G57" s="247">
        <f t="shared" si="12"/>
        <v>9126</v>
      </c>
      <c r="H57" s="247">
        <f t="shared" si="12"/>
        <v>21900</v>
      </c>
      <c r="I57" s="247">
        <f t="shared" si="12"/>
        <v>33845</v>
      </c>
      <c r="J57" s="247">
        <f t="shared" si="12"/>
        <v>34081</v>
      </c>
      <c r="K57" s="247">
        <f t="shared" si="12"/>
        <v>55478</v>
      </c>
      <c r="L57" s="247">
        <f t="shared" si="12"/>
        <v>188779</v>
      </c>
      <c r="M57" s="247">
        <f t="shared" si="12"/>
        <v>318387</v>
      </c>
      <c r="N57" s="247">
        <f t="shared" si="12"/>
        <v>535150</v>
      </c>
      <c r="O57" s="247">
        <f>SUM(O55:O56)</f>
        <v>209602</v>
      </c>
    </row>
    <row r="58" spans="1:15" ht="12.75">
      <c r="A58" s="24"/>
      <c r="B58" s="24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12.75">
      <c r="A59" s="30" t="s">
        <v>62</v>
      </c>
      <c r="B59" s="217" t="s">
        <v>11</v>
      </c>
      <c r="C59" s="217" t="s">
        <v>11</v>
      </c>
      <c r="D59" s="217" t="s">
        <v>11</v>
      </c>
      <c r="E59" s="217" t="s">
        <v>11</v>
      </c>
      <c r="F59" s="217" t="s">
        <v>11</v>
      </c>
      <c r="G59" s="217" t="s">
        <v>11</v>
      </c>
      <c r="H59" s="217" t="s">
        <v>11</v>
      </c>
      <c r="I59" s="217" t="s">
        <v>11</v>
      </c>
      <c r="J59" s="217" t="s">
        <v>11</v>
      </c>
      <c r="K59" s="217" t="s">
        <v>11</v>
      </c>
      <c r="L59" s="217" t="s">
        <v>11</v>
      </c>
      <c r="M59" s="217" t="s">
        <v>11</v>
      </c>
      <c r="N59" s="217" t="s">
        <v>11</v>
      </c>
      <c r="O59" s="217" t="s">
        <v>11</v>
      </c>
    </row>
    <row r="60" spans="1:16" ht="12.75">
      <c r="A60" s="18" t="s">
        <v>83</v>
      </c>
      <c r="B60" s="37">
        <f>SUM(C60:G60)</f>
        <v>2043156</v>
      </c>
      <c r="C60" s="37">
        <f>'Annual Savings'!C122</f>
        <v>243146</v>
      </c>
      <c r="D60" s="37">
        <f>'Annual Savings'!D122</f>
        <v>339172</v>
      </c>
      <c r="E60" s="37">
        <f>'Annual Savings'!E122</f>
        <v>410818</v>
      </c>
      <c r="F60" s="37">
        <f>'Annual Savings'!F122</f>
        <v>432759</v>
      </c>
      <c r="G60" s="37">
        <f>'Annual Savings'!G122</f>
        <v>617261</v>
      </c>
      <c r="H60" s="37">
        <f>'Annual Savings'!H122</f>
        <v>640179</v>
      </c>
      <c r="I60" s="37">
        <f>'Annual Savings'!I122</f>
        <v>979662</v>
      </c>
      <c r="J60" s="37">
        <f>'Annual Savings'!J122</f>
        <v>489724</v>
      </c>
      <c r="K60" s="37">
        <f>'Annual Savings'!K122</f>
        <v>636343</v>
      </c>
      <c r="L60" s="37">
        <f>'Annual Savings'!L122</f>
        <v>934826</v>
      </c>
      <c r="M60" s="37">
        <f>'Annual Savings'!M122</f>
        <v>782556.95</v>
      </c>
      <c r="N60" s="37">
        <f>'Annual Savings'!N122</f>
        <v>1229205</v>
      </c>
      <c r="O60" s="37">
        <f>'Annual Savings'!O122</f>
        <v>921791</v>
      </c>
      <c r="P60" s="24"/>
    </row>
    <row r="61" spans="1:1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</row>
    <row r="62" spans="1:16" ht="26.25">
      <c r="A62" s="417" t="s">
        <v>345</v>
      </c>
      <c r="B62" s="197" t="str">
        <f>B4</f>
        <v>Summary 
2001 to 2005*</v>
      </c>
      <c r="C62" s="28">
        <v>2001</v>
      </c>
      <c r="D62" s="28">
        <v>2002</v>
      </c>
      <c r="E62" s="28">
        <v>2003</v>
      </c>
      <c r="F62" s="28">
        <v>2004</v>
      </c>
      <c r="G62" s="28">
        <v>2005</v>
      </c>
      <c r="H62" s="28">
        <v>2006</v>
      </c>
      <c r="I62" s="28">
        <v>2007</v>
      </c>
      <c r="J62" s="28">
        <v>2008</v>
      </c>
      <c r="K62" s="28">
        <v>2009</v>
      </c>
      <c r="L62" s="28">
        <v>2010</v>
      </c>
      <c r="M62" s="28">
        <v>2011</v>
      </c>
      <c r="N62" s="197" t="str">
        <f>N4</f>
        <v>(18 month)1
2012-2013</v>
      </c>
      <c r="O62" s="197" t="str">
        <f>O4</f>
        <v>FY2014</v>
      </c>
      <c r="P62" s="197" t="str">
        <f>"Total "&amp;CHAR(10)&amp;C62&amp;" - "&amp;O62</f>
        <v>Total 
2001 - FY2014</v>
      </c>
    </row>
    <row r="63" spans="1:16" ht="12.75">
      <c r="A63" s="43" t="s">
        <v>32</v>
      </c>
      <c r="B63" s="40" t="s">
        <v>8</v>
      </c>
      <c r="C63" s="40" t="s">
        <v>8</v>
      </c>
      <c r="D63" s="40" t="s">
        <v>8</v>
      </c>
      <c r="E63" s="40" t="s">
        <v>8</v>
      </c>
      <c r="F63" s="40" t="s">
        <v>8</v>
      </c>
      <c r="G63" s="40" t="s">
        <v>8</v>
      </c>
      <c r="H63" s="40" t="s">
        <v>8</v>
      </c>
      <c r="I63" s="40" t="s">
        <v>8</v>
      </c>
      <c r="J63" s="40" t="s">
        <v>8</v>
      </c>
      <c r="K63" s="40" t="s">
        <v>8</v>
      </c>
      <c r="L63" s="40" t="s">
        <v>8</v>
      </c>
      <c r="M63" s="40" t="s">
        <v>8</v>
      </c>
      <c r="N63" s="40" t="s">
        <v>8</v>
      </c>
      <c r="O63" s="40" t="s">
        <v>8</v>
      </c>
      <c r="P63" s="40" t="s">
        <v>8</v>
      </c>
    </row>
    <row r="64" spans="1:16" ht="12.75">
      <c r="A64" s="438" t="s">
        <v>83</v>
      </c>
      <c r="B64" s="247">
        <f>SUM(C64:G64)</f>
        <v>14876711</v>
      </c>
      <c r="C64" s="247">
        <f>'Lifetime Savings'!C34</f>
        <v>797595</v>
      </c>
      <c r="D64" s="247">
        <f>'Lifetime Savings'!D34</f>
        <v>2548628</v>
      </c>
      <c r="E64" s="247">
        <f>'Lifetime Savings'!E34</f>
        <v>3739163</v>
      </c>
      <c r="F64" s="247">
        <f>'Lifetime Savings'!F34</f>
        <v>4308771</v>
      </c>
      <c r="G64" s="247">
        <f>'Lifetime Savings'!G34</f>
        <v>3482554</v>
      </c>
      <c r="H64" s="247">
        <f>'Lifetime Savings'!H34</f>
        <v>1935790</v>
      </c>
      <c r="I64" s="247">
        <f>'Lifetime Savings'!I34</f>
        <v>2645703</v>
      </c>
      <c r="J64" s="247">
        <f>'Lifetime Savings'!J34</f>
        <v>3160279</v>
      </c>
      <c r="K64" s="247">
        <f>'Lifetime Savings'!K34</f>
        <v>3986481</v>
      </c>
      <c r="L64" s="247">
        <f>'Lifetime Savings'!L34</f>
        <v>3414351.2</v>
      </c>
      <c r="M64" s="247">
        <f>'Lifetime Savings'!M34</f>
        <v>4880985.3</v>
      </c>
      <c r="N64" s="247">
        <f>'Lifetime Savings'!N34</f>
        <v>6830470.2</v>
      </c>
      <c r="O64" s="247">
        <f>'Lifetime Savings'!O34</f>
        <v>6040321</v>
      </c>
      <c r="P64" s="247">
        <f>SUM(C64:O64)</f>
        <v>47771091.7</v>
      </c>
    </row>
    <row r="65" spans="1:16" ht="12.75">
      <c r="A65" s="413"/>
      <c r="B65" s="406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</row>
    <row r="66" spans="1:16" ht="12.75">
      <c r="A66" s="43" t="s">
        <v>194</v>
      </c>
      <c r="B66" s="407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</row>
    <row r="67" spans="1:16" ht="12.75">
      <c r="A67" s="182" t="s">
        <v>50</v>
      </c>
      <c r="B67" s="268">
        <f>SUM(C67:G67)</f>
        <v>11498</v>
      </c>
      <c r="C67" s="268">
        <f>'Lifetime Savings'!C39</f>
        <v>0</v>
      </c>
      <c r="D67" s="268">
        <f>'Lifetime Savings'!D39</f>
        <v>0</v>
      </c>
      <c r="E67" s="268">
        <f>'Lifetime Savings'!E39</f>
        <v>0</v>
      </c>
      <c r="F67" s="268">
        <f>'Lifetime Savings'!F39</f>
        <v>0</v>
      </c>
      <c r="G67" s="268">
        <f>'Lifetime Savings'!G39</f>
        <v>11498</v>
      </c>
      <c r="H67" s="268">
        <f>'Lifetime Savings'!H39</f>
        <v>112759</v>
      </c>
      <c r="I67" s="268">
        <f>'Lifetime Savings'!I39</f>
        <v>1225505</v>
      </c>
      <c r="J67" s="268">
        <f>'Lifetime Savings'!J39</f>
        <v>109364</v>
      </c>
      <c r="K67" s="268">
        <f>'Lifetime Savings'!K39</f>
        <v>423802</v>
      </c>
      <c r="L67" s="268">
        <f>'Lifetime Savings'!L39</f>
        <v>524075</v>
      </c>
      <c r="M67" s="268">
        <f>'Lifetime Savings'!M39</f>
        <v>0</v>
      </c>
      <c r="N67" s="268">
        <f>'Lifetime Savings'!N39</f>
        <v>210240</v>
      </c>
      <c r="O67" s="268">
        <f>'Lifetime Savings'!O39</f>
        <v>112909</v>
      </c>
      <c r="P67" s="268">
        <f>SUM(C67:O67)</f>
        <v>2730152</v>
      </c>
    </row>
    <row r="68" spans="1:16" ht="12.75">
      <c r="A68" s="235" t="s">
        <v>84</v>
      </c>
      <c r="B68" s="268">
        <f>SUM(C68:G68)</f>
        <v>788399</v>
      </c>
      <c r="C68" s="268">
        <f>'Lifetime Savings'!C42</f>
        <v>173</v>
      </c>
      <c r="D68" s="268">
        <f>'Lifetime Savings'!D42</f>
        <v>56330</v>
      </c>
      <c r="E68" s="268">
        <f>'Lifetime Savings'!E42</f>
        <v>109981</v>
      </c>
      <c r="F68" s="268">
        <f>'Lifetime Savings'!F42</f>
        <v>82996</v>
      </c>
      <c r="G68" s="268">
        <f>'Lifetime Savings'!G47</f>
        <v>538919</v>
      </c>
      <c r="H68" s="268">
        <f>'Lifetime Savings'!H47</f>
        <v>449400</v>
      </c>
      <c r="I68" s="268">
        <f>'Lifetime Savings'!I47</f>
        <v>966155</v>
      </c>
      <c r="J68" s="268">
        <f>'Lifetime Savings'!J47</f>
        <v>1994960</v>
      </c>
      <c r="K68" s="268">
        <f>'Lifetime Savings'!K47</f>
        <v>1356920</v>
      </c>
      <c r="L68" s="268">
        <f>'Lifetime Savings'!L47</f>
        <v>4851133</v>
      </c>
      <c r="M68" s="268">
        <f>'Lifetime Savings'!M47</f>
        <v>7641312</v>
      </c>
      <c r="N68" s="268">
        <f>'Lifetime Savings'!N47</f>
        <v>12812718</v>
      </c>
      <c r="O68" s="268">
        <f>'Lifetime Savings'!O47</f>
        <v>5233196</v>
      </c>
      <c r="P68" s="268">
        <f>SUM(C68:O68)</f>
        <v>36094193</v>
      </c>
    </row>
    <row r="69" spans="1:16" ht="12.75">
      <c r="A69" s="14" t="s">
        <v>1</v>
      </c>
      <c r="B69" s="247">
        <f aca="true" t="shared" si="13" ref="B69:O69">SUM(B67:B68)</f>
        <v>799897</v>
      </c>
      <c r="C69" s="247">
        <f t="shared" si="13"/>
        <v>173</v>
      </c>
      <c r="D69" s="247">
        <f t="shared" si="13"/>
        <v>56330</v>
      </c>
      <c r="E69" s="247">
        <f t="shared" si="13"/>
        <v>109981</v>
      </c>
      <c r="F69" s="247">
        <f t="shared" si="13"/>
        <v>82996</v>
      </c>
      <c r="G69" s="247">
        <f t="shared" si="13"/>
        <v>550417</v>
      </c>
      <c r="H69" s="247">
        <f t="shared" si="13"/>
        <v>562159</v>
      </c>
      <c r="I69" s="247">
        <f t="shared" si="13"/>
        <v>2191660</v>
      </c>
      <c r="J69" s="247">
        <f t="shared" si="13"/>
        <v>2104324</v>
      </c>
      <c r="K69" s="247">
        <f t="shared" si="13"/>
        <v>1780722</v>
      </c>
      <c r="L69" s="247">
        <f t="shared" si="13"/>
        <v>5375208</v>
      </c>
      <c r="M69" s="247">
        <f t="shared" si="13"/>
        <v>7641312</v>
      </c>
      <c r="N69" s="247">
        <f t="shared" si="13"/>
        <v>13022958</v>
      </c>
      <c r="O69" s="247">
        <f t="shared" si="13"/>
        <v>5346105</v>
      </c>
      <c r="P69" s="247">
        <f>SUM(P67:P68)</f>
        <v>38824345</v>
      </c>
    </row>
    <row r="70" spans="1:16" ht="12.75">
      <c r="A70" s="24"/>
      <c r="B70" s="2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</row>
    <row r="71" spans="1:16" ht="12.75">
      <c r="A71" s="151" t="s">
        <v>62</v>
      </c>
      <c r="B71" s="217" t="s">
        <v>11</v>
      </c>
      <c r="C71" s="217" t="s">
        <v>11</v>
      </c>
      <c r="D71" s="217" t="s">
        <v>11</v>
      </c>
      <c r="E71" s="217" t="s">
        <v>11</v>
      </c>
      <c r="F71" s="217" t="s">
        <v>11</v>
      </c>
      <c r="G71" s="217" t="s">
        <v>11</v>
      </c>
      <c r="H71" s="217" t="s">
        <v>11</v>
      </c>
      <c r="I71" s="217" t="s">
        <v>11</v>
      </c>
      <c r="J71" s="217" t="s">
        <v>11</v>
      </c>
      <c r="K71" s="217" t="s">
        <v>11</v>
      </c>
      <c r="L71" s="217" t="s">
        <v>11</v>
      </c>
      <c r="M71" s="217" t="s">
        <v>11</v>
      </c>
      <c r="N71" s="217" t="s">
        <v>11</v>
      </c>
      <c r="O71" s="217" t="s">
        <v>11</v>
      </c>
      <c r="P71" s="217" t="s">
        <v>11</v>
      </c>
    </row>
    <row r="72" spans="1:16" ht="12.75">
      <c r="A72" s="18" t="s">
        <v>83</v>
      </c>
      <c r="B72" s="247">
        <f>SUM(C72:G72)</f>
        <v>38827315</v>
      </c>
      <c r="C72" s="247">
        <f>'Lifetime Savings'!C71</f>
        <v>4802982</v>
      </c>
      <c r="D72" s="247">
        <f>'Lifetime Savings'!D71</f>
        <v>6532702</v>
      </c>
      <c r="E72" s="247">
        <f>'Lifetime Savings'!E71</f>
        <v>7706430</v>
      </c>
      <c r="F72" s="247">
        <f>'Lifetime Savings'!F71</f>
        <v>8107801</v>
      </c>
      <c r="G72" s="247">
        <f>'Lifetime Savings'!G71</f>
        <v>11677400</v>
      </c>
      <c r="H72" s="247">
        <f>'Lifetime Savings'!H71</f>
        <v>9137230</v>
      </c>
      <c r="I72" s="247">
        <f>'Lifetime Savings'!I71</f>
        <v>13732484</v>
      </c>
      <c r="J72" s="247">
        <f>'Lifetime Savings'!J71</f>
        <v>8571226</v>
      </c>
      <c r="K72" s="247">
        <f>'Lifetime Savings'!K71</f>
        <v>10524058</v>
      </c>
      <c r="L72" s="247">
        <f>'Lifetime Savings'!L71</f>
        <v>16475728</v>
      </c>
      <c r="M72" s="247">
        <f>'Lifetime Savings'!M71</f>
        <v>14493173.84</v>
      </c>
      <c r="N72" s="247">
        <f>'Lifetime Savings'!N71</f>
        <v>22443400</v>
      </c>
      <c r="O72" s="247">
        <f>'Lifetime Savings'!O71</f>
        <v>16657595</v>
      </c>
      <c r="P72" s="247">
        <f>SUM(C72:O72)</f>
        <v>150862209.84</v>
      </c>
    </row>
    <row r="73" spans="1:16" ht="12.75">
      <c r="A73" s="399" t="s">
        <v>382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</row>
    <row r="74" spans="1:2" ht="12.75">
      <c r="A74" s="2" t="str">
        <f>A38</f>
        <v>* These columns/years have been hidden in this worksheet for viewing &amp; printing purposes</v>
      </c>
      <c r="B74" s="74"/>
    </row>
    <row r="77" ht="12.75">
      <c r="A77" s="87"/>
    </row>
  </sheetData>
  <sheetProtection/>
  <mergeCells count="4">
    <mergeCell ref="A1:P1"/>
    <mergeCell ref="A2:P2"/>
    <mergeCell ref="A40:P40"/>
    <mergeCell ref="A41:P41"/>
  </mergeCells>
  <printOptions/>
  <pageMargins left="0.17" right="0.17" top="0.4" bottom="0.6" header="0.24" footer="0.24"/>
  <pageSetup horizontalDpi="600" verticalDpi="600" orientation="landscape" scale="74" r:id="rId1"/>
  <headerFooter scaleWithDoc="0" alignWithMargins="0">
    <oddFooter>&amp;L&amp;6&amp;A - Results by Program Year&amp;R&amp;6printed &amp;D at &amp;T</oddFooter>
  </headerFooter>
  <rowBreaks count="1" manualBreakCount="1">
    <brk id="38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1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8515625" style="3" customWidth="1"/>
    <col min="2" max="2" width="14.8515625" style="3" bestFit="1" customWidth="1"/>
    <col min="3" max="3" width="14.8515625" style="6" hidden="1" customWidth="1"/>
    <col min="4" max="4" width="16.140625" style="6" hidden="1" customWidth="1"/>
    <col min="5" max="5" width="15.57421875" style="6" hidden="1" customWidth="1"/>
    <col min="6" max="6" width="16.140625" style="6" hidden="1" customWidth="1"/>
    <col min="7" max="7" width="15.7109375" style="6" hidden="1" customWidth="1"/>
    <col min="8" max="9" width="16.140625" style="6" bestFit="1" customWidth="1"/>
    <col min="10" max="10" width="13.8515625" style="6" customWidth="1"/>
    <col min="11" max="15" width="14.00390625" style="6" customWidth="1"/>
    <col min="16" max="16" width="17.00390625" style="6" bestFit="1" customWidth="1"/>
    <col min="17" max="17" width="11.140625" style="6" bestFit="1" customWidth="1"/>
    <col min="18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111"/>
      <c r="B3" s="111"/>
      <c r="C3" s="117"/>
      <c r="D3" s="117"/>
      <c r="E3" s="117"/>
      <c r="F3" s="117"/>
      <c r="G3" s="117"/>
      <c r="I3" s="117"/>
      <c r="J3" s="117"/>
      <c r="K3" s="117"/>
      <c r="L3" s="117"/>
      <c r="M3" s="117"/>
      <c r="N3" s="117"/>
      <c r="O3" s="117"/>
      <c r="P3" s="117"/>
    </row>
    <row r="4" spans="1:16" ht="25.5">
      <c r="A4" s="30" t="s">
        <v>206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197" t="str">
        <f>"Total "&amp;CHAR(10)&amp;C4&amp;" ~ "&amp;O4</f>
        <v>Total 
2001 ~ FY2014</v>
      </c>
    </row>
    <row r="5" spans="1:16" ht="12.75">
      <c r="A5" s="186" t="s">
        <v>112</v>
      </c>
      <c r="B5" s="299">
        <f>SUM(C5:G5)</f>
        <v>95808000</v>
      </c>
      <c r="C5" s="300">
        <v>15758000</v>
      </c>
      <c r="D5" s="300">
        <v>14677000</v>
      </c>
      <c r="E5" s="300">
        <v>19669000</v>
      </c>
      <c r="F5" s="300">
        <v>22754000</v>
      </c>
      <c r="G5" s="299">
        <v>22950000</v>
      </c>
      <c r="H5" s="299">
        <v>27720000</v>
      </c>
      <c r="I5" s="299">
        <v>27678000</v>
      </c>
      <c r="J5" s="299">
        <v>37141000</v>
      </c>
      <c r="K5" s="291">
        <v>42576218.09</v>
      </c>
      <c r="L5" s="291">
        <v>20262610.08</v>
      </c>
      <c r="M5" s="291">
        <v>19943969.5</v>
      </c>
      <c r="N5" s="291">
        <v>27764931.1</v>
      </c>
      <c r="O5" s="291">
        <v>16389083.61</v>
      </c>
      <c r="P5" s="291">
        <f>SUM(C5:O5)</f>
        <v>315283812.38000005</v>
      </c>
    </row>
    <row r="6" spans="1:16" ht="26.25" customHeight="1">
      <c r="A6" s="463" t="s">
        <v>309</v>
      </c>
      <c r="B6" s="463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</row>
    <row r="7" spans="1:16" ht="13.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</row>
    <row r="8" spans="1:18" ht="12.75">
      <c r="A8" s="75" t="s">
        <v>207</v>
      </c>
      <c r="B8" s="75"/>
      <c r="C8" s="188"/>
      <c r="D8" s="188"/>
      <c r="E8" s="188"/>
      <c r="F8" s="18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"/>
      <c r="R8" s="3"/>
    </row>
    <row r="9" spans="1:16" s="3" customFormat="1" ht="12.75">
      <c r="A9" s="333" t="s">
        <v>20</v>
      </c>
      <c r="B9" s="249">
        <f>SUM(C9:G9)</f>
        <v>78120</v>
      </c>
      <c r="C9" s="301">
        <v>6813</v>
      </c>
      <c r="D9" s="301">
        <v>10945</v>
      </c>
      <c r="E9" s="301">
        <v>15365</v>
      </c>
      <c r="F9" s="301">
        <v>21736</v>
      </c>
      <c r="G9" s="249">
        <v>23261</v>
      </c>
      <c r="H9" s="249">
        <v>19728</v>
      </c>
      <c r="I9" s="249">
        <v>19854</v>
      </c>
      <c r="J9" s="249">
        <v>11282</v>
      </c>
      <c r="K9" s="281">
        <v>9082800.43</v>
      </c>
      <c r="L9" s="281">
        <v>9059247.24</v>
      </c>
      <c r="M9" s="281">
        <v>7039315.47</v>
      </c>
      <c r="N9" s="281">
        <v>14982601.57</v>
      </c>
      <c r="O9" s="281">
        <v>7046596.57</v>
      </c>
      <c r="P9" s="281"/>
    </row>
    <row r="10" spans="1:16" s="3" customFormat="1" ht="12.75">
      <c r="A10" s="333" t="s">
        <v>19</v>
      </c>
      <c r="B10" s="249">
        <f>SUM(C10:G10)</f>
        <v>130265</v>
      </c>
      <c r="C10" s="301">
        <v>6325</v>
      </c>
      <c r="D10" s="301">
        <v>25135</v>
      </c>
      <c r="E10" s="301">
        <v>30765</v>
      </c>
      <c r="F10" s="301">
        <v>24347</v>
      </c>
      <c r="G10" s="249">
        <v>43693</v>
      </c>
      <c r="H10" s="249">
        <v>42932</v>
      </c>
      <c r="I10" s="249">
        <v>14208</v>
      </c>
      <c r="J10" s="249">
        <v>18815</v>
      </c>
      <c r="K10" s="281">
        <v>13498385.32</v>
      </c>
      <c r="L10" s="281">
        <v>9569800</v>
      </c>
      <c r="M10" s="281">
        <v>8455672</v>
      </c>
      <c r="N10" s="281">
        <v>9495520</v>
      </c>
      <c r="O10" s="281">
        <v>7788141.4</v>
      </c>
      <c r="P10" s="281"/>
    </row>
    <row r="11" spans="1:16" s="3" customFormat="1" ht="12.75">
      <c r="A11" s="15" t="s">
        <v>432</v>
      </c>
      <c r="B11" s="274">
        <f>SUM(C11:G11)</f>
        <v>208385</v>
      </c>
      <c r="C11" s="282">
        <f aca="true" t="shared" si="0" ref="C11:I11">SUM(C9:C10)</f>
        <v>13138</v>
      </c>
      <c r="D11" s="282">
        <f t="shared" si="0"/>
        <v>36080</v>
      </c>
      <c r="E11" s="282">
        <f t="shared" si="0"/>
        <v>46130</v>
      </c>
      <c r="F11" s="282">
        <f t="shared" si="0"/>
        <v>46083</v>
      </c>
      <c r="G11" s="274">
        <f t="shared" si="0"/>
        <v>66954</v>
      </c>
      <c r="H11" s="274">
        <f t="shared" si="0"/>
        <v>62660</v>
      </c>
      <c r="I11" s="274">
        <f t="shared" si="0"/>
        <v>34062</v>
      </c>
      <c r="J11" s="274">
        <f>SUM(J9:J10)</f>
        <v>30097</v>
      </c>
      <c r="K11" s="280"/>
      <c r="L11" s="280"/>
      <c r="M11" s="280"/>
      <c r="N11" s="280"/>
      <c r="O11" s="280"/>
      <c r="P11" s="280"/>
    </row>
    <row r="12" spans="1:16" s="3" customFormat="1" ht="12.75">
      <c r="A12" s="16" t="s">
        <v>205</v>
      </c>
      <c r="B12" s="285">
        <f>SUM(C12:G12)</f>
        <v>208385000</v>
      </c>
      <c r="C12" s="302">
        <f>C11*1000</f>
        <v>13138000</v>
      </c>
      <c r="D12" s="302">
        <f aca="true" t="shared" si="1" ref="D12:J12">D11*1000</f>
        <v>36080000</v>
      </c>
      <c r="E12" s="302">
        <f t="shared" si="1"/>
        <v>46130000</v>
      </c>
      <c r="F12" s="302">
        <f t="shared" si="1"/>
        <v>46083000</v>
      </c>
      <c r="G12" s="285">
        <f t="shared" si="1"/>
        <v>66954000</v>
      </c>
      <c r="H12" s="285">
        <f t="shared" si="1"/>
        <v>62660000</v>
      </c>
      <c r="I12" s="285">
        <f t="shared" si="1"/>
        <v>34062000</v>
      </c>
      <c r="J12" s="285">
        <f t="shared" si="1"/>
        <v>30097000</v>
      </c>
      <c r="K12" s="283">
        <f>SUM(K9:K10)</f>
        <v>22581185.75</v>
      </c>
      <c r="L12" s="283">
        <f>SUM(L9:L10)</f>
        <v>18629047.240000002</v>
      </c>
      <c r="M12" s="283">
        <f>SUM(M9:M10)</f>
        <v>15494987.469999999</v>
      </c>
      <c r="N12" s="283">
        <f>SUM(N9:N10)</f>
        <v>24478121.57</v>
      </c>
      <c r="O12" s="283">
        <f>SUM(O9:O10)</f>
        <v>14834737.97</v>
      </c>
      <c r="P12" s="283"/>
    </row>
    <row r="13" spans="1:16" s="3" customFormat="1" ht="12.75">
      <c r="A13" s="16" t="s">
        <v>433</v>
      </c>
      <c r="B13" s="285">
        <f>SUM(C13:G13)</f>
        <v>78120000</v>
      </c>
      <c r="C13" s="302">
        <f aca="true" t="shared" si="2" ref="C13:J13">C9*1000</f>
        <v>6813000</v>
      </c>
      <c r="D13" s="302">
        <f t="shared" si="2"/>
        <v>10945000</v>
      </c>
      <c r="E13" s="302">
        <f t="shared" si="2"/>
        <v>15365000</v>
      </c>
      <c r="F13" s="302">
        <f t="shared" si="2"/>
        <v>21736000</v>
      </c>
      <c r="G13" s="285">
        <f t="shared" si="2"/>
        <v>23261000</v>
      </c>
      <c r="H13" s="285">
        <f t="shared" si="2"/>
        <v>19728000</v>
      </c>
      <c r="I13" s="285">
        <f t="shared" si="2"/>
        <v>19854000</v>
      </c>
      <c r="J13" s="285">
        <f t="shared" si="2"/>
        <v>11282000</v>
      </c>
      <c r="K13" s="283">
        <f>K9</f>
        <v>9082800.43</v>
      </c>
      <c r="L13" s="283">
        <f>L9</f>
        <v>9059247.24</v>
      </c>
      <c r="M13" s="283">
        <f>M9</f>
        <v>7039315.47</v>
      </c>
      <c r="N13" s="283">
        <f>N9</f>
        <v>14982601.57</v>
      </c>
      <c r="O13" s="283">
        <f>O9</f>
        <v>7046596.57</v>
      </c>
      <c r="P13" s="283">
        <f>SUM(C13:O13)</f>
        <v>176194561.28</v>
      </c>
    </row>
    <row r="14" spans="1:16" s="3" customFormat="1" ht="12.75">
      <c r="A14" s="2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7" s="3" customFormat="1" ht="12.75">
      <c r="A15" s="43" t="s">
        <v>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3"/>
      <c r="N15" s="63"/>
      <c r="O15" s="63"/>
      <c r="P15" s="63"/>
      <c r="Q15" s="142"/>
    </row>
    <row r="16" spans="1:17" s="3" customFormat="1" ht="12.75">
      <c r="A16" s="182" t="s">
        <v>434</v>
      </c>
      <c r="B16" s="252">
        <f>SUM(C16:G16)</f>
        <v>20800</v>
      </c>
      <c r="C16" s="252"/>
      <c r="D16" s="252">
        <v>1881</v>
      </c>
      <c r="E16" s="252">
        <v>4936</v>
      </c>
      <c r="F16" s="252">
        <v>5974</v>
      </c>
      <c r="G16" s="252">
        <v>8009</v>
      </c>
      <c r="H16" s="252">
        <v>5509</v>
      </c>
      <c r="I16" s="252">
        <v>6180</v>
      </c>
      <c r="J16" s="252">
        <v>4012</v>
      </c>
      <c r="K16" s="252">
        <v>3236</v>
      </c>
      <c r="L16" s="252">
        <v>4437</v>
      </c>
      <c r="M16" s="254">
        <v>3905</v>
      </c>
      <c r="N16" s="254">
        <v>4881</v>
      </c>
      <c r="O16" s="254">
        <v>3024</v>
      </c>
      <c r="P16" s="254">
        <f>SUM(C16:O16)</f>
        <v>55984</v>
      </c>
      <c r="Q16" s="131" t="s">
        <v>299</v>
      </c>
    </row>
    <row r="17" spans="1:17" s="3" customFormat="1" ht="12.75">
      <c r="A17" s="182" t="s">
        <v>435</v>
      </c>
      <c r="B17" s="252">
        <f>SUM(C17:G17)</f>
        <v>42074</v>
      </c>
      <c r="C17" s="252">
        <v>4553</v>
      </c>
      <c r="D17" s="252">
        <v>10490</v>
      </c>
      <c r="E17" s="252">
        <v>12168</v>
      </c>
      <c r="F17" s="252">
        <v>6526</v>
      </c>
      <c r="G17" s="252">
        <v>8337</v>
      </c>
      <c r="H17" s="252">
        <v>6808</v>
      </c>
      <c r="I17" s="252">
        <v>7137</v>
      </c>
      <c r="J17" s="252">
        <v>10170</v>
      </c>
      <c r="K17" s="252">
        <v>7865</v>
      </c>
      <c r="L17" s="252">
        <v>3647</v>
      </c>
      <c r="M17" s="254">
        <v>1893</v>
      </c>
      <c r="N17" s="254">
        <v>7120</v>
      </c>
      <c r="O17" s="254">
        <v>3398</v>
      </c>
      <c r="P17" s="140"/>
      <c r="Q17" s="131"/>
    </row>
    <row r="18" spans="1:17" s="3" customFormat="1" ht="12.75">
      <c r="A18" s="16" t="s">
        <v>1</v>
      </c>
      <c r="B18" s="265">
        <f>SUM(C18:G18)</f>
        <v>62874</v>
      </c>
      <c r="C18" s="265">
        <f aca="true" t="shared" si="3" ref="C18:H18">SUM(C16:C17)</f>
        <v>4553</v>
      </c>
      <c r="D18" s="265">
        <f t="shared" si="3"/>
        <v>12371</v>
      </c>
      <c r="E18" s="265">
        <f t="shared" si="3"/>
        <v>17104</v>
      </c>
      <c r="F18" s="265">
        <f t="shared" si="3"/>
        <v>12500</v>
      </c>
      <c r="G18" s="265">
        <f t="shared" si="3"/>
        <v>16346</v>
      </c>
      <c r="H18" s="265">
        <f t="shared" si="3"/>
        <v>12317</v>
      </c>
      <c r="I18" s="265">
        <f aca="true" t="shared" si="4" ref="I18:N18">SUM(I16:I17)</f>
        <v>13317</v>
      </c>
      <c r="J18" s="265">
        <f t="shared" si="4"/>
        <v>14182</v>
      </c>
      <c r="K18" s="265">
        <f t="shared" si="4"/>
        <v>11101</v>
      </c>
      <c r="L18" s="265">
        <f t="shared" si="4"/>
        <v>8084</v>
      </c>
      <c r="M18" s="256">
        <f t="shared" si="4"/>
        <v>5798</v>
      </c>
      <c r="N18" s="256">
        <f t="shared" si="4"/>
        <v>12001</v>
      </c>
      <c r="O18" s="256">
        <f>SUM(O16:O17)</f>
        <v>6422</v>
      </c>
      <c r="P18" s="140"/>
      <c r="Q18" s="131"/>
    </row>
    <row r="19" spans="1:17" s="3" customFormat="1" ht="12.75">
      <c r="A19" s="43"/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327"/>
      <c r="N19" s="327"/>
      <c r="O19" s="327"/>
      <c r="P19" s="140"/>
      <c r="Q19" s="131"/>
    </row>
    <row r="20" spans="1:17" s="3" customFormat="1" ht="12.75">
      <c r="A20" s="43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327"/>
      <c r="N20" s="327"/>
      <c r="O20" s="327"/>
      <c r="P20" s="140"/>
      <c r="Q20" s="131"/>
    </row>
    <row r="21" spans="1:17" s="3" customFormat="1" ht="12.75">
      <c r="A21" s="432" t="s">
        <v>402</v>
      </c>
      <c r="B21" s="267"/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327"/>
      <c r="N21" s="327"/>
      <c r="O21" s="327"/>
      <c r="P21" s="140"/>
      <c r="Q21" s="131"/>
    </row>
    <row r="22" spans="1:17" s="3" customFormat="1" ht="12.75">
      <c r="A22" s="432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63"/>
      <c r="N22" s="63"/>
      <c r="O22" s="63"/>
      <c r="P22" s="63"/>
      <c r="Q22" s="142"/>
    </row>
    <row r="23" spans="1:16" s="3" customFormat="1" ht="12.75">
      <c r="A23" s="43" t="s">
        <v>6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3" customFormat="1" ht="12.75">
      <c r="A24" s="43" t="s">
        <v>7</v>
      </c>
      <c r="B24" s="40" t="s">
        <v>8</v>
      </c>
      <c r="C24" s="40" t="s">
        <v>8</v>
      </c>
      <c r="D24" s="40" t="s">
        <v>8</v>
      </c>
      <c r="E24" s="40" t="s">
        <v>8</v>
      </c>
      <c r="F24" s="40" t="s">
        <v>8</v>
      </c>
      <c r="G24" s="40" t="s">
        <v>8</v>
      </c>
      <c r="H24" s="40" t="s">
        <v>8</v>
      </c>
      <c r="I24" s="40" t="s">
        <v>8</v>
      </c>
      <c r="J24" s="45" t="s">
        <v>8</v>
      </c>
      <c r="K24" s="45" t="s">
        <v>8</v>
      </c>
      <c r="L24" s="45" t="s">
        <v>8</v>
      </c>
      <c r="M24" s="45" t="s">
        <v>8</v>
      </c>
      <c r="N24" s="45" t="s">
        <v>8</v>
      </c>
      <c r="O24" s="45" t="s">
        <v>8</v>
      </c>
      <c r="P24" s="40" t="s">
        <v>8</v>
      </c>
    </row>
    <row r="25" spans="1:16" ht="12.75">
      <c r="A25" s="15" t="s">
        <v>344</v>
      </c>
      <c r="B25" s="252">
        <f>SUM(C25:G25)</f>
        <v>18828</v>
      </c>
      <c r="C25" s="252">
        <v>119</v>
      </c>
      <c r="D25" s="252">
        <v>3262</v>
      </c>
      <c r="E25" s="252">
        <v>4773</v>
      </c>
      <c r="F25" s="252">
        <v>4551</v>
      </c>
      <c r="G25" s="252">
        <v>6123</v>
      </c>
      <c r="H25" s="252">
        <v>5181</v>
      </c>
      <c r="I25" s="252">
        <v>5829</v>
      </c>
      <c r="J25" s="252">
        <v>3343</v>
      </c>
      <c r="K25" s="252">
        <v>2652</v>
      </c>
      <c r="L25" s="252">
        <v>4379</v>
      </c>
      <c r="M25" s="252">
        <v>4562</v>
      </c>
      <c r="N25" s="254">
        <v>5281</v>
      </c>
      <c r="O25" s="254">
        <v>4770</v>
      </c>
      <c r="P25" s="252">
        <f>SUM(C25:O25)</f>
        <v>54825</v>
      </c>
    </row>
    <row r="26" spans="1:16" ht="12.75">
      <c r="A26" s="15" t="s">
        <v>345</v>
      </c>
      <c r="B26" s="252">
        <f>SUM(C26:G26)</f>
        <v>376554</v>
      </c>
      <c r="C26" s="252">
        <v>2376</v>
      </c>
      <c r="D26" s="252">
        <v>65231</v>
      </c>
      <c r="E26" s="252">
        <v>95460</v>
      </c>
      <c r="F26" s="252">
        <v>91026</v>
      </c>
      <c r="G26" s="252">
        <v>122461</v>
      </c>
      <c r="H26" s="252">
        <v>93829</v>
      </c>
      <c r="I26" s="252">
        <v>107137</v>
      </c>
      <c r="J26" s="252">
        <v>66860</v>
      </c>
      <c r="K26" s="252">
        <v>53040</v>
      </c>
      <c r="L26" s="252">
        <v>87580</v>
      </c>
      <c r="M26" s="252">
        <v>91240</v>
      </c>
      <c r="N26" s="254">
        <v>105487</v>
      </c>
      <c r="O26" s="254">
        <v>97685</v>
      </c>
      <c r="P26" s="252">
        <f>SUM(C26:O26)</f>
        <v>1079412</v>
      </c>
    </row>
    <row r="27" spans="1:17" ht="12.75">
      <c r="A27" s="21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71"/>
    </row>
    <row r="28" spans="1:17" ht="12.75">
      <c r="A28" s="50" t="s">
        <v>111</v>
      </c>
      <c r="B28" s="40" t="s">
        <v>411</v>
      </c>
      <c r="C28" s="40" t="s">
        <v>411</v>
      </c>
      <c r="D28" s="40" t="s">
        <v>411</v>
      </c>
      <c r="E28" s="40" t="s">
        <v>411</v>
      </c>
      <c r="F28" s="40" t="s">
        <v>411</v>
      </c>
      <c r="G28" s="40" t="s">
        <v>411</v>
      </c>
      <c r="H28" s="40" t="s">
        <v>411</v>
      </c>
      <c r="I28" s="40" t="s">
        <v>411</v>
      </c>
      <c r="J28" s="45" t="s">
        <v>411</v>
      </c>
      <c r="K28" s="45" t="s">
        <v>411</v>
      </c>
      <c r="L28" s="45" t="s">
        <v>411</v>
      </c>
      <c r="M28" s="45" t="s">
        <v>411</v>
      </c>
      <c r="N28" s="45" t="s">
        <v>411</v>
      </c>
      <c r="O28" s="45" t="s">
        <v>411</v>
      </c>
      <c r="P28" s="40" t="s">
        <v>411</v>
      </c>
      <c r="Q28" s="198" t="s">
        <v>293</v>
      </c>
    </row>
    <row r="29" spans="1:17" ht="12.75">
      <c r="A29" s="19" t="s">
        <v>439</v>
      </c>
      <c r="B29" s="252">
        <f>SUM(C29:G29)</f>
        <v>48393</v>
      </c>
      <c r="C29" s="252">
        <v>11</v>
      </c>
      <c r="D29" s="252">
        <v>3415</v>
      </c>
      <c r="E29" s="252">
        <v>11201</v>
      </c>
      <c r="F29" s="252">
        <v>14869</v>
      </c>
      <c r="G29" s="252">
        <v>18897</v>
      </c>
      <c r="H29" s="254">
        <v>13285</v>
      </c>
      <c r="I29" s="254">
        <v>12497</v>
      </c>
      <c r="J29" s="254">
        <v>8179</v>
      </c>
      <c r="K29" s="254">
        <v>5736</v>
      </c>
      <c r="L29" s="254">
        <v>6841</v>
      </c>
      <c r="M29" s="254">
        <v>4616</v>
      </c>
      <c r="N29" s="254">
        <v>7298</v>
      </c>
      <c r="O29" s="254">
        <v>3836</v>
      </c>
      <c r="P29" s="252">
        <f>SUM(C29:O29)</f>
        <v>110681</v>
      </c>
      <c r="Q29" s="198" t="s">
        <v>292</v>
      </c>
    </row>
    <row r="30" spans="1:16" ht="12.75">
      <c r="A30" s="21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</row>
    <row r="31" spans="1:16" ht="12.75">
      <c r="A31" s="50" t="s">
        <v>10</v>
      </c>
      <c r="B31" s="44" t="s">
        <v>11</v>
      </c>
      <c r="C31" s="44" t="s">
        <v>11</v>
      </c>
      <c r="D31" s="44" t="s">
        <v>11</v>
      </c>
      <c r="E31" s="44" t="s">
        <v>11</v>
      </c>
      <c r="F31" s="44" t="s">
        <v>11</v>
      </c>
      <c r="G31" s="44" t="s">
        <v>11</v>
      </c>
      <c r="H31" s="44" t="s">
        <v>11</v>
      </c>
      <c r="I31" s="44" t="s">
        <v>11</v>
      </c>
      <c r="J31" s="85" t="s">
        <v>11</v>
      </c>
      <c r="K31" s="85" t="s">
        <v>11</v>
      </c>
      <c r="L31" s="85" t="s">
        <v>11</v>
      </c>
      <c r="M31" s="85" t="s">
        <v>11</v>
      </c>
      <c r="N31" s="85" t="s">
        <v>11</v>
      </c>
      <c r="O31" s="85" t="s">
        <v>11</v>
      </c>
      <c r="P31" s="44" t="s">
        <v>11</v>
      </c>
    </row>
    <row r="32" spans="1:16" ht="12.75">
      <c r="A32" s="15" t="s">
        <v>344</v>
      </c>
      <c r="B32" s="252">
        <f>SUM(C32:G32)</f>
        <v>644169</v>
      </c>
      <c r="C32" s="252">
        <v>356</v>
      </c>
      <c r="D32" s="252">
        <v>83638</v>
      </c>
      <c r="E32" s="252">
        <v>136914</v>
      </c>
      <c r="F32" s="252">
        <v>183693</v>
      </c>
      <c r="G32" s="252">
        <v>239568</v>
      </c>
      <c r="H32" s="252">
        <v>164504</v>
      </c>
      <c r="I32" s="252">
        <v>156698</v>
      </c>
      <c r="J32" s="252">
        <v>109223</v>
      </c>
      <c r="K32" s="252">
        <v>76797</v>
      </c>
      <c r="L32" s="252">
        <v>79178</v>
      </c>
      <c r="M32" s="252">
        <v>60733</v>
      </c>
      <c r="N32" s="254">
        <v>74397</v>
      </c>
      <c r="O32" s="254">
        <v>49991</v>
      </c>
      <c r="P32" s="252">
        <f>SUM(C32:O32)</f>
        <v>1415690</v>
      </c>
    </row>
    <row r="33" spans="1:16" ht="12.75">
      <c r="A33" s="15" t="s">
        <v>345</v>
      </c>
      <c r="B33" s="252">
        <f>SUM(C33:G33)</f>
        <v>12883376</v>
      </c>
      <c r="C33" s="252">
        <v>7120</v>
      </c>
      <c r="D33" s="252">
        <v>1672762</v>
      </c>
      <c r="E33" s="252">
        <v>2738286</v>
      </c>
      <c r="F33" s="252">
        <v>3673856</v>
      </c>
      <c r="G33" s="252">
        <v>4791352</v>
      </c>
      <c r="H33" s="252">
        <v>2191094</v>
      </c>
      <c r="I33" s="252">
        <v>1937986</v>
      </c>
      <c r="J33" s="254">
        <v>2184460</v>
      </c>
      <c r="K33" s="254">
        <v>1535940</v>
      </c>
      <c r="L33" s="254">
        <v>1583560</v>
      </c>
      <c r="M33" s="254">
        <v>1214660</v>
      </c>
      <c r="N33" s="254">
        <v>1487097</v>
      </c>
      <c r="O33" s="254">
        <v>1017268</v>
      </c>
      <c r="P33" s="252">
        <f>SUM(C33:O33)</f>
        <v>26035441</v>
      </c>
    </row>
    <row r="34" spans="1:16" ht="12.75">
      <c r="A34" s="21"/>
      <c r="B34" s="261"/>
      <c r="C34" s="261"/>
      <c r="D34" s="261"/>
      <c r="E34" s="261"/>
      <c r="F34" s="261"/>
      <c r="G34" s="261"/>
      <c r="H34" s="261"/>
      <c r="I34" s="261"/>
      <c r="J34" s="313"/>
      <c r="K34" s="313"/>
      <c r="L34" s="313"/>
      <c r="M34" s="313"/>
      <c r="N34" s="313"/>
      <c r="O34" s="313"/>
      <c r="P34" s="261"/>
    </row>
    <row r="35" spans="1:16" ht="12.75">
      <c r="A35" s="21"/>
      <c r="B35" s="261"/>
      <c r="C35" s="261"/>
      <c r="D35" s="261"/>
      <c r="E35" s="261"/>
      <c r="F35" s="261"/>
      <c r="G35" s="261"/>
      <c r="H35" s="261"/>
      <c r="I35" s="261"/>
      <c r="J35" s="313"/>
      <c r="K35" s="313"/>
      <c r="L35" s="313"/>
      <c r="M35" s="313"/>
      <c r="N35" s="313"/>
      <c r="O35" s="313"/>
      <c r="P35" s="261"/>
    </row>
    <row r="36" spans="1:16" ht="12.75">
      <c r="A36" s="432" t="s">
        <v>19</v>
      </c>
      <c r="B36" s="261"/>
      <c r="C36" s="261"/>
      <c r="D36" s="261"/>
      <c r="E36" s="261"/>
      <c r="F36" s="261"/>
      <c r="G36" s="261"/>
      <c r="H36" s="261"/>
      <c r="I36" s="261"/>
      <c r="J36" s="313"/>
      <c r="K36" s="313"/>
      <c r="L36" s="313"/>
      <c r="M36" s="313"/>
      <c r="N36" s="313"/>
      <c r="O36" s="313"/>
      <c r="P36" s="261"/>
    </row>
    <row r="37" spans="1:16" ht="12.75">
      <c r="A37" s="78"/>
      <c r="B37" s="261"/>
      <c r="C37" s="261"/>
      <c r="D37" s="261"/>
      <c r="E37" s="261"/>
      <c r="F37" s="261"/>
      <c r="G37" s="261"/>
      <c r="H37" s="261"/>
      <c r="I37" s="261"/>
      <c r="J37" s="313"/>
      <c r="K37" s="313"/>
      <c r="L37" s="313"/>
      <c r="M37" s="313"/>
      <c r="N37" s="313"/>
      <c r="O37" s="313"/>
      <c r="P37" s="261"/>
    </row>
    <row r="38" spans="1:16" ht="12.75">
      <c r="A38" s="43" t="s">
        <v>6</v>
      </c>
      <c r="B38" s="44"/>
      <c r="C38" s="44"/>
      <c r="D38" s="44"/>
      <c r="E38" s="44"/>
      <c r="F38" s="44"/>
      <c r="G38" s="44"/>
      <c r="H38" s="44"/>
      <c r="I38" s="44"/>
      <c r="J38" s="58"/>
      <c r="K38" s="58"/>
      <c r="L38" s="58"/>
      <c r="M38" s="58"/>
      <c r="N38" s="58"/>
      <c r="O38" s="58"/>
      <c r="P38" s="44"/>
    </row>
    <row r="39" spans="1:19" ht="12.75">
      <c r="A39" s="43" t="s">
        <v>7</v>
      </c>
      <c r="B39" s="40" t="s">
        <v>8</v>
      </c>
      <c r="C39" s="40" t="s">
        <v>8</v>
      </c>
      <c r="D39" s="40" t="s">
        <v>8</v>
      </c>
      <c r="E39" s="40" t="s">
        <v>8</v>
      </c>
      <c r="F39" s="40" t="s">
        <v>8</v>
      </c>
      <c r="G39" s="40" t="s">
        <v>8</v>
      </c>
      <c r="H39" s="40" t="s">
        <v>8</v>
      </c>
      <c r="I39" s="40" t="s">
        <v>8</v>
      </c>
      <c r="J39" s="88" t="s">
        <v>8</v>
      </c>
      <c r="K39" s="45" t="s">
        <v>8</v>
      </c>
      <c r="L39" s="45" t="s">
        <v>8</v>
      </c>
      <c r="M39" s="45" t="s">
        <v>8</v>
      </c>
      <c r="N39" s="88" t="s">
        <v>8</v>
      </c>
      <c r="O39" s="88" t="s">
        <v>8</v>
      </c>
      <c r="P39" s="40"/>
      <c r="Q39" s="3"/>
      <c r="R39" s="3"/>
      <c r="S39" s="3"/>
    </row>
    <row r="40" spans="1:16" ht="12.75">
      <c r="A40" s="15" t="s">
        <v>344</v>
      </c>
      <c r="B40" s="252">
        <f>SUM(C40:G40)</f>
        <v>81601</v>
      </c>
      <c r="C40" s="252">
        <v>6574</v>
      </c>
      <c r="D40" s="252">
        <v>30773</v>
      </c>
      <c r="E40" s="252">
        <v>22039</v>
      </c>
      <c r="F40" s="252">
        <v>3954</v>
      </c>
      <c r="G40" s="252">
        <v>18261</v>
      </c>
      <c r="H40" s="252">
        <v>19356</v>
      </c>
      <c r="I40" s="252">
        <v>8253</v>
      </c>
      <c r="J40" s="254">
        <v>11187</v>
      </c>
      <c r="K40" s="254">
        <v>4608</v>
      </c>
      <c r="L40" s="254">
        <v>3884</v>
      </c>
      <c r="M40" s="254">
        <v>2082</v>
      </c>
      <c r="N40" s="254">
        <v>12799</v>
      </c>
      <c r="O40" s="254">
        <v>8955</v>
      </c>
      <c r="P40" s="44"/>
    </row>
    <row r="41" spans="1:16" ht="12.75">
      <c r="A41" s="15" t="s">
        <v>345</v>
      </c>
      <c r="B41" s="252">
        <f>SUM(C41:G41)</f>
        <v>1521208</v>
      </c>
      <c r="C41" s="252">
        <v>131481</v>
      </c>
      <c r="D41" s="252">
        <v>504649</v>
      </c>
      <c r="E41" s="252">
        <v>440776</v>
      </c>
      <c r="F41" s="252">
        <v>79079</v>
      </c>
      <c r="G41" s="252">
        <v>365223</v>
      </c>
      <c r="H41" s="252">
        <v>347822</v>
      </c>
      <c r="I41" s="252">
        <v>165060</v>
      </c>
      <c r="J41" s="254">
        <v>223740</v>
      </c>
      <c r="K41" s="254">
        <v>92158</v>
      </c>
      <c r="L41" s="254">
        <v>77682</v>
      </c>
      <c r="M41" s="254">
        <v>41646</v>
      </c>
      <c r="N41" s="254">
        <v>295243</v>
      </c>
      <c r="O41" s="254">
        <v>183391</v>
      </c>
      <c r="P41" s="44"/>
    </row>
    <row r="42" spans="1:16" ht="12.75">
      <c r="A42" s="21"/>
      <c r="B42" s="44"/>
      <c r="C42" s="44"/>
      <c r="D42" s="44"/>
      <c r="E42" s="44"/>
      <c r="F42" s="44"/>
      <c r="G42" s="44"/>
      <c r="H42" s="44"/>
      <c r="I42" s="44"/>
      <c r="J42" s="58"/>
      <c r="K42" s="58"/>
      <c r="L42" s="58"/>
      <c r="M42" s="58"/>
      <c r="N42" s="58"/>
      <c r="O42" s="58"/>
      <c r="P42" s="44"/>
    </row>
    <row r="43" spans="1:16" ht="12.75">
      <c r="A43" s="43" t="s">
        <v>111</v>
      </c>
      <c r="B43" s="44" t="s">
        <v>411</v>
      </c>
      <c r="C43" s="44" t="s">
        <v>411</v>
      </c>
      <c r="D43" s="44" t="s">
        <v>411</v>
      </c>
      <c r="E43" s="44" t="s">
        <v>411</v>
      </c>
      <c r="F43" s="44" t="s">
        <v>411</v>
      </c>
      <c r="G43" s="44" t="s">
        <v>411</v>
      </c>
      <c r="H43" s="44" t="s">
        <v>411</v>
      </c>
      <c r="I43" s="40" t="s">
        <v>411</v>
      </c>
      <c r="J43" s="88" t="s">
        <v>411</v>
      </c>
      <c r="K43" s="88" t="s">
        <v>411</v>
      </c>
      <c r="L43" s="88" t="s">
        <v>411</v>
      </c>
      <c r="M43" s="88" t="s">
        <v>411</v>
      </c>
      <c r="N43" s="88" t="s">
        <v>411</v>
      </c>
      <c r="O43" s="88" t="s">
        <v>411</v>
      </c>
      <c r="P43" s="44"/>
    </row>
    <row r="44" spans="1:16" ht="12.75">
      <c r="A44" s="19" t="s">
        <v>438</v>
      </c>
      <c r="B44" s="252">
        <f>SUM(C44:G44)</f>
        <v>130568</v>
      </c>
      <c r="C44" s="252">
        <v>6547</v>
      </c>
      <c r="D44" s="252">
        <v>31455</v>
      </c>
      <c r="E44" s="252">
        <v>39030</v>
      </c>
      <c r="F44" s="252">
        <v>10985</v>
      </c>
      <c r="G44" s="252">
        <v>42551</v>
      </c>
      <c r="H44" s="252">
        <v>54027</v>
      </c>
      <c r="I44" s="252">
        <v>18869</v>
      </c>
      <c r="J44" s="254">
        <v>24815</v>
      </c>
      <c r="K44" s="254">
        <v>10221</v>
      </c>
      <c r="L44" s="254">
        <v>8616</v>
      </c>
      <c r="M44" s="254">
        <v>4619</v>
      </c>
      <c r="N44" s="254">
        <v>13715</v>
      </c>
      <c r="O44" s="254">
        <v>7202</v>
      </c>
      <c r="P44" s="44"/>
    </row>
    <row r="45" spans="1:16" ht="12.75">
      <c r="A45" s="21"/>
      <c r="B45" s="44"/>
      <c r="C45" s="44"/>
      <c r="D45" s="44"/>
      <c r="E45" s="44"/>
      <c r="F45" s="44"/>
      <c r="G45" s="44"/>
      <c r="H45" s="44"/>
      <c r="I45" s="44"/>
      <c r="J45" s="58"/>
      <c r="K45" s="58"/>
      <c r="L45" s="58"/>
      <c r="M45" s="58"/>
      <c r="N45" s="58"/>
      <c r="O45" s="58"/>
      <c r="P45" s="44"/>
    </row>
    <row r="46" spans="1:27" ht="12.75">
      <c r="A46" s="50" t="s">
        <v>10</v>
      </c>
      <c r="B46" s="44" t="s">
        <v>11</v>
      </c>
      <c r="C46" s="44" t="s">
        <v>11</v>
      </c>
      <c r="D46" s="44" t="s">
        <v>11</v>
      </c>
      <c r="E46" s="44" t="s">
        <v>11</v>
      </c>
      <c r="F46" s="44" t="s">
        <v>11</v>
      </c>
      <c r="G46" s="44" t="s">
        <v>11</v>
      </c>
      <c r="H46" s="44" t="s">
        <v>11</v>
      </c>
      <c r="I46" s="44" t="s">
        <v>11</v>
      </c>
      <c r="J46" s="89" t="s">
        <v>11</v>
      </c>
      <c r="K46" s="85" t="s">
        <v>11</v>
      </c>
      <c r="L46" s="85" t="s">
        <v>11</v>
      </c>
      <c r="M46" s="44" t="s">
        <v>11</v>
      </c>
      <c r="N46" s="58" t="s">
        <v>11</v>
      </c>
      <c r="O46" s="58" t="s">
        <v>11</v>
      </c>
      <c r="P46" s="44"/>
      <c r="T46" s="9"/>
      <c r="U46" s="9"/>
      <c r="V46" s="9"/>
      <c r="W46" s="9"/>
      <c r="X46" s="9"/>
      <c r="Y46" s="9"/>
      <c r="Z46" s="9"/>
      <c r="AA46" s="9"/>
    </row>
    <row r="47" spans="1:16" ht="12.75">
      <c r="A47" s="15" t="s">
        <v>344</v>
      </c>
      <c r="B47" s="252">
        <f>SUM(C47:G47)</f>
        <v>2005176</v>
      </c>
      <c r="C47" s="252">
        <v>100752</v>
      </c>
      <c r="D47" s="252">
        <v>616850</v>
      </c>
      <c r="E47" s="252">
        <v>606325</v>
      </c>
      <c r="F47" s="252">
        <v>130804</v>
      </c>
      <c r="G47" s="252">
        <v>550445</v>
      </c>
      <c r="H47" s="252">
        <v>631039</v>
      </c>
      <c r="I47" s="252">
        <v>155595</v>
      </c>
      <c r="J47" s="254">
        <v>312728</v>
      </c>
      <c r="K47" s="254">
        <v>241849</v>
      </c>
      <c r="L47" s="254">
        <v>190865</v>
      </c>
      <c r="M47" s="254">
        <v>74876</v>
      </c>
      <c r="N47" s="254">
        <v>224799</v>
      </c>
      <c r="O47" s="254">
        <v>93852</v>
      </c>
      <c r="P47" s="44"/>
    </row>
    <row r="48" spans="1:16" ht="12.75">
      <c r="A48" s="15" t="s">
        <v>345</v>
      </c>
      <c r="B48" s="252">
        <f>SUM(C48:G48)</f>
        <v>40311527</v>
      </c>
      <c r="C48" s="252">
        <v>2015046</v>
      </c>
      <c r="D48" s="252">
        <v>12337003</v>
      </c>
      <c r="E48" s="252">
        <v>12126506</v>
      </c>
      <c r="F48" s="252">
        <v>2824084</v>
      </c>
      <c r="G48" s="252">
        <v>11008888</v>
      </c>
      <c r="H48" s="252">
        <v>5939348</v>
      </c>
      <c r="I48" s="252">
        <v>3111900</v>
      </c>
      <c r="J48" s="254">
        <v>6254560</v>
      </c>
      <c r="K48" s="254">
        <v>4836980</v>
      </c>
      <c r="L48" s="254">
        <v>3817300</v>
      </c>
      <c r="M48" s="254">
        <v>1497520</v>
      </c>
      <c r="N48" s="254">
        <v>4495881</v>
      </c>
      <c r="O48" s="254">
        <v>1909789</v>
      </c>
      <c r="P48" s="44"/>
    </row>
    <row r="49" spans="1:16" ht="12.75">
      <c r="A49" s="2" t="s">
        <v>291</v>
      </c>
      <c r="B49" s="21"/>
      <c r="C49" s="44"/>
      <c r="D49" s="44"/>
      <c r="E49" s="44"/>
      <c r="F49" s="44"/>
      <c r="G49" s="44"/>
      <c r="H49" s="44"/>
      <c r="I49" s="44"/>
      <c r="J49" s="58"/>
      <c r="K49" s="58"/>
      <c r="L49" s="58"/>
      <c r="M49" s="58"/>
      <c r="N49" s="58"/>
      <c r="O49" s="58"/>
      <c r="P49" s="44"/>
    </row>
    <row r="50" spans="1:16" ht="12.75">
      <c r="A50" s="21"/>
      <c r="B50" s="2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</row>
    <row r="51" spans="1:16" ht="12.75">
      <c r="A51" s="43"/>
      <c r="B51" s="43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4"/>
    </row>
    <row r="52" spans="1:17" ht="12.75">
      <c r="A52" s="40"/>
      <c r="B52" s="40"/>
      <c r="C52" s="51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8"/>
    </row>
    <row r="53" spans="1:16" ht="12.75">
      <c r="A53" s="21"/>
      <c r="B53" s="2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</row>
    <row r="54" spans="1:19" ht="12.75">
      <c r="A54" s="21"/>
      <c r="B54" s="21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9"/>
      <c r="R54" s="9"/>
      <c r="S54" s="9"/>
    </row>
    <row r="55" spans="1:19" ht="12.75">
      <c r="A55" s="21"/>
      <c r="B55" s="2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9"/>
      <c r="R55" s="9"/>
      <c r="S55" s="9"/>
    </row>
    <row r="56" spans="1:19" ht="12.75">
      <c r="A56" s="21"/>
      <c r="B56" s="2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9"/>
      <c r="R56" s="9"/>
      <c r="S56" s="9"/>
    </row>
    <row r="57" spans="1:19" ht="12.75">
      <c r="A57" s="21"/>
      <c r="B57" s="21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9"/>
      <c r="R57" s="9"/>
      <c r="S57" s="9"/>
    </row>
    <row r="58" spans="1:16" ht="12.75">
      <c r="A58" s="21"/>
      <c r="B58" s="21"/>
      <c r="C58" s="40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ht="12.75">
      <c r="A59" s="21"/>
      <c r="B59" s="21"/>
      <c r="C59" s="40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</row>
    <row r="60" spans="1:16" ht="12.75">
      <c r="A60" s="21"/>
      <c r="B60" s="2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</row>
    <row r="61" spans="1:17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8"/>
    </row>
    <row r="62" spans="1:16" ht="12.75">
      <c r="A62" s="21"/>
      <c r="B62" s="21"/>
      <c r="C62" s="51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</row>
    <row r="63" spans="1:19" ht="12.75">
      <c r="A63" s="21"/>
      <c r="B63" s="21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9"/>
      <c r="R63" s="9"/>
      <c r="S63" s="9"/>
    </row>
    <row r="64" spans="1:19" ht="12.75">
      <c r="A64" s="21"/>
      <c r="B64" s="21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9"/>
      <c r="R64" s="9"/>
      <c r="S64" s="9"/>
    </row>
    <row r="65" spans="1:16" ht="12.75">
      <c r="A65" s="21"/>
      <c r="B65" s="21"/>
      <c r="C65" s="40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</row>
    <row r="66" spans="1:16" ht="12.75">
      <c r="A66" s="21"/>
      <c r="B66" s="2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</row>
    <row r="67" spans="1:19" ht="12.75">
      <c r="A67" s="21"/>
      <c r="B67" s="21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10"/>
      <c r="R67" s="10"/>
      <c r="S67" s="10"/>
    </row>
    <row r="68" spans="1:19" ht="12.75">
      <c r="A68" s="21"/>
      <c r="B68" s="21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10"/>
      <c r="R68" s="10"/>
      <c r="S68" s="10"/>
    </row>
    <row r="69" spans="1:16" ht="12.75">
      <c r="A69" s="21"/>
      <c r="B69" s="2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</row>
    <row r="70" spans="1:16" ht="12.75">
      <c r="A70" s="40"/>
      <c r="B70" s="40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</row>
    <row r="71" spans="1:16" ht="12.75">
      <c r="A71" s="40"/>
      <c r="B71" s="40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</row>
    <row r="72" spans="1:16" ht="12.75">
      <c r="A72" s="40"/>
      <c r="B72" s="40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</row>
    <row r="73" spans="1:16" ht="12.75">
      <c r="A73" s="40"/>
      <c r="B73" s="40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</row>
    <row r="74" spans="1:16" ht="12.75">
      <c r="A74" s="40"/>
      <c r="B74" s="40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</row>
    <row r="75" spans="1:16" ht="12.75">
      <c r="A75" s="40"/>
      <c r="B75" s="40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</row>
    <row r="76" spans="1:16" ht="12.75">
      <c r="A76" s="40"/>
      <c r="B76" s="40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</row>
    <row r="77" spans="1:16" ht="12.75">
      <c r="A77" s="40"/>
      <c r="B77" s="40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ht="12.75">
      <c r="A78" s="40"/>
      <c r="B78" s="40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  <row r="79" spans="1:16" ht="12.75">
      <c r="A79" s="40"/>
      <c r="B79" s="40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</row>
    <row r="80" spans="1:16" ht="12.75">
      <c r="A80" s="40"/>
      <c r="B80" s="40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ht="12.75">
      <c r="A81" s="40"/>
      <c r="B81" s="40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</row>
    <row r="82" spans="1:16" ht="12.75">
      <c r="A82" s="40"/>
      <c r="B82" s="40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</row>
    <row r="83" spans="1:16" ht="12.75">
      <c r="A83" s="40"/>
      <c r="B83" s="40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</row>
    <row r="84" spans="1:16" ht="12.75">
      <c r="A84" s="40"/>
      <c r="B84" s="40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2.75">
      <c r="A85" s="40"/>
      <c r="B85" s="40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  <row r="86" spans="1:16" ht="12.75">
      <c r="A86" s="40"/>
      <c r="B86" s="40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</row>
    <row r="87" spans="1:16" ht="12.75">
      <c r="A87" s="40"/>
      <c r="B87" s="40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</row>
    <row r="88" spans="1:16" ht="12.75">
      <c r="A88" s="40"/>
      <c r="B88" s="40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</row>
    <row r="89" spans="1:16" ht="12.75">
      <c r="A89" s="40"/>
      <c r="B89" s="40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</row>
    <row r="90" spans="1:16" ht="12.75">
      <c r="A90" s="40"/>
      <c r="B90" s="40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</row>
    <row r="91" spans="1:16" ht="12.75">
      <c r="A91" s="40"/>
      <c r="B91" s="40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</row>
    <row r="92" spans="1:16" ht="12.75">
      <c r="A92" s="40"/>
      <c r="B92" s="40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</row>
    <row r="93" spans="1:16" ht="12.75">
      <c r="A93" s="40"/>
      <c r="B93" s="40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</row>
    <row r="94" spans="1:16" ht="12.75">
      <c r="A94" s="40"/>
      <c r="B94" s="40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</row>
    <row r="95" spans="1:16" ht="12.75">
      <c r="A95" s="40"/>
      <c r="B95" s="40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</row>
    <row r="96" spans="1:16" ht="12.75">
      <c r="A96" s="40"/>
      <c r="B96" s="40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</row>
    <row r="97" spans="1:16" ht="12.75">
      <c r="A97" s="40"/>
      <c r="B97" s="40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2.75">
      <c r="A98" s="40"/>
      <c r="B98" s="40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</row>
    <row r="99" spans="1:16" ht="12.75">
      <c r="A99" s="40"/>
      <c r="B99" s="40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2.75">
      <c r="A100" s="40"/>
      <c r="B100" s="40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</row>
    <row r="101" spans="1:16" ht="12.75">
      <c r="A101" s="40"/>
      <c r="B101" s="40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</sheetData>
  <sheetProtection/>
  <mergeCells count="3">
    <mergeCell ref="A2:P2"/>
    <mergeCell ref="A6:P6"/>
    <mergeCell ref="A1:P1"/>
  </mergeCells>
  <printOptions/>
  <pageMargins left="0.17" right="0.17" top="0.4" bottom="0.6" header="0.24" footer="0.24"/>
  <pageSetup fitToHeight="1" fitToWidth="1" horizontalDpi="600" verticalDpi="600" orientation="landscape" scale="79" r:id="rId1"/>
  <headerFooter scaleWithDoc="0" alignWithMargins="0">
    <oddFooter>&amp;L&amp;6&amp;A - Results by Program Year&amp;R&amp;6printed &amp;D at &amp;T</oddFooter>
  </headerFooter>
  <colBreaks count="1" manualBreakCount="1">
    <brk id="16" min="1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1.00390625" style="3" customWidth="1"/>
    <col min="2" max="2" width="12.8515625" style="3" bestFit="1" customWidth="1"/>
    <col min="3" max="3" width="12.00390625" style="6" hidden="1" customWidth="1"/>
    <col min="4" max="4" width="12.140625" style="6" hidden="1" customWidth="1"/>
    <col min="5" max="6" width="12.57421875" style="6" hidden="1" customWidth="1"/>
    <col min="7" max="7" width="13.7109375" style="6" hidden="1" customWidth="1"/>
    <col min="8" max="8" width="12.7109375" style="6" customWidth="1"/>
    <col min="9" max="9" width="12.8515625" style="6" customWidth="1"/>
    <col min="10" max="10" width="13.140625" style="6" customWidth="1"/>
    <col min="11" max="11" width="15.57421875" style="6" bestFit="1" customWidth="1"/>
    <col min="12" max="13" width="14.57421875" style="6" bestFit="1" customWidth="1"/>
    <col min="14" max="14" width="13.57421875" style="6" bestFit="1" customWidth="1"/>
    <col min="15" max="15" width="13.57421875" style="6" customWidth="1"/>
    <col min="16" max="16" width="17.00390625" style="6" bestFit="1" customWidth="1"/>
    <col min="17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7" ht="12.75">
      <c r="A3" s="21"/>
      <c r="B3" s="21"/>
      <c r="Q3" s="3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347</v>
      </c>
      <c r="O4" s="197" t="s">
        <v>353</v>
      </c>
      <c r="P4" s="346" t="str">
        <f>"Total "&amp;CHAR(10)&amp;C4&amp;" ~ "&amp;O4</f>
        <v>Total 
2001 ~ FY2014</v>
      </c>
      <c r="Q4" s="3"/>
    </row>
    <row r="5" spans="1:17" ht="12.75">
      <c r="A5" s="152" t="s">
        <v>436</v>
      </c>
      <c r="B5" s="301">
        <f>SUM(SUM(C5:G5))</f>
        <v>177305000</v>
      </c>
      <c r="C5" s="301">
        <f>17250*1000</f>
        <v>17250000</v>
      </c>
      <c r="D5" s="301">
        <f>16455*1000</f>
        <v>16455000</v>
      </c>
      <c r="E5" s="301">
        <f>12700*1000</f>
        <v>12700000</v>
      </c>
      <c r="F5" s="301">
        <f>45200*1000</f>
        <v>45200000</v>
      </c>
      <c r="G5" s="249">
        <f>85700*1000</f>
        <v>85700000</v>
      </c>
      <c r="H5" s="249">
        <f>147453*1000</f>
        <v>147453000</v>
      </c>
      <c r="I5" s="249">
        <f>151712*1000</f>
        <v>151712000</v>
      </c>
      <c r="J5" s="249">
        <f>195049*1000</f>
        <v>195049000</v>
      </c>
      <c r="K5" s="281">
        <v>126605581.76</v>
      </c>
      <c r="L5" s="281">
        <v>54778432.5</v>
      </c>
      <c r="M5" s="281">
        <v>22623674.18</v>
      </c>
      <c r="N5" s="281">
        <v>4150000</v>
      </c>
      <c r="O5" s="281">
        <v>0</v>
      </c>
      <c r="P5" s="281">
        <f>SUM(C5:O5)</f>
        <v>879676688.4399999</v>
      </c>
      <c r="Q5" s="3"/>
    </row>
    <row r="6" spans="1:17" ht="21.75" customHeight="1">
      <c r="A6" s="3"/>
      <c r="B6" s="463" t="s">
        <v>282</v>
      </c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3"/>
      <c r="N6" s="463"/>
      <c r="O6" s="463"/>
      <c r="P6" s="463"/>
      <c r="Q6" s="3"/>
    </row>
    <row r="7" spans="1:17" ht="12.75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3"/>
    </row>
    <row r="8" spans="1:17" ht="12.75">
      <c r="A8" s="75" t="s">
        <v>253</v>
      </c>
      <c r="B8" s="75"/>
      <c r="C8" s="192"/>
      <c r="D8" s="192"/>
      <c r="E8" s="192"/>
      <c r="F8" s="192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3"/>
    </row>
    <row r="9" spans="1:16" s="3" customFormat="1" ht="12.75">
      <c r="A9" s="333" t="s">
        <v>20</v>
      </c>
      <c r="B9" s="249">
        <f>SUM(SUM(C9:G9))</f>
        <v>58326000</v>
      </c>
      <c r="C9" s="301">
        <f>951*1000</f>
        <v>951000</v>
      </c>
      <c r="D9" s="301">
        <f>6343*1000</f>
        <v>6343000</v>
      </c>
      <c r="E9" s="301">
        <f>7821*1000</f>
        <v>7821000</v>
      </c>
      <c r="F9" s="301">
        <f>13361*1000</f>
        <v>13361000</v>
      </c>
      <c r="G9" s="249">
        <f>29850*1000</f>
        <v>29850000</v>
      </c>
      <c r="H9" s="249">
        <f>82723*1000</f>
        <v>82723000</v>
      </c>
      <c r="I9" s="249">
        <f>73285.4*1000</f>
        <v>73285400</v>
      </c>
      <c r="J9" s="249">
        <f>51587*1000</f>
        <v>51587000</v>
      </c>
      <c r="K9" s="281">
        <v>35155470.15</v>
      </c>
      <c r="L9" s="281">
        <v>28526247.32</v>
      </c>
      <c r="M9" s="281">
        <v>13139812.21</v>
      </c>
      <c r="N9" s="281">
        <v>4037205.82</v>
      </c>
      <c r="O9" s="281">
        <v>0</v>
      </c>
      <c r="P9" s="281">
        <f>SUM(C9:O9)</f>
        <v>346780135.49999994</v>
      </c>
    </row>
    <row r="10" spans="1:16" s="3" customFormat="1" ht="12.75">
      <c r="A10" s="333" t="s">
        <v>19</v>
      </c>
      <c r="B10" s="249">
        <f>SUM(SUM(C10:G10))</f>
        <v>306277000</v>
      </c>
      <c r="C10" s="301">
        <f>8216*1000</f>
        <v>8216000</v>
      </c>
      <c r="D10" s="301">
        <f>14687*1000</f>
        <v>14687000</v>
      </c>
      <c r="E10" s="301">
        <f>33248*1000</f>
        <v>33248000</v>
      </c>
      <c r="F10" s="301">
        <f>113612*1000</f>
        <v>113612000</v>
      </c>
      <c r="G10" s="249">
        <f>136514*1000</f>
        <v>136514000</v>
      </c>
      <c r="H10" s="249">
        <f>95233*1000</f>
        <v>95233000</v>
      </c>
      <c r="I10" s="249">
        <f>72991.4*1000</f>
        <v>72991400</v>
      </c>
      <c r="J10" s="249">
        <f>102711*1000</f>
        <v>102711000</v>
      </c>
      <c r="K10" s="281">
        <v>77343991</v>
      </c>
      <c r="L10" s="281">
        <v>25616683.86</v>
      </c>
      <c r="M10" s="281">
        <v>6045121.4</v>
      </c>
      <c r="N10" s="281">
        <v>0</v>
      </c>
      <c r="O10" s="281">
        <v>0</v>
      </c>
      <c r="P10" s="281">
        <f>SUM(C10:O10)</f>
        <v>686218196.26</v>
      </c>
    </row>
    <row r="11" spans="1:16" s="3" customFormat="1" ht="12.75">
      <c r="A11" s="16" t="s">
        <v>1</v>
      </c>
      <c r="B11" s="299">
        <f>SUM(SUM(C11:G11))</f>
        <v>364603000</v>
      </c>
      <c r="C11" s="302">
        <f aca="true" t="shared" si="0" ref="C11:H11">SUM(C9:C10)</f>
        <v>9167000</v>
      </c>
      <c r="D11" s="302">
        <f t="shared" si="0"/>
        <v>21030000</v>
      </c>
      <c r="E11" s="302">
        <f t="shared" si="0"/>
        <v>41069000</v>
      </c>
      <c r="F11" s="302">
        <f t="shared" si="0"/>
        <v>126973000</v>
      </c>
      <c r="G11" s="285">
        <f t="shared" si="0"/>
        <v>166364000</v>
      </c>
      <c r="H11" s="285">
        <f t="shared" si="0"/>
        <v>177956000</v>
      </c>
      <c r="I11" s="285">
        <f aca="true" t="shared" si="1" ref="I11:N11">SUM(I9:I10)</f>
        <v>146276800</v>
      </c>
      <c r="J11" s="285">
        <f t="shared" si="1"/>
        <v>154298000</v>
      </c>
      <c r="K11" s="283">
        <f t="shared" si="1"/>
        <v>112499461.15</v>
      </c>
      <c r="L11" s="283">
        <f t="shared" si="1"/>
        <v>54142931.18</v>
      </c>
      <c r="M11" s="283">
        <f t="shared" si="1"/>
        <v>19184933.61</v>
      </c>
      <c r="N11" s="283">
        <f t="shared" si="1"/>
        <v>4037205.82</v>
      </c>
      <c r="O11" s="283">
        <f>SUM(O9:O10)</f>
        <v>0</v>
      </c>
      <c r="P11" s="291">
        <f>SUM(C11:O11)</f>
        <v>1032998331.76</v>
      </c>
    </row>
    <row r="12" spans="1:16" s="3" customFormat="1" ht="12.75">
      <c r="A12" s="21"/>
      <c r="B12" s="21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</row>
    <row r="13" spans="1:16" s="3" customFormat="1" ht="12.75">
      <c r="A13" s="43" t="s">
        <v>5</v>
      </c>
      <c r="B13" s="43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s="3" customFormat="1" ht="12.75">
      <c r="A14" s="227" t="s">
        <v>20</v>
      </c>
      <c r="B14" s="252">
        <f>SUM(C14:G14)</f>
        <v>890</v>
      </c>
      <c r="C14" s="252">
        <v>6</v>
      </c>
      <c r="D14" s="252">
        <v>46</v>
      </c>
      <c r="E14" s="252">
        <v>58</v>
      </c>
      <c r="F14" s="252">
        <v>284</v>
      </c>
      <c r="G14" s="252">
        <v>496</v>
      </c>
      <c r="H14" s="252">
        <v>1005</v>
      </c>
      <c r="I14" s="252">
        <v>832</v>
      </c>
      <c r="J14" s="252">
        <v>827</v>
      </c>
      <c r="K14" s="252">
        <v>509</v>
      </c>
      <c r="L14" s="252">
        <v>341</v>
      </c>
      <c r="M14" s="254">
        <v>64</v>
      </c>
      <c r="N14" s="254">
        <v>17</v>
      </c>
      <c r="O14" s="254">
        <v>0</v>
      </c>
      <c r="P14" s="255">
        <f>SUM(C14:O14)</f>
        <v>4485</v>
      </c>
    </row>
    <row r="15" spans="1:16" s="3" customFormat="1" ht="12.75">
      <c r="A15" s="227" t="s">
        <v>19</v>
      </c>
      <c r="B15" s="252">
        <f>SUM(C15:G15)</f>
        <v>2099</v>
      </c>
      <c r="C15" s="252">
        <v>45</v>
      </c>
      <c r="D15" s="252">
        <v>59</v>
      </c>
      <c r="E15" s="252">
        <v>226</v>
      </c>
      <c r="F15" s="252">
        <v>587</v>
      </c>
      <c r="G15" s="252">
        <v>1182</v>
      </c>
      <c r="H15" s="252">
        <v>565</v>
      </c>
      <c r="I15" s="252">
        <v>1070</v>
      </c>
      <c r="J15" s="252">
        <v>1047</v>
      </c>
      <c r="K15" s="252">
        <v>665</v>
      </c>
      <c r="L15" s="254">
        <v>101</v>
      </c>
      <c r="M15" s="254"/>
      <c r="N15" s="254">
        <v>0</v>
      </c>
      <c r="O15" s="254">
        <v>0</v>
      </c>
      <c r="P15" s="255">
        <f>SUM(C15:O15)</f>
        <v>5547</v>
      </c>
    </row>
    <row r="16" spans="1:16" s="3" customFormat="1" ht="12.75">
      <c r="A16" s="16" t="s">
        <v>1</v>
      </c>
      <c r="B16" s="265">
        <f>SUM(C16:G16)</f>
        <v>2989</v>
      </c>
      <c r="C16" s="265">
        <f aca="true" t="shared" si="2" ref="C16:H16">SUM(C14:C15)</f>
        <v>51</v>
      </c>
      <c r="D16" s="265">
        <f t="shared" si="2"/>
        <v>105</v>
      </c>
      <c r="E16" s="265">
        <f t="shared" si="2"/>
        <v>284</v>
      </c>
      <c r="F16" s="265">
        <f t="shared" si="2"/>
        <v>871</v>
      </c>
      <c r="G16" s="265">
        <f t="shared" si="2"/>
        <v>1678</v>
      </c>
      <c r="H16" s="265">
        <f t="shared" si="2"/>
        <v>1570</v>
      </c>
      <c r="I16" s="265">
        <f aca="true" t="shared" si="3" ref="I16:N16">SUM(I14:I15)</f>
        <v>1902</v>
      </c>
      <c r="J16" s="265">
        <f t="shared" si="3"/>
        <v>1874</v>
      </c>
      <c r="K16" s="265">
        <f t="shared" si="3"/>
        <v>1174</v>
      </c>
      <c r="L16" s="265">
        <f t="shared" si="3"/>
        <v>442</v>
      </c>
      <c r="M16" s="256">
        <f t="shared" si="3"/>
        <v>64</v>
      </c>
      <c r="N16" s="256">
        <f t="shared" si="3"/>
        <v>17</v>
      </c>
      <c r="O16" s="256">
        <f>SUM(O14:O15)</f>
        <v>0</v>
      </c>
      <c r="P16" s="256">
        <f>SUM(C16:O16)</f>
        <v>10032</v>
      </c>
    </row>
    <row r="17" spans="1:16" s="3" customFormat="1" ht="12.75">
      <c r="A17" s="21"/>
      <c r="B17" s="21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58"/>
      <c r="N17" s="58"/>
      <c r="O17" s="58"/>
      <c r="P17" s="58"/>
    </row>
    <row r="18" spans="1:16" s="3" customFormat="1" ht="12.75">
      <c r="A18" s="21"/>
      <c r="B18" s="21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58"/>
      <c r="N18" s="58"/>
      <c r="O18" s="58"/>
      <c r="P18" s="58"/>
    </row>
    <row r="19" spans="1:16" s="3" customFormat="1" ht="12.75">
      <c r="A19" s="432" t="s">
        <v>402</v>
      </c>
      <c r="B19" s="21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58"/>
      <c r="N19" s="58"/>
      <c r="O19" s="58"/>
      <c r="P19" s="58"/>
    </row>
    <row r="20" spans="1:16" s="3" customFormat="1" ht="12.75">
      <c r="A20" s="21"/>
      <c r="B20" s="21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58"/>
      <c r="N20" s="58"/>
      <c r="O20" s="58"/>
      <c r="P20" s="58"/>
    </row>
    <row r="21" spans="1:16" s="3" customFormat="1" ht="12.75">
      <c r="A21" s="151" t="s">
        <v>343</v>
      </c>
      <c r="B21" s="5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12.75">
      <c r="A22" s="443" t="s">
        <v>7</v>
      </c>
      <c r="B22" s="40" t="s">
        <v>8</v>
      </c>
      <c r="C22" s="40" t="s">
        <v>8</v>
      </c>
      <c r="D22" s="40" t="s">
        <v>8</v>
      </c>
      <c r="E22" s="40" t="s">
        <v>8</v>
      </c>
      <c r="F22" s="40" t="s">
        <v>8</v>
      </c>
      <c r="G22" s="40" t="s">
        <v>8</v>
      </c>
      <c r="H22" s="40" t="s">
        <v>8</v>
      </c>
      <c r="I22" s="40" t="s">
        <v>8</v>
      </c>
      <c r="J22" s="45" t="s">
        <v>8</v>
      </c>
      <c r="K22" s="45" t="s">
        <v>8</v>
      </c>
      <c r="L22" s="45" t="s">
        <v>8</v>
      </c>
      <c r="M22" s="45" t="s">
        <v>8</v>
      </c>
      <c r="N22" s="45" t="s">
        <v>8</v>
      </c>
      <c r="O22" s="45" t="s">
        <v>8</v>
      </c>
      <c r="P22" s="40" t="s">
        <v>8</v>
      </c>
    </row>
    <row r="23" spans="1:16" ht="12.75">
      <c r="A23" s="19" t="s">
        <v>344</v>
      </c>
      <c r="B23" s="252">
        <f>SUM(C23:G23)</f>
        <v>33281</v>
      </c>
      <c r="C23" s="252">
        <v>11</v>
      </c>
      <c r="D23" s="252">
        <v>2896</v>
      </c>
      <c r="E23" s="252">
        <v>7239</v>
      </c>
      <c r="F23" s="252">
        <v>6515</v>
      </c>
      <c r="G23" s="252">
        <v>16620</v>
      </c>
      <c r="H23" s="252">
        <v>22470</v>
      </c>
      <c r="I23" s="252">
        <v>24369</v>
      </c>
      <c r="J23" s="252">
        <v>17726</v>
      </c>
      <c r="K23" s="252">
        <v>15432</v>
      </c>
      <c r="L23" s="252">
        <v>18181</v>
      </c>
      <c r="M23" s="252">
        <v>6961</v>
      </c>
      <c r="N23" s="254">
        <v>3632</v>
      </c>
      <c r="O23" s="254">
        <v>0</v>
      </c>
      <c r="P23" s="253">
        <f>SUM(C23:O23)</f>
        <v>142052</v>
      </c>
    </row>
    <row r="24" spans="1:16" ht="12.75">
      <c r="A24" s="19" t="s">
        <v>345</v>
      </c>
      <c r="B24" s="252">
        <f>SUM(C24:G24)</f>
        <v>600659</v>
      </c>
      <c r="C24" s="252">
        <v>173</v>
      </c>
      <c r="D24" s="252">
        <v>56330</v>
      </c>
      <c r="E24" s="252">
        <v>109981</v>
      </c>
      <c r="F24" s="252">
        <v>82996</v>
      </c>
      <c r="G24" s="252">
        <v>351179</v>
      </c>
      <c r="H24" s="252">
        <v>449400</v>
      </c>
      <c r="I24" s="252">
        <v>487379</v>
      </c>
      <c r="J24" s="252">
        <v>354528</v>
      </c>
      <c r="K24" s="252">
        <v>308648</v>
      </c>
      <c r="L24" s="252">
        <v>363625</v>
      </c>
      <c r="M24" s="252">
        <v>139211</v>
      </c>
      <c r="N24" s="254">
        <v>72638</v>
      </c>
      <c r="O24" s="254">
        <v>0</v>
      </c>
      <c r="P24" s="253">
        <f>SUM(C24:O24)</f>
        <v>2776088</v>
      </c>
    </row>
    <row r="25" spans="1:16" ht="12.75">
      <c r="A25" s="21"/>
      <c r="B25" s="2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58"/>
      <c r="O25" s="58"/>
      <c r="P25" s="44"/>
    </row>
    <row r="26" spans="1:16" ht="12.75">
      <c r="A26" s="43" t="s">
        <v>456</v>
      </c>
      <c r="B26" s="44" t="s">
        <v>411</v>
      </c>
      <c r="C26" s="44" t="s">
        <v>411</v>
      </c>
      <c r="D26" s="44" t="s">
        <v>411</v>
      </c>
      <c r="E26" s="44" t="s">
        <v>411</v>
      </c>
      <c r="F26" s="44" t="s">
        <v>411</v>
      </c>
      <c r="G26" s="44" t="s">
        <v>411</v>
      </c>
      <c r="H26" s="44" t="s">
        <v>411</v>
      </c>
      <c r="I26" s="44" t="s">
        <v>411</v>
      </c>
      <c r="J26" s="85" t="s">
        <v>411</v>
      </c>
      <c r="K26" s="85" t="s">
        <v>411</v>
      </c>
      <c r="L26" s="85" t="s">
        <v>411</v>
      </c>
      <c r="M26" s="85" t="s">
        <v>411</v>
      </c>
      <c r="N26" s="89" t="s">
        <v>411</v>
      </c>
      <c r="O26" s="89" t="s">
        <v>411</v>
      </c>
      <c r="P26" s="44" t="s">
        <v>411</v>
      </c>
    </row>
    <row r="27" spans="1:16" ht="12.75">
      <c r="A27" s="19" t="s">
        <v>344</v>
      </c>
      <c r="B27" s="252">
        <f>SUM(C27:G27)</f>
        <v>12923</v>
      </c>
      <c r="C27" s="252">
        <v>8</v>
      </c>
      <c r="D27" s="252">
        <v>1142</v>
      </c>
      <c r="E27" s="252">
        <v>1743</v>
      </c>
      <c r="F27" s="252">
        <v>2644</v>
      </c>
      <c r="G27" s="252">
        <v>7386</v>
      </c>
      <c r="H27" s="252">
        <v>18725</v>
      </c>
      <c r="I27" s="252">
        <v>20307</v>
      </c>
      <c r="J27" s="252">
        <v>14772</v>
      </c>
      <c r="K27" s="252">
        <v>12860</v>
      </c>
      <c r="L27" s="252">
        <v>15151</v>
      </c>
      <c r="M27" s="252">
        <v>5800</v>
      </c>
      <c r="N27" s="254">
        <v>2314</v>
      </c>
      <c r="O27" s="254">
        <v>0</v>
      </c>
      <c r="P27" s="253">
        <f>SUM(C27:O27)</f>
        <v>102852</v>
      </c>
    </row>
    <row r="28" spans="1:16" ht="12.75">
      <c r="A28" s="40"/>
      <c r="B28" s="4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58"/>
      <c r="O28" s="58"/>
      <c r="P28" s="44"/>
    </row>
    <row r="29" spans="1:16" ht="12.75">
      <c r="A29" s="43" t="s">
        <v>6</v>
      </c>
      <c r="B29" s="40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8"/>
      <c r="O29" s="58"/>
      <c r="P29" s="44"/>
    </row>
    <row r="30" spans="1:16" ht="12.75">
      <c r="A30" s="43" t="s">
        <v>10</v>
      </c>
      <c r="B30" s="44" t="s">
        <v>11</v>
      </c>
      <c r="C30" s="44" t="s">
        <v>11</v>
      </c>
      <c r="D30" s="44" t="s">
        <v>11</v>
      </c>
      <c r="E30" s="44" t="s">
        <v>11</v>
      </c>
      <c r="F30" s="44" t="s">
        <v>11</v>
      </c>
      <c r="G30" s="44" t="s">
        <v>11</v>
      </c>
      <c r="H30" s="44" t="s">
        <v>11</v>
      </c>
      <c r="I30" s="44" t="s">
        <v>11</v>
      </c>
      <c r="J30" s="85" t="s">
        <v>11</v>
      </c>
      <c r="K30" s="85" t="s">
        <v>11</v>
      </c>
      <c r="L30" s="85" t="s">
        <v>11</v>
      </c>
      <c r="M30" s="85" t="s">
        <v>11</v>
      </c>
      <c r="N30" s="89" t="s">
        <v>11</v>
      </c>
      <c r="O30" s="89" t="s">
        <v>11</v>
      </c>
      <c r="P30" s="44" t="s">
        <v>11</v>
      </c>
    </row>
    <row r="31" spans="1:16" ht="12.75">
      <c r="A31" s="19" t="s">
        <v>417</v>
      </c>
      <c r="B31" s="252">
        <f>SUM(C31:G31)</f>
        <v>5825</v>
      </c>
      <c r="C31" s="252">
        <v>0</v>
      </c>
      <c r="D31" s="252">
        <v>4161</v>
      </c>
      <c r="E31" s="252">
        <v>1664</v>
      </c>
      <c r="F31" s="252">
        <v>0</v>
      </c>
      <c r="G31" s="252">
        <v>0</v>
      </c>
      <c r="H31" s="252">
        <v>0</v>
      </c>
      <c r="I31" s="252"/>
      <c r="J31" s="252"/>
      <c r="K31" s="252"/>
      <c r="L31" s="252"/>
      <c r="M31" s="252"/>
      <c r="N31" s="254"/>
      <c r="O31" s="254">
        <v>0</v>
      </c>
      <c r="P31" s="253">
        <f>SUM(C31:O31)</f>
        <v>5825</v>
      </c>
    </row>
    <row r="32" spans="1:16" ht="12.75">
      <c r="A32" s="19" t="s">
        <v>345</v>
      </c>
      <c r="B32" s="252">
        <f>SUM(C32:G32)</f>
        <v>116508</v>
      </c>
      <c r="C32" s="252">
        <v>0</v>
      </c>
      <c r="D32" s="252">
        <v>83220</v>
      </c>
      <c r="E32" s="252">
        <v>33288</v>
      </c>
      <c r="F32" s="252">
        <v>0</v>
      </c>
      <c r="G32" s="252">
        <v>0</v>
      </c>
      <c r="H32" s="252">
        <v>0</v>
      </c>
      <c r="I32" s="252"/>
      <c r="J32" s="252"/>
      <c r="K32" s="252"/>
      <c r="L32" s="252"/>
      <c r="M32" s="252"/>
      <c r="N32" s="254"/>
      <c r="O32" s="254">
        <v>0</v>
      </c>
      <c r="P32" s="253">
        <f>SUM(C32:O32)</f>
        <v>116508</v>
      </c>
    </row>
    <row r="33" spans="1:16" ht="12.75">
      <c r="A33" s="21"/>
      <c r="B33" s="261"/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  <c r="N33" s="313"/>
      <c r="O33" s="313"/>
      <c r="P33" s="272"/>
    </row>
    <row r="34" spans="14:15" ht="12.75">
      <c r="N34" s="65"/>
      <c r="O34" s="65"/>
    </row>
    <row r="35" spans="1:15" ht="12.75">
      <c r="A35" s="432" t="s">
        <v>19</v>
      </c>
      <c r="N35" s="65"/>
      <c r="O35" s="65"/>
    </row>
    <row r="36" spans="14:15" ht="12.75">
      <c r="N36" s="65"/>
      <c r="O36" s="65"/>
    </row>
    <row r="37" spans="1:15" ht="12.75">
      <c r="A37" s="151" t="s">
        <v>343</v>
      </c>
      <c r="B37" s="61"/>
      <c r="C37" s="7"/>
      <c r="N37" s="65"/>
      <c r="O37" s="65"/>
    </row>
    <row r="38" spans="1:16" ht="12.75">
      <c r="A38" s="443" t="s">
        <v>7</v>
      </c>
      <c r="B38" s="40" t="s">
        <v>8</v>
      </c>
      <c r="C38" s="40" t="s">
        <v>8</v>
      </c>
      <c r="D38" s="40" t="s">
        <v>8</v>
      </c>
      <c r="E38" s="40" t="s">
        <v>8</v>
      </c>
      <c r="F38" s="40" t="s">
        <v>8</v>
      </c>
      <c r="G38" s="40" t="s">
        <v>8</v>
      </c>
      <c r="H38" s="40" t="s">
        <v>8</v>
      </c>
      <c r="I38" s="40" t="s">
        <v>8</v>
      </c>
      <c r="J38" s="45" t="s">
        <v>8</v>
      </c>
      <c r="K38" s="45" t="s">
        <v>8</v>
      </c>
      <c r="L38" s="45" t="s">
        <v>8</v>
      </c>
      <c r="M38" s="45" t="s">
        <v>8</v>
      </c>
      <c r="N38" s="88" t="s">
        <v>8</v>
      </c>
      <c r="O38" s="88" t="s">
        <v>8</v>
      </c>
      <c r="P38" s="40"/>
    </row>
    <row r="39" spans="1:16" ht="12.75">
      <c r="A39" s="15" t="s">
        <v>344</v>
      </c>
      <c r="B39" s="252">
        <f>SUM(C39:G39)</f>
        <v>83601</v>
      </c>
      <c r="C39" s="252"/>
      <c r="D39" s="252"/>
      <c r="E39" s="252"/>
      <c r="F39" s="252"/>
      <c r="G39" s="252">
        <v>83601</v>
      </c>
      <c r="H39" s="252">
        <v>35316</v>
      </c>
      <c r="I39" s="252">
        <v>25757</v>
      </c>
      <c r="J39" s="252">
        <v>64262</v>
      </c>
      <c r="K39" s="252">
        <v>48452</v>
      </c>
      <c r="L39" s="252">
        <v>16435</v>
      </c>
      <c r="M39" s="252">
        <v>5239</v>
      </c>
      <c r="N39" s="254">
        <v>0</v>
      </c>
      <c r="O39" s="254">
        <v>0</v>
      </c>
      <c r="P39" s="85"/>
    </row>
    <row r="40" spans="1:16" ht="12.75">
      <c r="A40" s="15" t="s">
        <v>345</v>
      </c>
      <c r="B40" s="252">
        <f>SUM(C40:G40)</f>
        <v>1488376</v>
      </c>
      <c r="C40" s="252"/>
      <c r="D40" s="252"/>
      <c r="E40" s="252"/>
      <c r="F40" s="252"/>
      <c r="G40" s="252">
        <v>1488376</v>
      </c>
      <c r="H40" s="252">
        <v>706325</v>
      </c>
      <c r="I40" s="252">
        <v>515130</v>
      </c>
      <c r="J40" s="252">
        <v>1285248</v>
      </c>
      <c r="K40" s="252">
        <v>969030</v>
      </c>
      <c r="L40" s="252">
        <v>328695</v>
      </c>
      <c r="M40" s="252">
        <v>104779</v>
      </c>
      <c r="N40" s="254">
        <v>0</v>
      </c>
      <c r="O40" s="254">
        <v>0</v>
      </c>
      <c r="P40" s="85"/>
    </row>
    <row r="41" spans="1:16" ht="12.75">
      <c r="A41" s="21"/>
      <c r="B41" s="2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58"/>
      <c r="O41" s="58"/>
      <c r="P41" s="44"/>
    </row>
    <row r="42" spans="1:16" ht="12.75">
      <c r="A42" s="43" t="s">
        <v>456</v>
      </c>
      <c r="B42" s="44" t="s">
        <v>411</v>
      </c>
      <c r="C42" s="44" t="s">
        <v>411</v>
      </c>
      <c r="D42" s="44" t="s">
        <v>411</v>
      </c>
      <c r="E42" s="44" t="s">
        <v>411</v>
      </c>
      <c r="F42" s="44" t="s">
        <v>411</v>
      </c>
      <c r="G42" s="44" t="s">
        <v>411</v>
      </c>
      <c r="H42" s="44" t="s">
        <v>411</v>
      </c>
      <c r="I42" s="44" t="s">
        <v>411</v>
      </c>
      <c r="J42" s="85" t="s">
        <v>411</v>
      </c>
      <c r="K42" s="85" t="s">
        <v>411</v>
      </c>
      <c r="L42" s="85" t="s">
        <v>411</v>
      </c>
      <c r="M42" s="85" t="s">
        <v>411</v>
      </c>
      <c r="N42" s="89" t="s">
        <v>411</v>
      </c>
      <c r="O42" s="89" t="s">
        <v>411</v>
      </c>
      <c r="P42" s="85"/>
    </row>
    <row r="43" spans="1:25" ht="12.75">
      <c r="A43" s="15" t="s">
        <v>344</v>
      </c>
      <c r="B43" s="252">
        <f>SUM(C43:G43)</f>
        <v>38148</v>
      </c>
      <c r="C43" s="252"/>
      <c r="D43" s="252"/>
      <c r="E43" s="252"/>
      <c r="F43" s="252"/>
      <c r="G43" s="252">
        <v>38148</v>
      </c>
      <c r="H43" s="252">
        <v>29430</v>
      </c>
      <c r="I43" s="252">
        <v>21464</v>
      </c>
      <c r="J43" s="252">
        <v>53552</v>
      </c>
      <c r="K43" s="252">
        <v>40376</v>
      </c>
      <c r="L43" s="252">
        <v>13696</v>
      </c>
      <c r="M43" s="252">
        <v>4366</v>
      </c>
      <c r="N43" s="254">
        <v>0</v>
      </c>
      <c r="O43" s="254">
        <v>0</v>
      </c>
      <c r="P43" s="85"/>
      <c r="Q43" s="10"/>
      <c r="R43" s="9"/>
      <c r="S43" s="9"/>
      <c r="T43" s="9"/>
      <c r="U43" s="9"/>
      <c r="V43" s="9"/>
      <c r="W43" s="9"/>
      <c r="X43" s="9"/>
      <c r="Y43" s="9"/>
    </row>
    <row r="44" spans="1:25" ht="12.75">
      <c r="A44" s="2" t="s">
        <v>291</v>
      </c>
      <c r="B44" s="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/>
      <c r="S44" s="9"/>
      <c r="T44" s="9"/>
      <c r="U44" s="9"/>
      <c r="V44" s="9"/>
      <c r="W44" s="9"/>
      <c r="X44" s="9"/>
      <c r="Y44" s="9"/>
    </row>
    <row r="45" spans="1:25" ht="12.75">
      <c r="A45" s="2"/>
      <c r="B45" s="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9"/>
      <c r="S45" s="9"/>
      <c r="T45" s="9"/>
      <c r="U45" s="9"/>
      <c r="V45" s="9"/>
      <c r="W45" s="9"/>
      <c r="X45" s="9"/>
      <c r="Y45" s="9"/>
    </row>
    <row r="46" spans="1:25" ht="12.75">
      <c r="A46" s="2"/>
      <c r="B46" s="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3:17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3" ht="12.75">
      <c r="A48" s="6"/>
      <c r="B48" s="6"/>
      <c r="C48" s="8"/>
    </row>
    <row r="49" spans="1:2" ht="12.75">
      <c r="A49" s="2"/>
      <c r="B49" s="2"/>
    </row>
    <row r="50" spans="1:17" ht="12.75">
      <c r="A50" s="2"/>
      <c r="B50" s="2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2"/>
      <c r="B51" s="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2.75">
      <c r="A52" s="2"/>
      <c r="B52" s="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ht="12.75">
      <c r="A53" s="2"/>
      <c r="B53" s="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3" ht="12.75">
      <c r="A54" s="2"/>
      <c r="B54" s="2"/>
      <c r="C54" s="8"/>
    </row>
    <row r="55" spans="1:2" ht="12.75">
      <c r="A55" s="2"/>
      <c r="B55" s="2"/>
    </row>
    <row r="56" spans="1:17" ht="12.75">
      <c r="A56" s="2"/>
      <c r="B56" s="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2"/>
      <c r="B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</sheetData>
  <sheetProtection/>
  <mergeCells count="3">
    <mergeCell ref="A2:P2"/>
    <mergeCell ref="B6:P6"/>
    <mergeCell ref="A1:P1"/>
  </mergeCells>
  <printOptions/>
  <pageMargins left="0.17" right="0.17" top="0.4" bottom="0.6" header="0.24" footer="0.24"/>
  <pageSetup fitToHeight="1" fitToWidth="1" horizontalDpi="600" verticalDpi="600" orientation="landscape" scale="80" r:id="rId1"/>
  <headerFooter scaleWithDoc="0" alignWithMargins="0">
    <oddFooter>&amp;L&amp;6&amp;A - Results by Program Year&amp;R&amp;6printed &amp;D at 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0.8515625" style="6" bestFit="1" customWidth="1"/>
    <col min="3" max="3" width="11.140625" style="6" bestFit="1" customWidth="1"/>
    <col min="4" max="4" width="10.8515625" style="6" bestFit="1" customWidth="1"/>
    <col min="5" max="8" width="10.8515625" style="6" customWidth="1"/>
    <col min="9" max="9" width="13.7109375" style="6" bestFit="1" customWidth="1"/>
    <col min="10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39"/>
      <c r="K1" s="439"/>
      <c r="L1" s="439"/>
      <c r="M1" s="439"/>
      <c r="N1" s="439"/>
      <c r="O1" s="439"/>
      <c r="P1" s="439"/>
    </row>
    <row r="2" spans="1:9" ht="12.75">
      <c r="A2" s="458" t="s">
        <v>193</v>
      </c>
      <c r="B2" s="458"/>
      <c r="C2" s="458"/>
      <c r="D2" s="458"/>
      <c r="E2" s="458"/>
      <c r="F2" s="458"/>
      <c r="G2" s="458"/>
      <c r="H2" s="458"/>
      <c r="I2" s="458"/>
    </row>
    <row r="3" spans="1:12" ht="12.75">
      <c r="A3" s="21"/>
      <c r="J3" s="3"/>
      <c r="K3" s="3"/>
      <c r="L3" s="3"/>
    </row>
    <row r="4" spans="1:12" ht="25.5">
      <c r="A4" s="30" t="s">
        <v>206</v>
      </c>
      <c r="B4" s="28">
        <v>2007</v>
      </c>
      <c r="C4" s="28">
        <v>2008</v>
      </c>
      <c r="D4" s="28">
        <v>2009</v>
      </c>
      <c r="E4" s="28">
        <v>2010</v>
      </c>
      <c r="F4" s="28">
        <v>2011</v>
      </c>
      <c r="G4" s="197" t="s">
        <v>347</v>
      </c>
      <c r="H4" s="197" t="s">
        <v>353</v>
      </c>
      <c r="I4" s="197" t="str">
        <f>"Total "&amp;CHAR(10)&amp;B4&amp;" ~ "&amp;H4</f>
        <v>Total 
2007 ~ FY2014</v>
      </c>
      <c r="J4" s="3"/>
      <c r="K4" s="3"/>
      <c r="L4" s="3"/>
    </row>
    <row r="5" spans="1:12" ht="12.75">
      <c r="A5" s="18" t="s">
        <v>437</v>
      </c>
      <c r="B5" s="282">
        <f>842*1000</f>
        <v>842000</v>
      </c>
      <c r="C5" s="282">
        <f>1659*1000</f>
        <v>1659000</v>
      </c>
      <c r="D5" s="282"/>
      <c r="E5" s="282"/>
      <c r="F5" s="282"/>
      <c r="G5" s="301"/>
      <c r="H5" s="301"/>
      <c r="I5" s="282">
        <f>SUM(B5:H5)</f>
        <v>2501000</v>
      </c>
      <c r="J5" s="3"/>
      <c r="K5" s="3"/>
      <c r="L5" s="3"/>
    </row>
    <row r="6" spans="1:12" ht="12.75">
      <c r="A6" s="21"/>
      <c r="B6" s="40"/>
      <c r="C6" s="40"/>
      <c r="D6" s="40"/>
      <c r="E6" s="40"/>
      <c r="F6" s="40"/>
      <c r="G6" s="63"/>
      <c r="H6" s="63"/>
      <c r="I6" s="40"/>
      <c r="J6" s="3"/>
      <c r="K6" s="3"/>
      <c r="L6" s="3"/>
    </row>
    <row r="7" spans="1:12" ht="12.75">
      <c r="A7" s="30" t="s">
        <v>207</v>
      </c>
      <c r="B7" s="41"/>
      <c r="C7" s="41"/>
      <c r="D7" s="41"/>
      <c r="E7" s="41"/>
      <c r="F7" s="41"/>
      <c r="G7" s="193"/>
      <c r="H7" s="193"/>
      <c r="I7" s="40"/>
      <c r="J7" s="3"/>
      <c r="K7" s="3"/>
      <c r="L7" s="3"/>
    </row>
    <row r="8" spans="1:9" s="3" customFormat="1" ht="12.75">
      <c r="A8" s="19" t="s">
        <v>20</v>
      </c>
      <c r="B8" s="282">
        <f>289*1000</f>
        <v>289000</v>
      </c>
      <c r="C8" s="282">
        <f>876*1000</f>
        <v>876000</v>
      </c>
      <c r="D8" s="282"/>
      <c r="E8" s="282"/>
      <c r="F8" s="282"/>
      <c r="G8" s="301"/>
      <c r="H8" s="301"/>
      <c r="I8" s="282">
        <f>SUM(B8:H8)</f>
        <v>1165000</v>
      </c>
    </row>
    <row r="9" spans="1:9" s="3" customFormat="1" ht="12.75">
      <c r="A9" s="21"/>
      <c r="B9" s="40"/>
      <c r="C9" s="40"/>
      <c r="D9" s="40"/>
      <c r="E9" s="40"/>
      <c r="F9" s="40"/>
      <c r="G9" s="40"/>
      <c r="H9" s="40"/>
      <c r="I9" s="40"/>
    </row>
    <row r="10" spans="1:9" s="3" customFormat="1" ht="12.75">
      <c r="A10" s="43" t="s">
        <v>5</v>
      </c>
      <c r="B10" s="40"/>
      <c r="C10" s="40"/>
      <c r="D10" s="40"/>
      <c r="E10" s="40"/>
      <c r="F10" s="40"/>
      <c r="G10" s="40"/>
      <c r="H10" s="40"/>
      <c r="I10" s="40"/>
    </row>
    <row r="11" spans="1:9" s="3" customFormat="1" ht="12.75">
      <c r="A11" s="19" t="s">
        <v>375</v>
      </c>
      <c r="B11" s="252">
        <v>2</v>
      </c>
      <c r="C11" s="254">
        <v>1023</v>
      </c>
      <c r="D11" s="254">
        <v>101</v>
      </c>
      <c r="E11" s="254">
        <v>589</v>
      </c>
      <c r="F11" s="254">
        <v>4356</v>
      </c>
      <c r="G11" s="254">
        <v>9056</v>
      </c>
      <c r="H11" s="254">
        <v>6253</v>
      </c>
      <c r="I11" s="252">
        <f>SUM(B11:H11)</f>
        <v>21380</v>
      </c>
    </row>
    <row r="12" spans="1:9" s="3" customFormat="1" ht="12.75">
      <c r="A12" s="39"/>
      <c r="B12" s="261"/>
      <c r="C12" s="313"/>
      <c r="D12" s="313"/>
      <c r="E12" s="313"/>
      <c r="F12" s="313"/>
      <c r="G12" s="313"/>
      <c r="H12" s="313"/>
      <c r="I12" s="261"/>
    </row>
    <row r="13" spans="1:9" s="3" customFormat="1" ht="12.75">
      <c r="A13" s="21"/>
      <c r="B13" s="44"/>
      <c r="C13" s="44"/>
      <c r="D13" s="44"/>
      <c r="E13" s="44"/>
      <c r="F13" s="44"/>
      <c r="G13" s="44"/>
      <c r="H13" s="44"/>
      <c r="I13" s="44"/>
    </row>
    <row r="14" spans="1:9" s="3" customFormat="1" ht="12.75">
      <c r="A14" s="432" t="s">
        <v>402</v>
      </c>
      <c r="B14" s="44"/>
      <c r="C14" s="44"/>
      <c r="D14" s="44"/>
      <c r="E14" s="44"/>
      <c r="F14" s="44"/>
      <c r="G14" s="44"/>
      <c r="H14" s="44"/>
      <c r="I14" s="44"/>
    </row>
    <row r="15" spans="1:9" s="3" customFormat="1" ht="12.75">
      <c r="A15" s="21"/>
      <c r="B15" s="44"/>
      <c r="C15" s="44"/>
      <c r="D15" s="44"/>
      <c r="E15" s="44"/>
      <c r="F15" s="44"/>
      <c r="G15" s="44"/>
      <c r="H15" s="44"/>
      <c r="I15" s="44"/>
    </row>
    <row r="16" spans="1:9" s="3" customFormat="1" ht="12.75">
      <c r="A16" s="151" t="s">
        <v>343</v>
      </c>
      <c r="B16" s="40"/>
      <c r="C16" s="40"/>
      <c r="D16" s="40"/>
      <c r="E16" s="40"/>
      <c r="F16" s="40"/>
      <c r="G16" s="40"/>
      <c r="H16" s="40"/>
      <c r="I16" s="44"/>
    </row>
    <row r="17" spans="1:9" s="3" customFormat="1" ht="12.75">
      <c r="A17" s="443" t="s">
        <v>7</v>
      </c>
      <c r="B17" s="40" t="s">
        <v>8</v>
      </c>
      <c r="C17" s="45" t="s">
        <v>8</v>
      </c>
      <c r="D17" s="45" t="s">
        <v>8</v>
      </c>
      <c r="E17" s="45" t="s">
        <v>8</v>
      </c>
      <c r="F17" s="45" t="s">
        <v>8</v>
      </c>
      <c r="G17" s="45" t="s">
        <v>8</v>
      </c>
      <c r="H17" s="45" t="s">
        <v>8</v>
      </c>
      <c r="I17" s="44" t="s">
        <v>8</v>
      </c>
    </row>
    <row r="18" spans="1:9" ht="12.75">
      <c r="A18" s="19" t="s">
        <v>344</v>
      </c>
      <c r="B18" s="252">
        <v>16</v>
      </c>
      <c r="C18" s="252">
        <v>10120</v>
      </c>
      <c r="D18" s="252">
        <v>41123</v>
      </c>
      <c r="E18" s="252">
        <v>174920</v>
      </c>
      <c r="F18" s="252">
        <v>353694</v>
      </c>
      <c r="G18" s="254">
        <v>634302</v>
      </c>
      <c r="H18" s="254">
        <v>246101</v>
      </c>
      <c r="I18" s="252">
        <f>SUM(B18:H18)</f>
        <v>1460276</v>
      </c>
    </row>
    <row r="19" spans="1:9" ht="12.75">
      <c r="A19" s="19" t="s">
        <v>345</v>
      </c>
      <c r="B19" s="252">
        <v>312</v>
      </c>
      <c r="C19" s="252">
        <v>202392</v>
      </c>
      <c r="D19" s="252">
        <v>822467</v>
      </c>
      <c r="E19" s="252">
        <v>3498394</v>
      </c>
      <c r="F19" s="252">
        <v>7073890</v>
      </c>
      <c r="G19" s="254">
        <v>12686040</v>
      </c>
      <c r="H19" s="254">
        <v>4922020</v>
      </c>
      <c r="I19" s="252">
        <f>SUM(B19:H19)</f>
        <v>29205515</v>
      </c>
    </row>
    <row r="20" spans="1:9" ht="12.75">
      <c r="A20" s="21"/>
      <c r="B20" s="44"/>
      <c r="C20" s="44"/>
      <c r="D20" s="44"/>
      <c r="E20" s="44"/>
      <c r="F20" s="44"/>
      <c r="G20" s="58"/>
      <c r="H20" s="58"/>
      <c r="I20" s="44"/>
    </row>
    <row r="21" spans="1:9" ht="12.75">
      <c r="A21" s="43" t="s">
        <v>456</v>
      </c>
      <c r="B21" s="44" t="s">
        <v>411</v>
      </c>
      <c r="C21" s="85" t="s">
        <v>411</v>
      </c>
      <c r="D21" s="85" t="s">
        <v>411</v>
      </c>
      <c r="E21" s="85" t="s">
        <v>411</v>
      </c>
      <c r="F21" s="85" t="s">
        <v>411</v>
      </c>
      <c r="G21" s="89" t="s">
        <v>411</v>
      </c>
      <c r="H21" s="89" t="s">
        <v>411</v>
      </c>
      <c r="I21" s="44" t="s">
        <v>411</v>
      </c>
    </row>
    <row r="22" spans="1:9" ht="12.75">
      <c r="A22" s="19" t="s">
        <v>344</v>
      </c>
      <c r="B22" s="252">
        <v>13</v>
      </c>
      <c r="C22" s="252">
        <v>8433</v>
      </c>
      <c r="D22" s="252">
        <v>34269</v>
      </c>
      <c r="E22" s="252">
        <v>145766</v>
      </c>
      <c r="F22" s="252">
        <v>294745</v>
      </c>
      <c r="G22" s="254">
        <v>528585</v>
      </c>
      <c r="H22" s="254">
        <v>205085</v>
      </c>
      <c r="I22" s="252">
        <f>SUM(B22:H22)</f>
        <v>1216896</v>
      </c>
    </row>
    <row r="23" spans="1:9" ht="12.75">
      <c r="A23" s="21"/>
      <c r="B23" s="261"/>
      <c r="C23" s="261"/>
      <c r="D23" s="261"/>
      <c r="E23" s="261"/>
      <c r="F23" s="261"/>
      <c r="G23" s="313"/>
      <c r="H23" s="313"/>
      <c r="I23" s="261"/>
    </row>
    <row r="24" spans="1:9" ht="12.75">
      <c r="A24" s="40"/>
      <c r="B24" s="44"/>
      <c r="C24" s="44"/>
      <c r="D24" s="44"/>
      <c r="E24" s="44"/>
      <c r="F24" s="44"/>
      <c r="G24" s="58"/>
      <c r="H24" s="58"/>
      <c r="I24" s="44"/>
    </row>
    <row r="25" spans="1:9" ht="12.75">
      <c r="A25" s="432" t="s">
        <v>19</v>
      </c>
      <c r="B25" s="44"/>
      <c r="C25" s="44"/>
      <c r="D25" s="44"/>
      <c r="E25" s="44"/>
      <c r="F25" s="44"/>
      <c r="G25" s="58"/>
      <c r="H25" s="58"/>
      <c r="I25" s="44"/>
    </row>
    <row r="26" spans="2:9" ht="12.75">
      <c r="B26" s="44"/>
      <c r="C26" s="44"/>
      <c r="D26" s="44"/>
      <c r="E26" s="44"/>
      <c r="F26" s="44"/>
      <c r="G26" s="58"/>
      <c r="H26" s="58"/>
      <c r="I26" s="44"/>
    </row>
    <row r="27" spans="1:8" ht="12.75">
      <c r="A27" s="151" t="s">
        <v>343</v>
      </c>
      <c r="G27" s="65"/>
      <c r="H27" s="65"/>
    </row>
    <row r="28" spans="1:9" ht="12.75">
      <c r="A28" s="443" t="s">
        <v>7</v>
      </c>
      <c r="B28" s="40" t="s">
        <v>8</v>
      </c>
      <c r="C28" s="45" t="s">
        <v>8</v>
      </c>
      <c r="D28" s="45" t="s">
        <v>8</v>
      </c>
      <c r="E28" s="45" t="s">
        <v>8</v>
      </c>
      <c r="F28" s="45" t="s">
        <v>8</v>
      </c>
      <c r="G28" s="88" t="s">
        <v>8</v>
      </c>
      <c r="H28" s="88" t="s">
        <v>8</v>
      </c>
      <c r="I28" s="40"/>
    </row>
    <row r="29" spans="1:9" ht="12.75">
      <c r="A29" s="15" t="s">
        <v>344</v>
      </c>
      <c r="B29" s="252"/>
      <c r="C29" s="252"/>
      <c r="D29" s="252">
        <v>65002</v>
      </c>
      <c r="E29" s="252">
        <v>212449</v>
      </c>
      <c r="F29" s="252">
        <v>694020</v>
      </c>
      <c r="G29" s="254">
        <v>695273</v>
      </c>
      <c r="H29" s="254">
        <v>413854</v>
      </c>
      <c r="I29" s="44"/>
    </row>
    <row r="30" spans="1:9" ht="12.75">
      <c r="A30" s="15" t="s">
        <v>345</v>
      </c>
      <c r="B30" s="252"/>
      <c r="C30" s="252"/>
      <c r="D30" s="252">
        <v>1300036</v>
      </c>
      <c r="E30" s="252">
        <v>4248971</v>
      </c>
      <c r="F30" s="252">
        <v>13880410</v>
      </c>
      <c r="G30" s="254">
        <v>13905460</v>
      </c>
      <c r="H30" s="254">
        <v>8277080</v>
      </c>
      <c r="I30" s="44"/>
    </row>
    <row r="31" spans="1:9" ht="12.75">
      <c r="A31" s="21"/>
      <c r="B31" s="44"/>
      <c r="C31" s="44"/>
      <c r="D31" s="44"/>
      <c r="E31" s="44"/>
      <c r="F31" s="44"/>
      <c r="G31" s="58"/>
      <c r="H31" s="58"/>
      <c r="I31" s="44"/>
    </row>
    <row r="32" spans="1:9" ht="12.75">
      <c r="A32" s="43" t="s">
        <v>456</v>
      </c>
      <c r="B32" s="44" t="s">
        <v>411</v>
      </c>
      <c r="C32" s="85" t="s">
        <v>411</v>
      </c>
      <c r="D32" s="85" t="s">
        <v>411</v>
      </c>
      <c r="E32" s="85" t="s">
        <v>411</v>
      </c>
      <c r="F32" s="85" t="s">
        <v>411</v>
      </c>
      <c r="G32" s="85" t="s">
        <v>411</v>
      </c>
      <c r="H32" s="85" t="s">
        <v>411</v>
      </c>
      <c r="I32" s="44"/>
    </row>
    <row r="33" spans="1:21" ht="12.75">
      <c r="A33" s="15" t="s">
        <v>344</v>
      </c>
      <c r="B33" s="252"/>
      <c r="C33" s="252"/>
      <c r="D33" s="252">
        <v>54168</v>
      </c>
      <c r="E33" s="252">
        <v>177040</v>
      </c>
      <c r="F33" s="252">
        <v>578350</v>
      </c>
      <c r="G33" s="254">
        <v>579394</v>
      </c>
      <c r="H33" s="254">
        <v>344878</v>
      </c>
      <c r="I33" s="44"/>
      <c r="J33" s="10"/>
      <c r="K33" s="10"/>
      <c r="L33" s="10"/>
      <c r="M33" s="10"/>
      <c r="N33" s="9"/>
      <c r="O33" s="9"/>
      <c r="P33" s="9"/>
      <c r="Q33" s="9"/>
      <c r="R33" s="9"/>
      <c r="S33" s="9"/>
      <c r="T33" s="9"/>
      <c r="U33" s="9"/>
    </row>
    <row r="34" spans="1:21" ht="12.75">
      <c r="A34" s="2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13" ht="12.75">
      <c r="A35" s="7" t="s">
        <v>239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0" ht="12.75">
      <c r="A36" s="6"/>
      <c r="J36" s="8"/>
    </row>
    <row r="37" ht="12.75">
      <c r="A37" s="2"/>
    </row>
    <row r="38" spans="1:13" ht="12.75">
      <c r="A38" s="2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2.75">
      <c r="A41" s="2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ht="12.75">
      <c r="A42" s="2"/>
    </row>
    <row r="43" ht="12.75">
      <c r="A43" s="2"/>
    </row>
    <row r="44" spans="1:13" ht="12.75">
      <c r="A44" s="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2.75">
      <c r="A46" s="2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</sheetData>
  <sheetProtection/>
  <mergeCells count="2">
    <mergeCell ref="A2:I2"/>
    <mergeCell ref="A1:I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5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9.140625" style="3" bestFit="1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</row>
    <row r="2" spans="1:7" ht="12.75">
      <c r="A2" s="458" t="s">
        <v>197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201</v>
      </c>
      <c r="B5" s="280">
        <v>54070980.4</v>
      </c>
      <c r="C5" s="280">
        <v>66771767.89</v>
      </c>
      <c r="D5" s="280">
        <v>41612455.1</v>
      </c>
      <c r="E5" s="281">
        <v>19074184.4</v>
      </c>
      <c r="F5" s="281">
        <v>19487818.3</v>
      </c>
      <c r="G5" s="280">
        <f>SUM(B5:F5)</f>
        <v>201017206.09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227" t="s">
        <v>27</v>
      </c>
      <c r="B8" s="280">
        <v>8813207.72</v>
      </c>
      <c r="C8" s="280">
        <v>27829023.33</v>
      </c>
      <c r="D8" s="280">
        <v>21336854.39</v>
      </c>
      <c r="E8" s="281">
        <v>6999160.28</v>
      </c>
      <c r="F8" s="281">
        <v>4040922.55</v>
      </c>
      <c r="G8" s="280">
        <f>SUM(B8:F8)</f>
        <v>69019168.27</v>
      </c>
    </row>
    <row r="9" spans="1:7" s="3" customFormat="1" ht="12.75">
      <c r="A9" s="227" t="s">
        <v>17</v>
      </c>
      <c r="B9" s="280">
        <v>28631294</v>
      </c>
      <c r="C9" s="280">
        <v>27845676.43</v>
      </c>
      <c r="D9" s="280">
        <v>5152540.5</v>
      </c>
      <c r="E9" s="281">
        <v>7788112.3</v>
      </c>
      <c r="F9" s="281">
        <v>7505000</v>
      </c>
      <c r="G9" s="297"/>
    </row>
    <row r="10" spans="1:7" s="3" customFormat="1" ht="12.75">
      <c r="A10" s="16" t="s">
        <v>1</v>
      </c>
      <c r="B10" s="283">
        <f>SUM(B8:B9)</f>
        <v>37444501.72</v>
      </c>
      <c r="C10" s="283">
        <f>SUM(C8:C9)</f>
        <v>55674699.76</v>
      </c>
      <c r="D10" s="283">
        <f>SUM(D8:D9)</f>
        <v>26489394.89</v>
      </c>
      <c r="E10" s="283">
        <f>SUM(E8:E9)</f>
        <v>14787272.58</v>
      </c>
      <c r="F10" s="283">
        <f>SUM(F8:F9)</f>
        <v>11545922.55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9" s="3" customFormat="1" ht="12.75">
      <c r="A13" s="227" t="s">
        <v>20</v>
      </c>
      <c r="B13" s="252">
        <v>263</v>
      </c>
      <c r="C13" s="252">
        <v>1506</v>
      </c>
      <c r="D13" s="254">
        <v>1703</v>
      </c>
      <c r="E13" s="254">
        <v>349</v>
      </c>
      <c r="F13" s="254">
        <v>7</v>
      </c>
      <c r="G13" s="255">
        <f>SUM(B13:F13)</f>
        <v>3828</v>
      </c>
      <c r="H13" s="142"/>
      <c r="I13" s="142"/>
    </row>
    <row r="14" spans="1:9" s="3" customFormat="1" ht="12.75">
      <c r="A14" s="227" t="s">
        <v>19</v>
      </c>
      <c r="B14" s="252">
        <v>1710</v>
      </c>
      <c r="C14" s="254">
        <v>2394</v>
      </c>
      <c r="D14" s="254"/>
      <c r="E14" s="254">
        <v>36</v>
      </c>
      <c r="F14" s="254">
        <v>0</v>
      </c>
      <c r="G14" s="303"/>
      <c r="H14" s="131"/>
      <c r="I14" s="142"/>
    </row>
    <row r="15" spans="1:9" s="3" customFormat="1" ht="12.75">
      <c r="A15" s="16" t="s">
        <v>1</v>
      </c>
      <c r="B15" s="265">
        <f>SUM(B13:B14)</f>
        <v>1973</v>
      </c>
      <c r="C15" s="265">
        <f>SUM(C13:C14)</f>
        <v>3900</v>
      </c>
      <c r="D15" s="256">
        <f>SUM(D13:D14)</f>
        <v>1703</v>
      </c>
      <c r="E15" s="256">
        <f>SUM(E13:E14)</f>
        <v>385</v>
      </c>
      <c r="F15" s="256">
        <f>SUM(F13:F14)</f>
        <v>7</v>
      </c>
      <c r="G15" s="303"/>
      <c r="H15" s="131"/>
      <c r="I15" s="142"/>
    </row>
    <row r="16" spans="1:9" s="3" customFormat="1" ht="12.75">
      <c r="A16" s="21"/>
      <c r="B16" s="261"/>
      <c r="C16" s="261"/>
      <c r="D16" s="313"/>
      <c r="E16" s="313"/>
      <c r="F16" s="313"/>
      <c r="G16" s="303"/>
      <c r="H16" s="131"/>
      <c r="I16" s="142"/>
    </row>
    <row r="17" spans="1:9" s="3" customFormat="1" ht="12.75">
      <c r="A17" s="21"/>
      <c r="B17" s="44"/>
      <c r="C17" s="44"/>
      <c r="D17" s="58"/>
      <c r="E17" s="58"/>
      <c r="F17" s="58"/>
      <c r="G17" s="58"/>
      <c r="H17" s="142"/>
      <c r="I17" s="142"/>
    </row>
    <row r="18" spans="1:9" s="3" customFormat="1" ht="12.75">
      <c r="A18" s="432" t="s">
        <v>402</v>
      </c>
      <c r="B18" s="44"/>
      <c r="C18" s="44"/>
      <c r="D18" s="58"/>
      <c r="E18" s="58"/>
      <c r="F18" s="58"/>
      <c r="G18" s="58"/>
      <c r="H18" s="142"/>
      <c r="I18" s="142"/>
    </row>
    <row r="19" spans="1:9" s="3" customFormat="1" ht="12.75">
      <c r="A19" s="21"/>
      <c r="B19" s="44"/>
      <c r="C19" s="44"/>
      <c r="D19" s="58"/>
      <c r="E19" s="58"/>
      <c r="F19" s="58"/>
      <c r="G19" s="58"/>
      <c r="H19" s="142"/>
      <c r="I19" s="142"/>
    </row>
    <row r="20" spans="1:9" s="3" customFormat="1" ht="12.75">
      <c r="A20" s="151" t="s">
        <v>343</v>
      </c>
      <c r="B20" s="40"/>
      <c r="C20" s="40"/>
      <c r="D20" s="63"/>
      <c r="E20" s="63"/>
      <c r="F20" s="63"/>
      <c r="G20" s="63"/>
      <c r="H20" s="142"/>
      <c r="I20" s="142"/>
    </row>
    <row r="21" spans="1:7" s="3" customFormat="1" ht="12.75">
      <c r="A21" s="443" t="s">
        <v>7</v>
      </c>
      <c r="B21" s="45" t="s">
        <v>8</v>
      </c>
      <c r="C21" s="45" t="s">
        <v>8</v>
      </c>
      <c r="D21" s="45" t="s">
        <v>8</v>
      </c>
      <c r="E21" s="45" t="s">
        <v>8</v>
      </c>
      <c r="F21" s="45" t="s">
        <v>8</v>
      </c>
      <c r="G21" s="40" t="s">
        <v>8</v>
      </c>
    </row>
    <row r="22" spans="1:7" ht="12.75">
      <c r="A22" s="15" t="s">
        <v>344</v>
      </c>
      <c r="B22" s="252">
        <v>2578</v>
      </c>
      <c r="C22" s="252">
        <v>19353</v>
      </c>
      <c r="D22" s="252">
        <v>21411</v>
      </c>
      <c r="E22" s="254">
        <v>2702</v>
      </c>
      <c r="F22" s="254">
        <v>1635</v>
      </c>
      <c r="G22" s="253">
        <f>SUM(B22:F22)</f>
        <v>47679</v>
      </c>
    </row>
    <row r="23" spans="1:7" ht="12.75">
      <c r="A23" s="15" t="s">
        <v>345</v>
      </c>
      <c r="B23" s="252">
        <v>51565</v>
      </c>
      <c r="C23" s="252">
        <v>387059</v>
      </c>
      <c r="D23" s="252">
        <v>428211</v>
      </c>
      <c r="E23" s="254">
        <v>54040</v>
      </c>
      <c r="F23" s="254">
        <v>32696</v>
      </c>
      <c r="G23" s="253">
        <f>SUM(B23:F23)</f>
        <v>953571</v>
      </c>
    </row>
    <row r="24" spans="1:7" ht="12.75">
      <c r="A24" s="21"/>
      <c r="B24" s="44"/>
      <c r="C24" s="44"/>
      <c r="D24" s="44"/>
      <c r="E24" s="58"/>
      <c r="F24" s="58"/>
      <c r="G24" s="44"/>
    </row>
    <row r="25" spans="1:7" ht="12.75">
      <c r="A25" s="43" t="s">
        <v>456</v>
      </c>
      <c r="B25" s="85" t="s">
        <v>411</v>
      </c>
      <c r="C25" s="85" t="s">
        <v>411</v>
      </c>
      <c r="D25" s="85" t="s">
        <v>411</v>
      </c>
      <c r="E25" s="89" t="s">
        <v>411</v>
      </c>
      <c r="F25" s="89" t="s">
        <v>411</v>
      </c>
      <c r="G25" s="44" t="s">
        <v>411</v>
      </c>
    </row>
    <row r="26" spans="1:7" ht="12.75">
      <c r="A26" s="15" t="s">
        <v>344</v>
      </c>
      <c r="B26" s="252">
        <v>2149</v>
      </c>
      <c r="C26" s="252">
        <v>16127</v>
      </c>
      <c r="D26" s="252">
        <v>17842</v>
      </c>
      <c r="E26" s="254">
        <v>2251</v>
      </c>
      <c r="F26" s="254">
        <v>312</v>
      </c>
      <c r="G26" s="253">
        <f>SUM(B26:F26)</f>
        <v>38681</v>
      </c>
    </row>
    <row r="27" spans="1:7" ht="12.75">
      <c r="A27" s="21"/>
      <c r="B27" s="261"/>
      <c r="C27" s="261"/>
      <c r="D27" s="261"/>
      <c r="E27" s="313"/>
      <c r="F27" s="313"/>
      <c r="G27" s="272"/>
    </row>
    <row r="28" spans="1:7" ht="12.75">
      <c r="A28" s="43" t="s">
        <v>6</v>
      </c>
      <c r="B28" s="44"/>
      <c r="C28" s="44"/>
      <c r="D28" s="44"/>
      <c r="E28" s="58"/>
      <c r="F28" s="58"/>
      <c r="G28" s="44"/>
    </row>
    <row r="29" spans="1:8" ht="12.75">
      <c r="A29" s="151" t="s">
        <v>10</v>
      </c>
      <c r="B29" s="89" t="s">
        <v>11</v>
      </c>
      <c r="C29" s="89" t="s">
        <v>11</v>
      </c>
      <c r="D29" s="89" t="s">
        <v>11</v>
      </c>
      <c r="E29" s="89" t="s">
        <v>11</v>
      </c>
      <c r="F29" s="89" t="s">
        <v>11</v>
      </c>
      <c r="G29" s="58" t="s">
        <v>11</v>
      </c>
      <c r="H29" s="136"/>
    </row>
    <row r="30" spans="1:8" ht="12.75">
      <c r="A30" s="152" t="s">
        <v>344</v>
      </c>
      <c r="B30" s="254">
        <v>0</v>
      </c>
      <c r="C30" s="254"/>
      <c r="D30" s="254"/>
      <c r="E30" s="254"/>
      <c r="F30" s="254"/>
      <c r="G30" s="255">
        <f>SUM(B30:F30)</f>
        <v>0</v>
      </c>
      <c r="H30" s="65"/>
    </row>
    <row r="31" spans="1:8" ht="12.75">
      <c r="A31" s="152" t="s">
        <v>345</v>
      </c>
      <c r="B31" s="254">
        <v>0</v>
      </c>
      <c r="C31" s="254"/>
      <c r="D31" s="254"/>
      <c r="E31" s="254"/>
      <c r="F31" s="254"/>
      <c r="G31" s="255">
        <f>SUM(B31:F31)</f>
        <v>0</v>
      </c>
      <c r="H31" s="65"/>
    </row>
    <row r="32" spans="1:8" ht="12.75">
      <c r="A32" s="158"/>
      <c r="B32" s="313"/>
      <c r="C32" s="313"/>
      <c r="D32" s="313"/>
      <c r="E32" s="313"/>
      <c r="F32" s="313"/>
      <c r="G32" s="303"/>
      <c r="H32" s="65"/>
    </row>
    <row r="33" spans="5:6" ht="12.75">
      <c r="E33" s="65"/>
      <c r="F33" s="65"/>
    </row>
    <row r="34" spans="1:6" ht="12.75">
      <c r="A34" s="432" t="s">
        <v>19</v>
      </c>
      <c r="E34" s="65"/>
      <c r="F34" s="65"/>
    </row>
    <row r="35" spans="5:6" ht="12.75">
      <c r="E35" s="65"/>
      <c r="F35" s="65"/>
    </row>
    <row r="36" spans="1:6" ht="12.75">
      <c r="A36" s="151" t="s">
        <v>343</v>
      </c>
      <c r="E36" s="65"/>
      <c r="F36" s="65"/>
    </row>
    <row r="37" spans="1:7" ht="12.75">
      <c r="A37" s="443" t="s">
        <v>7</v>
      </c>
      <c r="B37" s="45" t="s">
        <v>8</v>
      </c>
      <c r="C37" s="45" t="s">
        <v>8</v>
      </c>
      <c r="D37" s="45" t="s">
        <v>8</v>
      </c>
      <c r="E37" s="88" t="s">
        <v>8</v>
      </c>
      <c r="F37" s="88" t="s">
        <v>8</v>
      </c>
      <c r="G37" s="40"/>
    </row>
    <row r="38" spans="1:7" ht="12.75">
      <c r="A38" s="15" t="s">
        <v>344</v>
      </c>
      <c r="B38" s="252">
        <v>25440</v>
      </c>
      <c r="C38" s="252">
        <v>33278</v>
      </c>
      <c r="D38" s="252">
        <v>7043</v>
      </c>
      <c r="E38" s="254">
        <v>24821</v>
      </c>
      <c r="F38" s="254">
        <v>24896</v>
      </c>
      <c r="G38" s="85"/>
    </row>
    <row r="39" spans="1:7" ht="12.75">
      <c r="A39" s="15" t="s">
        <v>345</v>
      </c>
      <c r="B39" s="252">
        <v>508800</v>
      </c>
      <c r="C39" s="252">
        <v>665554</v>
      </c>
      <c r="D39" s="252">
        <v>140862</v>
      </c>
      <c r="E39" s="254">
        <v>496418</v>
      </c>
      <c r="F39" s="254">
        <v>497920</v>
      </c>
      <c r="G39" s="85"/>
    </row>
    <row r="40" spans="1:7" ht="12.75">
      <c r="A40" s="21"/>
      <c r="B40" s="44"/>
      <c r="C40" s="44"/>
      <c r="D40" s="44"/>
      <c r="E40" s="58"/>
      <c r="F40" s="58"/>
      <c r="G40" s="44"/>
    </row>
    <row r="41" spans="1:8" ht="12.75">
      <c r="A41" s="151" t="s">
        <v>456</v>
      </c>
      <c r="B41" s="89" t="s">
        <v>411</v>
      </c>
      <c r="C41" s="89" t="s">
        <v>411</v>
      </c>
      <c r="D41" s="89" t="s">
        <v>411</v>
      </c>
      <c r="E41" s="89" t="s">
        <v>411</v>
      </c>
      <c r="F41" s="89" t="s">
        <v>411</v>
      </c>
      <c r="G41" s="58"/>
      <c r="H41" s="136"/>
    </row>
    <row r="42" spans="1:19" ht="12.75">
      <c r="A42" s="152" t="s">
        <v>344</v>
      </c>
      <c r="B42" s="254">
        <v>21200</v>
      </c>
      <c r="C42" s="254">
        <v>27731</v>
      </c>
      <c r="D42" s="254">
        <v>5869</v>
      </c>
      <c r="E42" s="254">
        <v>3652</v>
      </c>
      <c r="F42" s="254">
        <v>4060</v>
      </c>
      <c r="G42" s="89"/>
      <c r="H42" s="64"/>
      <c r="I42" s="10"/>
      <c r="J42" s="10"/>
      <c r="K42" s="10"/>
      <c r="L42" s="9"/>
      <c r="M42" s="9"/>
      <c r="N42" s="9"/>
      <c r="O42" s="9"/>
      <c r="P42" s="9"/>
      <c r="Q42" s="9"/>
      <c r="R42" s="9"/>
      <c r="S42" s="9"/>
    </row>
    <row r="43" spans="1:19" ht="12.75">
      <c r="A43" s="2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9"/>
      <c r="N43" s="9"/>
      <c r="O43" s="9"/>
      <c r="P43" s="9"/>
      <c r="Q43" s="9"/>
      <c r="R43" s="9"/>
      <c r="S43" s="9"/>
    </row>
    <row r="44" spans="1:19" ht="12.75">
      <c r="A44" s="2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9"/>
      <c r="M44" s="9"/>
      <c r="N44" s="9"/>
      <c r="O44" s="9"/>
      <c r="P44" s="9"/>
      <c r="Q44" s="9"/>
      <c r="R44" s="9"/>
      <c r="S44" s="9"/>
    </row>
    <row r="45" spans="1:19" ht="12.75">
      <c r="A45" s="2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2:11" ht="12.75"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8" ht="12.75">
      <c r="A47" s="6"/>
      <c r="H47" s="8"/>
    </row>
    <row r="48" ht="12.75">
      <c r="A48" s="2"/>
    </row>
    <row r="49" spans="1:11" ht="12.75">
      <c r="A49" s="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2.75">
      <c r="A50" s="2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2.75">
      <c r="A51" s="2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2.75">
      <c r="A52" s="2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ht="12.75">
      <c r="A53" s="2"/>
    </row>
    <row r="54" ht="12.75">
      <c r="A54" s="2"/>
    </row>
    <row r="55" spans="1:11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12.75">
      <c r="A56" s="2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12.75">
      <c r="A57" s="2"/>
      <c r="B57" s="10"/>
      <c r="C57" s="10"/>
      <c r="D57" s="10"/>
      <c r="E57" s="10"/>
      <c r="F57" s="10"/>
      <c r="G57" s="10"/>
      <c r="H57" s="10"/>
      <c r="I57" s="10"/>
      <c r="J57" s="10"/>
      <c r="K5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3.421875" style="0" customWidth="1"/>
    <col min="2" max="2" width="10.57421875" style="0" bestFit="1" customWidth="1"/>
    <col min="3" max="4" width="13.00390625" style="0" hidden="1" customWidth="1"/>
    <col min="5" max="7" width="8.8515625" style="0" customWidth="1"/>
    <col min="8" max="10" width="14.421875" style="0" bestFit="1" customWidth="1"/>
    <col min="11" max="11" width="13.00390625" style="0" customWidth="1"/>
    <col min="12" max="12" width="14.421875" style="0" bestFit="1" customWidth="1"/>
  </cols>
  <sheetData>
    <row r="1" spans="1:13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39"/>
    </row>
    <row r="2" spans="1:13" ht="12.75">
      <c r="A2" s="458" t="s">
        <v>208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39"/>
    </row>
    <row r="3" spans="1:11" ht="12.75">
      <c r="A3" s="30" t="s">
        <v>144</v>
      </c>
      <c r="B3" s="30"/>
      <c r="C3" s="30" t="s">
        <v>227</v>
      </c>
      <c r="D3" s="24"/>
      <c r="E3" s="24"/>
      <c r="F3" s="24"/>
      <c r="G3" s="24"/>
      <c r="H3" s="24"/>
      <c r="I3" s="24"/>
      <c r="J3" s="24"/>
      <c r="K3" s="24"/>
    </row>
    <row r="4" spans="1:13" ht="12.75">
      <c r="A4" s="464" t="s">
        <v>282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48"/>
    </row>
    <row r="5" spans="1:12" ht="25.5">
      <c r="A5" s="134"/>
      <c r="B5" s="81" t="s">
        <v>440</v>
      </c>
      <c r="C5" s="28">
        <v>2004</v>
      </c>
      <c r="D5" s="28">
        <v>2005</v>
      </c>
      <c r="E5" s="25">
        <v>2006</v>
      </c>
      <c r="F5" s="25">
        <v>2007</v>
      </c>
      <c r="G5" s="25">
        <v>2008</v>
      </c>
      <c r="H5" s="25">
        <v>2009</v>
      </c>
      <c r="I5" s="25">
        <v>2010</v>
      </c>
      <c r="J5" s="25">
        <v>2011</v>
      </c>
      <c r="K5" s="210" t="s">
        <v>347</v>
      </c>
      <c r="L5" s="210" t="s">
        <v>353</v>
      </c>
    </row>
    <row r="6" spans="1:2" ht="12.75">
      <c r="A6" s="30" t="s">
        <v>258</v>
      </c>
      <c r="B6" s="30"/>
    </row>
    <row r="7" spans="1:12" ht="12.75">
      <c r="A7" s="182" t="s">
        <v>210</v>
      </c>
      <c r="B7" s="186">
        <f>SUM(C7:D7)</f>
        <v>0</v>
      </c>
      <c r="C7" s="304"/>
      <c r="D7" s="305"/>
      <c r="E7" s="306"/>
      <c r="F7" s="307"/>
      <c r="G7" s="239"/>
      <c r="H7" s="242">
        <v>1555000</v>
      </c>
      <c r="I7" s="242">
        <v>1038200</v>
      </c>
      <c r="J7" s="242">
        <v>1075000</v>
      </c>
      <c r="K7" s="242">
        <v>1575000</v>
      </c>
      <c r="L7" s="243">
        <v>1075000</v>
      </c>
    </row>
    <row r="8" spans="1:12" ht="12.75">
      <c r="A8" s="182" t="s">
        <v>161</v>
      </c>
      <c r="B8" s="186">
        <f>SUM(C8:D8)</f>
        <v>0</v>
      </c>
      <c r="C8" s="304"/>
      <c r="D8" s="305"/>
      <c r="E8" s="306"/>
      <c r="F8" s="307">
        <v>380</v>
      </c>
      <c r="G8" s="239"/>
      <c r="H8" s="242"/>
      <c r="I8" s="242"/>
      <c r="J8" s="242"/>
      <c r="K8" s="242"/>
      <c r="L8" s="243"/>
    </row>
    <row r="9" spans="1:12" ht="12.75">
      <c r="A9" s="333" t="s">
        <v>369</v>
      </c>
      <c r="B9" s="186">
        <f>SUM(C9:D9)</f>
        <v>0</v>
      </c>
      <c r="C9" s="305"/>
      <c r="D9" s="305"/>
      <c r="E9" s="306"/>
      <c r="F9" s="307"/>
      <c r="G9" s="239"/>
      <c r="H9" s="242"/>
      <c r="I9" s="242"/>
      <c r="J9" s="242"/>
      <c r="K9" s="242"/>
      <c r="L9" s="107">
        <v>60000</v>
      </c>
    </row>
    <row r="10" spans="1:12" ht="12.75">
      <c r="A10" s="182" t="s">
        <v>211</v>
      </c>
      <c r="B10" s="186">
        <f aca="true" t="shared" si="0" ref="B10:B18">SUM(C10:D10)</f>
        <v>0</v>
      </c>
      <c r="C10" s="304"/>
      <c r="D10" s="305"/>
      <c r="E10" s="306"/>
      <c r="F10" s="307"/>
      <c r="G10" s="239"/>
      <c r="H10" s="242">
        <v>1046000.4</v>
      </c>
      <c r="I10" s="242">
        <v>123866.12</v>
      </c>
      <c r="J10" s="242"/>
      <c r="K10" s="242"/>
      <c r="L10" s="243"/>
    </row>
    <row r="11" spans="1:12" ht="12.75">
      <c r="A11" s="182" t="s">
        <v>185</v>
      </c>
      <c r="B11" s="186">
        <f t="shared" si="0"/>
        <v>0</v>
      </c>
      <c r="C11" s="304"/>
      <c r="D11" s="305"/>
      <c r="E11" s="306"/>
      <c r="F11" s="307"/>
      <c r="G11" s="239">
        <v>9000</v>
      </c>
      <c r="H11" s="242"/>
      <c r="I11" s="242"/>
      <c r="J11" s="242"/>
      <c r="K11" s="242"/>
      <c r="L11" s="243"/>
    </row>
    <row r="12" spans="1:12" ht="12.75">
      <c r="A12" s="182" t="s">
        <v>286</v>
      </c>
      <c r="B12" s="186">
        <f t="shared" si="0"/>
        <v>0</v>
      </c>
      <c r="C12" s="304"/>
      <c r="D12" s="305"/>
      <c r="E12" s="306"/>
      <c r="F12" s="239"/>
      <c r="G12" s="239">
        <v>345</v>
      </c>
      <c r="H12" s="242">
        <v>1247612</v>
      </c>
      <c r="I12" s="242">
        <v>992612</v>
      </c>
      <c r="J12" s="242"/>
      <c r="K12" s="242"/>
      <c r="L12" s="243"/>
    </row>
    <row r="13" spans="1:12" ht="12.75">
      <c r="A13" s="182" t="s">
        <v>267</v>
      </c>
      <c r="B13" s="186">
        <f t="shared" si="0"/>
        <v>0</v>
      </c>
      <c r="C13" s="304"/>
      <c r="D13" s="305"/>
      <c r="E13" s="306"/>
      <c r="F13" s="307"/>
      <c r="G13" s="239"/>
      <c r="H13" s="242"/>
      <c r="I13" s="242"/>
      <c r="J13" s="242">
        <v>20000000</v>
      </c>
      <c r="K13" s="242"/>
      <c r="L13" s="243"/>
    </row>
    <row r="14" spans="1:12" ht="12.75">
      <c r="A14" s="181" t="s">
        <v>141</v>
      </c>
      <c r="B14" s="186">
        <f t="shared" si="0"/>
        <v>0</v>
      </c>
      <c r="C14" s="305"/>
      <c r="D14" s="305"/>
      <c r="E14" s="306">
        <v>1600</v>
      </c>
      <c r="F14" s="307"/>
      <c r="G14" s="239"/>
      <c r="H14" s="242"/>
      <c r="I14" s="242"/>
      <c r="J14" s="242"/>
      <c r="K14" s="242"/>
      <c r="L14" s="243"/>
    </row>
    <row r="15" spans="1:12" ht="12.75">
      <c r="A15" s="181" t="s">
        <v>142</v>
      </c>
      <c r="B15" s="186">
        <f t="shared" si="0"/>
        <v>0</v>
      </c>
      <c r="C15" s="305"/>
      <c r="D15" s="305"/>
      <c r="E15" s="306">
        <v>607</v>
      </c>
      <c r="F15" s="307">
        <v>200</v>
      </c>
      <c r="G15" s="239"/>
      <c r="H15" s="242"/>
      <c r="I15" s="242"/>
      <c r="J15" s="242"/>
      <c r="K15" s="242"/>
      <c r="L15" s="243"/>
    </row>
    <row r="16" spans="1:12" ht="12.75">
      <c r="A16" s="182" t="s">
        <v>265</v>
      </c>
      <c r="B16" s="186">
        <f t="shared" si="0"/>
        <v>0</v>
      </c>
      <c r="C16" s="304"/>
      <c r="D16" s="305"/>
      <c r="E16" s="306"/>
      <c r="F16" s="307"/>
      <c r="G16" s="239"/>
      <c r="H16" s="242"/>
      <c r="I16" s="242"/>
      <c r="J16" s="242">
        <v>678853.1</v>
      </c>
      <c r="K16" s="242">
        <v>386450.47</v>
      </c>
      <c r="L16" s="243">
        <v>35000</v>
      </c>
    </row>
    <row r="17" spans="1:12" ht="12.75">
      <c r="A17" s="182" t="s">
        <v>264</v>
      </c>
      <c r="B17" s="186">
        <f t="shared" si="0"/>
        <v>0</v>
      </c>
      <c r="C17" s="304"/>
      <c r="D17" s="305"/>
      <c r="E17" s="306"/>
      <c r="F17" s="307"/>
      <c r="G17" s="239"/>
      <c r="H17" s="242"/>
      <c r="I17" s="242"/>
      <c r="J17" s="242">
        <v>10000000</v>
      </c>
      <c r="K17" s="242"/>
      <c r="L17" s="243"/>
    </row>
    <row r="18" spans="1:12" ht="12.75">
      <c r="A18" s="333" t="s">
        <v>370</v>
      </c>
      <c r="B18" s="186">
        <f t="shared" si="0"/>
        <v>0</v>
      </c>
      <c r="C18" s="305"/>
      <c r="D18" s="305"/>
      <c r="E18" s="306"/>
      <c r="F18" s="307"/>
      <c r="G18" s="239"/>
      <c r="H18" s="242"/>
      <c r="I18" s="242"/>
      <c r="J18" s="242"/>
      <c r="K18" s="242"/>
      <c r="L18" s="107">
        <v>1250000</v>
      </c>
    </row>
    <row r="19" spans="1:12" ht="12.75">
      <c r="A19" s="182" t="s">
        <v>160</v>
      </c>
      <c r="B19" s="186">
        <f aca="true" t="shared" si="1" ref="B19:B25">SUM(C19:D19)</f>
        <v>0</v>
      </c>
      <c r="C19" s="304"/>
      <c r="D19" s="305"/>
      <c r="E19" s="306"/>
      <c r="F19" s="307">
        <v>986</v>
      </c>
      <c r="G19" s="239"/>
      <c r="H19" s="242"/>
      <c r="I19" s="242"/>
      <c r="J19" s="242"/>
      <c r="K19" s="242"/>
      <c r="L19" s="243"/>
    </row>
    <row r="20" spans="1:12" ht="12.75">
      <c r="A20" s="182" t="s">
        <v>209</v>
      </c>
      <c r="B20" s="186">
        <f t="shared" si="1"/>
        <v>0</v>
      </c>
      <c r="C20" s="304"/>
      <c r="D20" s="305"/>
      <c r="E20" s="306"/>
      <c r="F20" s="307"/>
      <c r="G20" s="239"/>
      <c r="H20" s="242">
        <v>4580830</v>
      </c>
      <c r="I20" s="242">
        <v>3260238.5</v>
      </c>
      <c r="J20" s="242">
        <v>1309984</v>
      </c>
      <c r="K20" s="242">
        <v>1743976.16</v>
      </c>
      <c r="L20" s="243">
        <v>1309984</v>
      </c>
    </row>
    <row r="21" spans="1:12" ht="12.75">
      <c r="A21" s="227" t="s">
        <v>82</v>
      </c>
      <c r="B21" s="186">
        <f t="shared" si="1"/>
        <v>2480</v>
      </c>
      <c r="C21" s="304">
        <v>1230</v>
      </c>
      <c r="D21" s="305">
        <v>1250</v>
      </c>
      <c r="E21" s="306">
        <v>1000</v>
      </c>
      <c r="F21" s="307"/>
      <c r="G21" s="239">
        <v>1000</v>
      </c>
      <c r="H21" s="242">
        <v>1327101.5</v>
      </c>
      <c r="I21" s="242">
        <v>877801</v>
      </c>
      <c r="J21" s="242"/>
      <c r="K21" s="242"/>
      <c r="L21" s="243"/>
    </row>
    <row r="22" spans="1:12" ht="12.75">
      <c r="A22" s="227" t="s">
        <v>80</v>
      </c>
      <c r="B22" s="186">
        <f t="shared" si="1"/>
        <v>340</v>
      </c>
      <c r="C22" s="305">
        <v>170</v>
      </c>
      <c r="D22" s="305">
        <v>170</v>
      </c>
      <c r="E22" s="306"/>
      <c r="F22" s="307"/>
      <c r="G22" s="239"/>
      <c r="H22" s="242"/>
      <c r="I22" s="242"/>
      <c r="J22" s="242"/>
      <c r="K22" s="242"/>
      <c r="L22" s="243"/>
    </row>
    <row r="23" spans="1:12" ht="12.75">
      <c r="A23" s="182" t="s">
        <v>266</v>
      </c>
      <c r="B23" s="186">
        <f t="shared" si="1"/>
        <v>0</v>
      </c>
      <c r="C23" s="304"/>
      <c r="D23" s="305"/>
      <c r="E23" s="306"/>
      <c r="F23" s="307"/>
      <c r="G23" s="239"/>
      <c r="H23" s="242"/>
      <c r="I23" s="242"/>
      <c r="J23" s="242">
        <v>1070000</v>
      </c>
      <c r="K23" s="242">
        <v>1439850.89</v>
      </c>
      <c r="L23" s="243">
        <v>1001357.94</v>
      </c>
    </row>
    <row r="24" spans="1:12" ht="12.75">
      <c r="A24" s="182" t="s">
        <v>184</v>
      </c>
      <c r="B24" s="186">
        <f t="shared" si="1"/>
        <v>0</v>
      </c>
      <c r="C24" s="304"/>
      <c r="D24" s="305"/>
      <c r="E24" s="306"/>
      <c r="F24" s="307"/>
      <c r="G24" s="239">
        <v>400</v>
      </c>
      <c r="H24" s="242">
        <v>795600</v>
      </c>
      <c r="I24" s="242">
        <v>1000000</v>
      </c>
      <c r="J24" s="242">
        <v>682829.5</v>
      </c>
      <c r="K24" s="242"/>
      <c r="L24" s="243"/>
    </row>
    <row r="25" spans="1:12" ht="12.75">
      <c r="A25" s="182" t="s">
        <v>162</v>
      </c>
      <c r="B25" s="186">
        <f t="shared" si="1"/>
        <v>0</v>
      </c>
      <c r="C25" s="304"/>
      <c r="D25" s="305"/>
      <c r="E25" s="306"/>
      <c r="F25" s="307">
        <v>1082</v>
      </c>
      <c r="G25" s="239">
        <v>49</v>
      </c>
      <c r="H25" s="242"/>
      <c r="I25" s="242"/>
      <c r="J25" s="242"/>
      <c r="K25" s="242"/>
      <c r="L25" s="243"/>
    </row>
    <row r="26" spans="1:12" ht="12.75">
      <c r="A26" s="14" t="s">
        <v>1</v>
      </c>
      <c r="B26" s="308">
        <f aca="true" t="shared" si="2" ref="B26:K26">SUM(B7:B25)</f>
        <v>2820</v>
      </c>
      <c r="C26" s="308">
        <f t="shared" si="2"/>
        <v>1400</v>
      </c>
      <c r="D26" s="308">
        <f t="shared" si="2"/>
        <v>1420</v>
      </c>
      <c r="E26" s="308">
        <f t="shared" si="2"/>
        <v>3207</v>
      </c>
      <c r="F26" s="308">
        <f t="shared" si="2"/>
        <v>2648</v>
      </c>
      <c r="G26" s="308">
        <f t="shared" si="2"/>
        <v>10794</v>
      </c>
      <c r="H26" s="278">
        <f t="shared" si="2"/>
        <v>10552143.9</v>
      </c>
      <c r="I26" s="278">
        <f t="shared" si="2"/>
        <v>7292717.62</v>
      </c>
      <c r="J26" s="278">
        <f t="shared" si="2"/>
        <v>34816666.6</v>
      </c>
      <c r="K26" s="278">
        <f t="shared" si="2"/>
        <v>5145277.52</v>
      </c>
      <c r="L26" s="278">
        <f>SUM(L7:L25)</f>
        <v>4731341.9399999995</v>
      </c>
    </row>
    <row r="27" spans="1:12" ht="12.75">
      <c r="A27" s="24"/>
      <c r="B27" s="24"/>
      <c r="C27" s="95"/>
      <c r="D27" s="96"/>
      <c r="E27" s="97"/>
      <c r="F27" s="33"/>
      <c r="G27" s="24"/>
      <c r="H27" s="12"/>
      <c r="I27" s="12"/>
      <c r="J27" s="12"/>
      <c r="K27" s="12"/>
      <c r="L27" s="144"/>
    </row>
    <row r="28" spans="1:12" ht="12.75">
      <c r="A28" s="30" t="s">
        <v>259</v>
      </c>
      <c r="B28" s="30"/>
      <c r="C28" s="175"/>
      <c r="D28" s="176"/>
      <c r="E28" s="177"/>
      <c r="F28" s="178"/>
      <c r="G28" s="185"/>
      <c r="H28" s="178"/>
      <c r="I28" s="178"/>
      <c r="J28" s="178"/>
      <c r="K28" s="178"/>
      <c r="L28" s="403"/>
    </row>
    <row r="29" spans="1:12" ht="12.75">
      <c r="A29" s="227" t="s">
        <v>143</v>
      </c>
      <c r="B29" s="239">
        <f aca="true" t="shared" si="3" ref="B29:B37">SUM(C29:D29)</f>
        <v>0</v>
      </c>
      <c r="C29" s="304"/>
      <c r="D29" s="305"/>
      <c r="E29" s="306">
        <v>15</v>
      </c>
      <c r="F29" s="307"/>
      <c r="G29" s="239"/>
      <c r="H29" s="242"/>
      <c r="I29" s="242"/>
      <c r="J29" s="242"/>
      <c r="K29" s="242"/>
      <c r="L29" s="243"/>
    </row>
    <row r="30" spans="1:14" ht="12.75">
      <c r="A30" s="182" t="s">
        <v>185</v>
      </c>
      <c r="B30" s="239">
        <f t="shared" si="3"/>
        <v>0</v>
      </c>
      <c r="C30" s="304"/>
      <c r="D30" s="305"/>
      <c r="E30" s="306"/>
      <c r="F30" s="307"/>
      <c r="G30" s="239">
        <v>3000</v>
      </c>
      <c r="H30" s="242"/>
      <c r="I30" s="242"/>
      <c r="J30" s="242"/>
      <c r="K30" s="242"/>
      <c r="L30" s="243"/>
      <c r="N30" s="87"/>
    </row>
    <row r="31" spans="1:12" ht="12.75">
      <c r="A31" s="182" t="s">
        <v>287</v>
      </c>
      <c r="B31" s="239">
        <f t="shared" si="3"/>
        <v>0</v>
      </c>
      <c r="C31" s="304"/>
      <c r="D31" s="305"/>
      <c r="E31" s="306"/>
      <c r="F31" s="307">
        <v>2000</v>
      </c>
      <c r="G31" s="239">
        <v>2000</v>
      </c>
      <c r="H31" s="242">
        <v>2100000</v>
      </c>
      <c r="I31" s="242"/>
      <c r="J31" s="242"/>
      <c r="K31" s="242"/>
      <c r="L31" s="243"/>
    </row>
    <row r="32" spans="1:12" ht="12.75">
      <c r="A32" s="227" t="s">
        <v>146</v>
      </c>
      <c r="B32" s="239">
        <f t="shared" si="3"/>
        <v>0</v>
      </c>
      <c r="C32" s="304"/>
      <c r="D32" s="305"/>
      <c r="E32" s="306">
        <v>30</v>
      </c>
      <c r="F32" s="307">
        <v>4000</v>
      </c>
      <c r="G32" s="239"/>
      <c r="H32" s="242"/>
      <c r="I32" s="242"/>
      <c r="J32" s="242"/>
      <c r="K32" s="242"/>
      <c r="L32" s="243"/>
    </row>
    <row r="33" spans="1:12" ht="12.75">
      <c r="A33" s="182" t="s">
        <v>187</v>
      </c>
      <c r="B33" s="239">
        <f t="shared" si="3"/>
        <v>0</v>
      </c>
      <c r="C33" s="304"/>
      <c r="D33" s="305"/>
      <c r="E33" s="306"/>
      <c r="F33" s="307"/>
      <c r="G33" s="239">
        <v>1900</v>
      </c>
      <c r="H33" s="242">
        <v>13765676</v>
      </c>
      <c r="I33" s="242">
        <v>13870253</v>
      </c>
      <c r="J33" s="242">
        <v>11070253</v>
      </c>
      <c r="K33" s="242">
        <v>5518408</v>
      </c>
      <c r="L33" s="243">
        <v>350800.7</v>
      </c>
    </row>
    <row r="34" spans="1:12" ht="12.75">
      <c r="A34" s="227" t="s">
        <v>115</v>
      </c>
      <c r="B34" s="239">
        <f t="shared" si="3"/>
        <v>3000</v>
      </c>
      <c r="C34" s="304">
        <v>3000</v>
      </c>
      <c r="D34" s="305">
        <v>0</v>
      </c>
      <c r="E34" s="306">
        <v>6</v>
      </c>
      <c r="F34" s="307"/>
      <c r="G34" s="239"/>
      <c r="H34" s="242"/>
      <c r="I34" s="242"/>
      <c r="J34" s="242"/>
      <c r="K34" s="242"/>
      <c r="L34" s="243"/>
    </row>
    <row r="35" spans="1:12" ht="12.75">
      <c r="A35" s="182" t="s">
        <v>212</v>
      </c>
      <c r="B35" s="239">
        <f t="shared" si="3"/>
        <v>0</v>
      </c>
      <c r="C35" s="304"/>
      <c r="D35" s="305"/>
      <c r="E35" s="306"/>
      <c r="F35" s="307"/>
      <c r="G35" s="239"/>
      <c r="H35" s="242">
        <v>680319</v>
      </c>
      <c r="I35" s="242">
        <v>394755.5</v>
      </c>
      <c r="J35" s="242"/>
      <c r="K35" s="242"/>
      <c r="L35" s="243"/>
    </row>
    <row r="36" spans="1:12" ht="12.75">
      <c r="A36" s="182" t="s">
        <v>163</v>
      </c>
      <c r="B36" s="239">
        <f t="shared" si="3"/>
        <v>0</v>
      </c>
      <c r="C36" s="304"/>
      <c r="D36" s="305"/>
      <c r="E36" s="306"/>
      <c r="F36" s="307">
        <v>606</v>
      </c>
      <c r="G36" s="239"/>
      <c r="H36" s="242"/>
      <c r="I36" s="242"/>
      <c r="J36" s="242"/>
      <c r="K36" s="242"/>
      <c r="L36" s="243"/>
    </row>
    <row r="37" spans="1:12" ht="12.75">
      <c r="A37" s="182" t="s">
        <v>186</v>
      </c>
      <c r="B37" s="239">
        <f t="shared" si="3"/>
        <v>0</v>
      </c>
      <c r="C37" s="304"/>
      <c r="D37" s="305"/>
      <c r="E37" s="306"/>
      <c r="F37" s="307"/>
      <c r="G37" s="239">
        <v>4163</v>
      </c>
      <c r="H37" s="242"/>
      <c r="I37" s="242">
        <v>6201606</v>
      </c>
      <c r="J37" s="242"/>
      <c r="K37" s="242"/>
      <c r="L37" s="243"/>
    </row>
    <row r="38" spans="1:12" ht="12.75">
      <c r="A38" s="14" t="s">
        <v>1</v>
      </c>
      <c r="B38" s="309">
        <f>SUM(B29:B37)</f>
        <v>3000</v>
      </c>
      <c r="C38" s="309">
        <f>SUM(C29:C37)</f>
        <v>3000</v>
      </c>
      <c r="D38" s="309">
        <f aca="true" t="shared" si="4" ref="D38:J38">SUM(D29:D37)</f>
        <v>0</v>
      </c>
      <c r="E38" s="309">
        <f t="shared" si="4"/>
        <v>51</v>
      </c>
      <c r="F38" s="309">
        <f t="shared" si="4"/>
        <v>6606</v>
      </c>
      <c r="G38" s="309">
        <f t="shared" si="4"/>
        <v>11063</v>
      </c>
      <c r="H38" s="277">
        <f t="shared" si="4"/>
        <v>16545995</v>
      </c>
      <c r="I38" s="277">
        <f t="shared" si="4"/>
        <v>20466614.5</v>
      </c>
      <c r="J38" s="277">
        <f t="shared" si="4"/>
        <v>11070253</v>
      </c>
      <c r="K38" s="277">
        <f>SUM(K29:K37)</f>
        <v>5518408</v>
      </c>
      <c r="L38" s="278">
        <f>SUM(L29:L37)</f>
        <v>350800.7</v>
      </c>
    </row>
    <row r="39" spans="1:12" ht="12.75">
      <c r="A39" t="s">
        <v>291</v>
      </c>
      <c r="B39" s="24"/>
      <c r="C39" s="54"/>
      <c r="D39" s="54"/>
      <c r="F39" s="12"/>
      <c r="H39" s="12"/>
      <c r="I39" s="12"/>
      <c r="J39" s="12"/>
      <c r="K39" s="12"/>
      <c r="L39" s="144"/>
    </row>
    <row r="40" spans="2:12" ht="12.75">
      <c r="B40" s="1"/>
      <c r="C40" s="31"/>
      <c r="D40" s="31"/>
      <c r="F40" s="12"/>
      <c r="H40" s="12"/>
      <c r="I40" s="12"/>
      <c r="J40" s="12"/>
      <c r="K40" s="12"/>
      <c r="L40" s="144"/>
    </row>
    <row r="41" spans="1:12" ht="12.75">
      <c r="A41" s="1" t="s">
        <v>260</v>
      </c>
      <c r="B41" s="1"/>
      <c r="C41" s="31"/>
      <c r="D41" s="31"/>
      <c r="F41" s="12"/>
      <c r="H41" s="12"/>
      <c r="I41" s="12"/>
      <c r="J41" s="12"/>
      <c r="K41" s="12"/>
      <c r="L41" s="144"/>
    </row>
    <row r="42" spans="1:12" ht="12.75">
      <c r="A42" s="182" t="s">
        <v>210</v>
      </c>
      <c r="B42" s="239">
        <f>SUM(C42:D42)</f>
        <v>0</v>
      </c>
      <c r="C42" s="304"/>
      <c r="D42" s="305"/>
      <c r="E42" s="239"/>
      <c r="F42" s="239"/>
      <c r="G42" s="239"/>
      <c r="H42" s="242">
        <v>1546809.2</v>
      </c>
      <c r="I42" s="242"/>
      <c r="J42" s="242">
        <v>1062330.79</v>
      </c>
      <c r="K42" s="242">
        <v>1573000.91</v>
      </c>
      <c r="L42" s="243">
        <v>1058539.26</v>
      </c>
    </row>
    <row r="43" spans="1:12" ht="12.75">
      <c r="A43" s="182" t="s">
        <v>161</v>
      </c>
      <c r="B43" s="239">
        <f>SUM(C43:D43)</f>
        <v>0</v>
      </c>
      <c r="C43" s="304"/>
      <c r="D43" s="305"/>
      <c r="E43" s="239"/>
      <c r="F43" s="239">
        <v>380</v>
      </c>
      <c r="G43" s="239"/>
      <c r="H43" s="242"/>
      <c r="I43" s="242"/>
      <c r="J43" s="242"/>
      <c r="K43" s="242"/>
      <c r="L43" s="243"/>
    </row>
    <row r="44" spans="1:12" ht="12.75">
      <c r="A44" s="333" t="s">
        <v>369</v>
      </c>
      <c r="B44" s="239">
        <f>SUM(C44:D44)</f>
        <v>0</v>
      </c>
      <c r="C44" s="305"/>
      <c r="D44" s="305"/>
      <c r="E44" s="274"/>
      <c r="F44" s="239"/>
      <c r="G44" s="239"/>
      <c r="H44" s="242"/>
      <c r="I44" s="242"/>
      <c r="J44" s="242"/>
      <c r="K44" s="242"/>
      <c r="L44" s="107"/>
    </row>
    <row r="45" spans="1:12" ht="12.75">
      <c r="A45" s="182" t="s">
        <v>211</v>
      </c>
      <c r="B45" s="239">
        <f aca="true" t="shared" si="5" ref="B45:B51">SUM(C45:D45)</f>
        <v>0</v>
      </c>
      <c r="C45" s="304"/>
      <c r="D45" s="305"/>
      <c r="E45" s="239"/>
      <c r="F45" s="239"/>
      <c r="G45" s="239"/>
      <c r="H45" s="242">
        <v>710932.44</v>
      </c>
      <c r="I45" s="242"/>
      <c r="J45" s="242"/>
      <c r="K45" s="242"/>
      <c r="L45" s="243"/>
    </row>
    <row r="46" spans="1:12" ht="12.75">
      <c r="A46" s="182" t="s">
        <v>185</v>
      </c>
      <c r="B46" s="239">
        <f t="shared" si="5"/>
        <v>0</v>
      </c>
      <c r="C46" s="304"/>
      <c r="D46" s="305"/>
      <c r="E46" s="239"/>
      <c r="F46" s="239"/>
      <c r="G46" s="239">
        <v>0</v>
      </c>
      <c r="H46" s="242"/>
      <c r="I46" s="242"/>
      <c r="J46" s="242"/>
      <c r="K46" s="242"/>
      <c r="L46" s="243"/>
    </row>
    <row r="47" spans="1:12" ht="12.75">
      <c r="A47" s="182" t="s">
        <v>286</v>
      </c>
      <c r="B47" s="239">
        <f t="shared" si="5"/>
        <v>0</v>
      </c>
      <c r="C47" s="304"/>
      <c r="D47" s="305"/>
      <c r="E47" s="239"/>
      <c r="F47" s="239"/>
      <c r="G47" s="239">
        <v>0</v>
      </c>
      <c r="H47" s="242">
        <v>447612</v>
      </c>
      <c r="I47" s="242"/>
      <c r="J47" s="242"/>
      <c r="K47" s="242"/>
      <c r="L47" s="243"/>
    </row>
    <row r="48" spans="1:12" ht="12.75">
      <c r="A48" s="182" t="s">
        <v>267</v>
      </c>
      <c r="B48" s="239">
        <f t="shared" si="5"/>
        <v>0</v>
      </c>
      <c r="C48" s="304"/>
      <c r="D48" s="305"/>
      <c r="E48" s="239"/>
      <c r="F48" s="239"/>
      <c r="G48" s="239"/>
      <c r="H48" s="242"/>
      <c r="I48" s="242"/>
      <c r="J48" s="242">
        <v>0</v>
      </c>
      <c r="K48" s="242"/>
      <c r="L48" s="243"/>
    </row>
    <row r="49" spans="1:12" ht="12.75">
      <c r="A49" s="181" t="s">
        <v>141</v>
      </c>
      <c r="B49" s="239">
        <f t="shared" si="5"/>
        <v>0</v>
      </c>
      <c r="C49" s="305"/>
      <c r="D49" s="305"/>
      <c r="E49" s="239">
        <v>0</v>
      </c>
      <c r="F49" s="239"/>
      <c r="G49" s="239"/>
      <c r="H49" s="242"/>
      <c r="I49" s="242"/>
      <c r="J49" s="242"/>
      <c r="K49" s="242"/>
      <c r="L49" s="243"/>
    </row>
    <row r="50" spans="1:12" ht="12.75">
      <c r="A50" s="181" t="s">
        <v>142</v>
      </c>
      <c r="B50" s="239">
        <f t="shared" si="5"/>
        <v>0</v>
      </c>
      <c r="C50" s="305"/>
      <c r="D50" s="305"/>
      <c r="E50" s="239">
        <v>371</v>
      </c>
      <c r="F50" s="239">
        <v>517</v>
      </c>
      <c r="G50" s="239"/>
      <c r="H50" s="242"/>
      <c r="I50" s="242"/>
      <c r="J50" s="242"/>
      <c r="K50" s="242"/>
      <c r="L50" s="243"/>
    </row>
    <row r="51" spans="1:12" ht="12.75">
      <c r="A51" s="182" t="s">
        <v>265</v>
      </c>
      <c r="B51" s="239">
        <f t="shared" si="5"/>
        <v>0</v>
      </c>
      <c r="C51" s="304"/>
      <c r="D51" s="305"/>
      <c r="E51" s="239"/>
      <c r="F51" s="239"/>
      <c r="G51" s="239"/>
      <c r="H51" s="242"/>
      <c r="I51" s="242"/>
      <c r="J51" s="242">
        <v>195895.63</v>
      </c>
      <c r="K51" s="242">
        <v>280151.35</v>
      </c>
      <c r="L51" s="243">
        <v>35000</v>
      </c>
    </row>
    <row r="52" spans="1:12" ht="12.75">
      <c r="A52" s="182" t="s">
        <v>264</v>
      </c>
      <c r="B52" s="239">
        <f>SUM(C52:D52)</f>
        <v>0</v>
      </c>
      <c r="C52" s="239">
        <f>SUM(D52:E52)</f>
        <v>0</v>
      </c>
      <c r="D52" s="239">
        <f>SUM(E52:F52)</f>
        <v>0</v>
      </c>
      <c r="E52" s="239"/>
      <c r="F52" s="239"/>
      <c r="G52" s="239"/>
      <c r="H52" s="242"/>
      <c r="I52" s="242"/>
      <c r="J52" s="242">
        <v>0</v>
      </c>
      <c r="K52" s="242"/>
      <c r="L52" s="243"/>
    </row>
    <row r="53" spans="1:12" ht="12.75">
      <c r="A53" s="333" t="s">
        <v>370</v>
      </c>
      <c r="B53" s="239">
        <f>SUM(C53:D53)</f>
        <v>0</v>
      </c>
      <c r="C53" s="305"/>
      <c r="D53" s="305"/>
      <c r="E53" s="274"/>
      <c r="F53" s="239"/>
      <c r="G53" s="239"/>
      <c r="H53" s="242"/>
      <c r="I53" s="242"/>
      <c r="J53" s="242"/>
      <c r="K53" s="242"/>
      <c r="L53" s="107"/>
    </row>
    <row r="54" spans="1:12" ht="12.75">
      <c r="A54" s="182" t="s">
        <v>160</v>
      </c>
      <c r="B54" s="239">
        <f aca="true" t="shared" si="6" ref="B54:B60">SUM(C54:D54)</f>
        <v>0</v>
      </c>
      <c r="C54" s="304"/>
      <c r="D54" s="305"/>
      <c r="E54" s="239"/>
      <c r="F54" s="239">
        <v>896</v>
      </c>
      <c r="G54" s="239"/>
      <c r="H54" s="242"/>
      <c r="I54" s="242"/>
      <c r="J54" s="242"/>
      <c r="K54" s="242"/>
      <c r="L54" s="243"/>
    </row>
    <row r="55" spans="1:12" ht="12.75">
      <c r="A55" s="182" t="s">
        <v>209</v>
      </c>
      <c r="B55" s="239">
        <f t="shared" si="6"/>
        <v>0</v>
      </c>
      <c r="C55" s="304"/>
      <c r="D55" s="305"/>
      <c r="E55" s="239"/>
      <c r="F55" s="239"/>
      <c r="G55" s="239"/>
      <c r="H55" s="242">
        <v>3710123.26</v>
      </c>
      <c r="I55" s="242"/>
      <c r="J55" s="242">
        <v>1111985.1</v>
      </c>
      <c r="K55" s="242">
        <v>1705193.2</v>
      </c>
      <c r="L55" s="243">
        <v>1295362.39</v>
      </c>
    </row>
    <row r="56" spans="1:12" ht="12.75">
      <c r="A56" s="227" t="s">
        <v>82</v>
      </c>
      <c r="B56" s="239">
        <f t="shared" si="6"/>
        <v>8</v>
      </c>
      <c r="C56" s="304">
        <v>8</v>
      </c>
      <c r="D56" s="305">
        <v>0</v>
      </c>
      <c r="E56" s="307">
        <v>0</v>
      </c>
      <c r="F56" s="307"/>
      <c r="G56" s="239"/>
      <c r="H56" s="242"/>
      <c r="I56" s="242">
        <v>298947.9</v>
      </c>
      <c r="J56" s="242"/>
      <c r="K56" s="242"/>
      <c r="L56" s="243"/>
    </row>
    <row r="57" spans="1:12" ht="12.75">
      <c r="A57" s="227" t="s">
        <v>80</v>
      </c>
      <c r="B57" s="239">
        <f t="shared" si="6"/>
        <v>86</v>
      </c>
      <c r="C57" s="305">
        <v>1</v>
      </c>
      <c r="D57" s="305">
        <v>85</v>
      </c>
      <c r="E57" s="307">
        <v>0</v>
      </c>
      <c r="F57" s="307"/>
      <c r="G57" s="239"/>
      <c r="H57" s="242"/>
      <c r="I57" s="242"/>
      <c r="J57" s="242"/>
      <c r="K57" s="242"/>
      <c r="L57" s="243"/>
    </row>
    <row r="58" spans="1:12" ht="12.75">
      <c r="A58" s="182" t="s">
        <v>266</v>
      </c>
      <c r="B58" s="239">
        <f t="shared" si="6"/>
        <v>0</v>
      </c>
      <c r="C58" s="304"/>
      <c r="D58" s="305"/>
      <c r="E58" s="239"/>
      <c r="F58" s="239"/>
      <c r="G58" s="239"/>
      <c r="H58" s="242"/>
      <c r="I58" s="242"/>
      <c r="J58" s="242">
        <v>380149.11</v>
      </c>
      <c r="K58" s="242">
        <v>938492.95</v>
      </c>
      <c r="L58" s="243">
        <v>806775.65</v>
      </c>
    </row>
    <row r="59" spans="1:12" ht="12.75">
      <c r="A59" s="182" t="s">
        <v>184</v>
      </c>
      <c r="B59" s="239">
        <f t="shared" si="6"/>
        <v>0</v>
      </c>
      <c r="C59" s="304"/>
      <c r="D59" s="305"/>
      <c r="E59" s="239"/>
      <c r="F59" s="239"/>
      <c r="G59" s="239">
        <v>4</v>
      </c>
      <c r="H59" s="242">
        <v>188225</v>
      </c>
      <c r="I59" s="242"/>
      <c r="J59" s="242">
        <v>121599.5</v>
      </c>
      <c r="K59" s="243"/>
      <c r="L59" s="243"/>
    </row>
    <row r="60" spans="1:12" ht="12.75">
      <c r="A60" s="182" t="s">
        <v>162</v>
      </c>
      <c r="B60" s="239">
        <f t="shared" si="6"/>
        <v>0</v>
      </c>
      <c r="C60" s="304"/>
      <c r="D60" s="305"/>
      <c r="E60" s="239"/>
      <c r="F60" s="239">
        <v>254</v>
      </c>
      <c r="G60" s="239"/>
      <c r="H60" s="242"/>
      <c r="I60" s="242"/>
      <c r="J60" s="242"/>
      <c r="K60" s="242"/>
      <c r="L60" s="243"/>
    </row>
    <row r="61" spans="1:12" ht="12.75">
      <c r="A61" s="14" t="s">
        <v>1</v>
      </c>
      <c r="B61" s="309">
        <f aca="true" t="shared" si="7" ref="B61:L61">SUM(B42:B60)</f>
        <v>94</v>
      </c>
      <c r="C61" s="309">
        <f t="shared" si="7"/>
        <v>9</v>
      </c>
      <c r="D61" s="309">
        <f t="shared" si="7"/>
        <v>85</v>
      </c>
      <c r="E61" s="309">
        <f t="shared" si="7"/>
        <v>371</v>
      </c>
      <c r="F61" s="309">
        <f t="shared" si="7"/>
        <v>2047</v>
      </c>
      <c r="G61" s="309">
        <f t="shared" si="7"/>
        <v>4</v>
      </c>
      <c r="H61" s="244">
        <f t="shared" si="7"/>
        <v>6603701.899999999</v>
      </c>
      <c r="I61" s="244">
        <f t="shared" si="7"/>
        <v>298947.9</v>
      </c>
      <c r="J61" s="244">
        <f t="shared" si="7"/>
        <v>2871960.13</v>
      </c>
      <c r="K61" s="244">
        <f t="shared" si="7"/>
        <v>4496838.41</v>
      </c>
      <c r="L61" s="404">
        <f t="shared" si="7"/>
        <v>3195677.3</v>
      </c>
    </row>
    <row r="62" spans="6:12" ht="12.75">
      <c r="F62" s="12"/>
      <c r="H62" s="12"/>
      <c r="I62" s="12"/>
      <c r="J62" s="12"/>
      <c r="K62" s="12"/>
      <c r="L62" s="144"/>
    </row>
    <row r="63" spans="1:12" ht="12.75">
      <c r="A63" s="1" t="s">
        <v>261</v>
      </c>
      <c r="B63" s="1"/>
      <c r="C63" s="175"/>
      <c r="D63" s="176"/>
      <c r="E63" s="177"/>
      <c r="F63" s="178"/>
      <c r="G63" s="178"/>
      <c r="H63" s="178"/>
      <c r="I63" s="178"/>
      <c r="J63" s="178"/>
      <c r="K63" s="178"/>
      <c r="L63" s="403"/>
    </row>
    <row r="64" spans="1:12" ht="12.75">
      <c r="A64" s="227" t="s">
        <v>143</v>
      </c>
      <c r="B64" s="239">
        <f aca="true" t="shared" si="8" ref="B64:B72">SUM(C64:D64)</f>
        <v>0</v>
      </c>
      <c r="C64" s="304"/>
      <c r="D64" s="305"/>
      <c r="E64" s="274">
        <v>29</v>
      </c>
      <c r="F64" s="239"/>
      <c r="G64" s="239"/>
      <c r="H64" s="242"/>
      <c r="I64" s="242"/>
      <c r="J64" s="242"/>
      <c r="K64" s="242"/>
      <c r="L64" s="243"/>
    </row>
    <row r="65" spans="1:12" ht="12.75">
      <c r="A65" s="182" t="s">
        <v>185</v>
      </c>
      <c r="B65" s="239">
        <f t="shared" si="8"/>
        <v>0</v>
      </c>
      <c r="C65" s="304"/>
      <c r="D65" s="305"/>
      <c r="E65" s="274"/>
      <c r="F65" s="239"/>
      <c r="G65" s="239"/>
      <c r="H65" s="242"/>
      <c r="I65" s="242"/>
      <c r="J65" s="242"/>
      <c r="K65" s="242"/>
      <c r="L65" s="243"/>
    </row>
    <row r="66" spans="1:12" ht="12.75">
      <c r="A66" s="182" t="s">
        <v>287</v>
      </c>
      <c r="B66" s="239">
        <f t="shared" si="8"/>
        <v>0</v>
      </c>
      <c r="C66" s="304"/>
      <c r="D66" s="305"/>
      <c r="E66" s="274"/>
      <c r="F66" s="239">
        <v>0</v>
      </c>
      <c r="G66" s="239">
        <v>2000</v>
      </c>
      <c r="H66" s="242">
        <v>2100000</v>
      </c>
      <c r="I66" s="242"/>
      <c r="J66" s="242"/>
      <c r="K66" s="242"/>
      <c r="L66" s="243"/>
    </row>
    <row r="67" spans="1:12" ht="12.75">
      <c r="A67" s="227" t="s">
        <v>146</v>
      </c>
      <c r="B67" s="239">
        <f t="shared" si="8"/>
        <v>0</v>
      </c>
      <c r="C67" s="304">
        <v>0</v>
      </c>
      <c r="D67" s="305">
        <v>0</v>
      </c>
      <c r="E67" s="274">
        <v>6</v>
      </c>
      <c r="F67" s="239">
        <v>33</v>
      </c>
      <c r="G67" s="239"/>
      <c r="H67" s="242">
        <v>2480000</v>
      </c>
      <c r="I67" s="242"/>
      <c r="J67" s="242"/>
      <c r="K67" s="242"/>
      <c r="L67" s="243"/>
    </row>
    <row r="68" spans="1:12" ht="12.75">
      <c r="A68" s="182" t="s">
        <v>187</v>
      </c>
      <c r="B68" s="239">
        <f t="shared" si="8"/>
        <v>0</v>
      </c>
      <c r="C68" s="304"/>
      <c r="D68" s="305"/>
      <c r="E68" s="274"/>
      <c r="F68" s="239"/>
      <c r="G68" s="239"/>
      <c r="H68" s="242"/>
      <c r="I68" s="242"/>
      <c r="J68" s="242">
        <v>2633211</v>
      </c>
      <c r="K68" s="243">
        <v>5336674.71</v>
      </c>
      <c r="L68" s="243">
        <v>100367.29</v>
      </c>
    </row>
    <row r="69" spans="1:12" ht="12.75">
      <c r="A69" s="227" t="s">
        <v>115</v>
      </c>
      <c r="B69" s="239">
        <f t="shared" si="8"/>
        <v>56</v>
      </c>
      <c r="C69" s="304">
        <v>56</v>
      </c>
      <c r="D69" s="305">
        <v>0</v>
      </c>
      <c r="E69" s="274">
        <v>6</v>
      </c>
      <c r="F69" s="239"/>
      <c r="G69" s="239"/>
      <c r="H69" s="242"/>
      <c r="I69" s="242"/>
      <c r="J69" s="242"/>
      <c r="K69" s="242"/>
      <c r="L69" s="243"/>
    </row>
    <row r="70" spans="1:12" ht="12.75">
      <c r="A70" s="182" t="s">
        <v>212</v>
      </c>
      <c r="B70" s="239">
        <f t="shared" si="8"/>
        <v>0</v>
      </c>
      <c r="C70" s="304"/>
      <c r="D70" s="305"/>
      <c r="E70" s="274"/>
      <c r="F70" s="239"/>
      <c r="G70" s="239"/>
      <c r="H70" s="242">
        <v>562751.17</v>
      </c>
      <c r="I70" s="242"/>
      <c r="J70" s="242"/>
      <c r="K70" s="242"/>
      <c r="L70" s="243"/>
    </row>
    <row r="71" spans="1:12" ht="12.75">
      <c r="A71" s="182" t="s">
        <v>163</v>
      </c>
      <c r="B71" s="239">
        <f t="shared" si="8"/>
        <v>0</v>
      </c>
      <c r="C71" s="304"/>
      <c r="D71" s="305"/>
      <c r="E71" s="274"/>
      <c r="F71" s="239">
        <v>603</v>
      </c>
      <c r="G71" s="239"/>
      <c r="H71" s="242"/>
      <c r="I71" s="242"/>
      <c r="J71" s="242"/>
      <c r="K71" s="242"/>
      <c r="L71" s="243"/>
    </row>
    <row r="72" spans="1:12" ht="12.75">
      <c r="A72" s="182" t="s">
        <v>186</v>
      </c>
      <c r="B72" s="239">
        <f t="shared" si="8"/>
        <v>0</v>
      </c>
      <c r="C72" s="304"/>
      <c r="D72" s="305"/>
      <c r="E72" s="274"/>
      <c r="F72" s="239"/>
      <c r="G72" s="239"/>
      <c r="H72" s="242"/>
      <c r="I72" s="242"/>
      <c r="J72" s="242"/>
      <c r="K72" s="242"/>
      <c r="L72" s="243"/>
    </row>
    <row r="73" spans="1:12" ht="12.75">
      <c r="A73" s="14" t="s">
        <v>1</v>
      </c>
      <c r="B73" s="309">
        <f aca="true" t="shared" si="9" ref="B73:K73">SUM(B64:B72)</f>
        <v>56</v>
      </c>
      <c r="C73" s="309">
        <f t="shared" si="9"/>
        <v>56</v>
      </c>
      <c r="D73" s="309">
        <f t="shared" si="9"/>
        <v>0</v>
      </c>
      <c r="E73" s="285">
        <f t="shared" si="9"/>
        <v>41</v>
      </c>
      <c r="F73" s="245">
        <f t="shared" si="9"/>
        <v>636</v>
      </c>
      <c r="G73" s="245">
        <f t="shared" si="9"/>
        <v>2000</v>
      </c>
      <c r="H73" s="244">
        <f t="shared" si="9"/>
        <v>5142751.17</v>
      </c>
      <c r="I73" s="244">
        <f t="shared" si="9"/>
        <v>0</v>
      </c>
      <c r="J73" s="244">
        <f t="shared" si="9"/>
        <v>2633211</v>
      </c>
      <c r="K73" s="244">
        <f t="shared" si="9"/>
        <v>5336674.71</v>
      </c>
      <c r="L73" s="404">
        <f>SUM(L64:L72)</f>
        <v>100367.29</v>
      </c>
    </row>
    <row r="74" ht="12.75">
      <c r="A74" t="str">
        <f>A39</f>
        <v>* These columns/years have been hidden in this worksheet for viewing &amp; printing purposes</v>
      </c>
    </row>
  </sheetData>
  <sheetProtection/>
  <mergeCells count="3">
    <mergeCell ref="A1:L1"/>
    <mergeCell ref="A2:L2"/>
    <mergeCell ref="A4:L4"/>
  </mergeCells>
  <printOptions/>
  <pageMargins left="0.17" right="0.17" top="0.4" bottom="0.6" header="0.24" footer="0.24"/>
  <pageSetup horizontalDpi="600" verticalDpi="600" orientation="landscape" scale="95" r:id="rId1"/>
  <headerFooter scaleWithDoc="0" alignWithMargins="0">
    <oddFooter>&amp;L&amp;6&amp;A - Results by Program Year&amp;R&amp;6printed &amp;D at &amp;T</oddFooter>
  </headerFooter>
  <rowBreaks count="1" manualBreakCount="1">
    <brk id="39" max="255" man="1"/>
  </rowBreaks>
  <ignoredErrors>
    <ignoredError sqref="C26:J26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31.28125" style="0" customWidth="1"/>
    <col min="2" max="6" width="14.8515625" style="0" customWidth="1"/>
    <col min="7" max="7" width="15.8515625" style="0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39"/>
      <c r="I1" s="439"/>
      <c r="J1" s="439"/>
      <c r="K1" s="439"/>
      <c r="L1" s="439"/>
    </row>
    <row r="2" spans="1:7" ht="12.75">
      <c r="A2" s="458" t="s">
        <v>217</v>
      </c>
      <c r="B2" s="458"/>
      <c r="C2" s="458"/>
      <c r="D2" s="458"/>
      <c r="E2" s="458"/>
      <c r="F2" s="458"/>
      <c r="G2" s="458"/>
    </row>
    <row r="3" spans="1:7" ht="12.75">
      <c r="A3" s="21"/>
      <c r="B3" s="6"/>
      <c r="C3" s="6"/>
      <c r="D3" s="6"/>
      <c r="E3" s="6"/>
      <c r="F3" s="6"/>
      <c r="G3" s="6"/>
    </row>
    <row r="4" spans="1:7" ht="25.5">
      <c r="A4" s="30" t="s">
        <v>254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</row>
    <row r="5" spans="1:7" ht="12.75">
      <c r="A5" s="18" t="s">
        <v>202</v>
      </c>
      <c r="B5" s="280">
        <v>6000000</v>
      </c>
      <c r="C5" s="280">
        <v>5940000</v>
      </c>
      <c r="D5" s="280">
        <v>3655277</v>
      </c>
      <c r="E5" s="281">
        <v>1831042.4</v>
      </c>
      <c r="F5" s="281">
        <v>216198.42</v>
      </c>
      <c r="G5" s="280">
        <f>SUM(B5:F5)</f>
        <v>17642517.82</v>
      </c>
    </row>
    <row r="6" spans="1:7" ht="12.75">
      <c r="A6" s="21"/>
      <c r="B6" s="103"/>
      <c r="C6" s="103"/>
      <c r="D6" s="103"/>
      <c r="E6" s="159"/>
      <c r="F6" s="159"/>
      <c r="G6" s="103"/>
    </row>
    <row r="7" spans="1:7" ht="12.75">
      <c r="A7" s="30" t="s">
        <v>207</v>
      </c>
      <c r="B7" s="122"/>
      <c r="C7" s="122"/>
      <c r="D7" s="122"/>
      <c r="E7" s="141"/>
      <c r="F7" s="141"/>
      <c r="G7" s="103"/>
    </row>
    <row r="8" spans="1:7" ht="12.75">
      <c r="A8" s="227" t="s">
        <v>27</v>
      </c>
      <c r="B8" s="280">
        <v>60000</v>
      </c>
      <c r="C8" s="280">
        <v>839367</v>
      </c>
      <c r="D8" s="280">
        <v>1824234.6</v>
      </c>
      <c r="E8" s="281">
        <v>1602023.91</v>
      </c>
      <c r="F8" s="281">
        <v>0</v>
      </c>
      <c r="G8" s="280">
        <f>SUM(B8:F8)</f>
        <v>4325625.51</v>
      </c>
    </row>
    <row r="9" spans="1:7" ht="12.75">
      <c r="A9" s="227" t="s">
        <v>17</v>
      </c>
      <c r="B9" s="280"/>
      <c r="C9" s="280">
        <v>2155276</v>
      </c>
      <c r="D9" s="280">
        <v>1831041.4</v>
      </c>
      <c r="E9" s="310">
        <v>229017.48</v>
      </c>
      <c r="F9" s="310">
        <v>46323.27</v>
      </c>
      <c r="G9" s="297"/>
    </row>
    <row r="10" spans="1:7" ht="12.75">
      <c r="A10" s="16" t="s">
        <v>1</v>
      </c>
      <c r="B10" s="283">
        <f>SUM(B8:B9)</f>
        <v>60000</v>
      </c>
      <c r="C10" s="283">
        <f>SUM(C8:C9)</f>
        <v>2994643</v>
      </c>
      <c r="D10" s="283">
        <f>SUM(D8:D9)</f>
        <v>3655276</v>
      </c>
      <c r="E10" s="283">
        <f>SUM(E8:E9)</f>
        <v>1831041.39</v>
      </c>
      <c r="F10" s="283">
        <f>SUM(F8:F9)</f>
        <v>46323.27</v>
      </c>
      <c r="G10" s="297"/>
    </row>
    <row r="11" spans="1:7" ht="12.75">
      <c r="A11" s="21"/>
      <c r="B11" s="40"/>
      <c r="C11" s="40"/>
      <c r="D11" s="40"/>
      <c r="E11" s="40"/>
      <c r="F11" s="40"/>
      <c r="G11" s="40"/>
    </row>
    <row r="12" spans="1:9" ht="12.75">
      <c r="A12" s="43" t="s">
        <v>5</v>
      </c>
      <c r="B12" s="63"/>
      <c r="C12" s="63"/>
      <c r="D12" s="63"/>
      <c r="E12" s="63"/>
      <c r="F12" s="63"/>
      <c r="G12" s="63"/>
      <c r="H12" s="137"/>
      <c r="I12" s="137"/>
    </row>
    <row r="13" spans="1:9" ht="12.75">
      <c r="A13" s="227" t="s">
        <v>20</v>
      </c>
      <c r="B13" s="254">
        <v>0</v>
      </c>
      <c r="C13" s="254">
        <v>0</v>
      </c>
      <c r="D13" s="254">
        <v>1</v>
      </c>
      <c r="E13" s="254">
        <v>6</v>
      </c>
      <c r="F13" s="254">
        <v>0</v>
      </c>
      <c r="G13" s="254">
        <f>SUM(B13:F13)</f>
        <v>7</v>
      </c>
      <c r="H13" s="131"/>
      <c r="I13" s="137"/>
    </row>
    <row r="14" spans="1:9" ht="12.75">
      <c r="A14" s="227" t="s">
        <v>19</v>
      </c>
      <c r="B14" s="254">
        <v>3</v>
      </c>
      <c r="C14" s="254">
        <v>6</v>
      </c>
      <c r="D14" s="254">
        <v>0</v>
      </c>
      <c r="E14" s="254">
        <v>2</v>
      </c>
      <c r="F14" s="254">
        <v>1</v>
      </c>
      <c r="G14" s="254">
        <f>SUM(B14:F14)</f>
        <v>12</v>
      </c>
      <c r="H14" s="147"/>
      <c r="I14" s="137"/>
    </row>
    <row r="15" spans="1:9" ht="12.75">
      <c r="A15" s="16" t="s">
        <v>1</v>
      </c>
      <c r="B15" s="256">
        <f>SUM(B13:B14)</f>
        <v>3</v>
      </c>
      <c r="C15" s="256">
        <f>SUM(C13:C14)</f>
        <v>6</v>
      </c>
      <c r="D15" s="256">
        <f>SUM(D13:D14)</f>
        <v>1</v>
      </c>
      <c r="E15" s="256">
        <f>SUM(E13:E14)</f>
        <v>8</v>
      </c>
      <c r="F15" s="256">
        <f>SUM(F13:F14)</f>
        <v>1</v>
      </c>
      <c r="G15" s="256">
        <f>SUM(B15:F15)</f>
        <v>19</v>
      </c>
      <c r="H15" s="137"/>
      <c r="I15" s="137"/>
    </row>
    <row r="16" spans="1:9" ht="12.75">
      <c r="A16" s="21"/>
      <c r="B16" s="58"/>
      <c r="C16" s="58"/>
      <c r="D16" s="58"/>
      <c r="E16" s="58"/>
      <c r="F16" s="58"/>
      <c r="G16" s="58"/>
      <c r="H16" s="137"/>
      <c r="I16" s="137"/>
    </row>
    <row r="17" spans="1:9" ht="12.75">
      <c r="A17" s="2"/>
      <c r="B17" s="64"/>
      <c r="C17" s="64"/>
      <c r="D17" s="64"/>
      <c r="E17" s="64"/>
      <c r="F17" s="64"/>
      <c r="G17" s="64"/>
      <c r="H17" s="137"/>
      <c r="I17" s="137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140625" style="0" customWidth="1"/>
    <col min="2" max="7" width="16.140625" style="0" customWidth="1"/>
    <col min="8" max="8" width="17.140625" style="0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58"/>
    </row>
    <row r="2" spans="1:8" ht="12.75">
      <c r="A2" s="458" t="s">
        <v>303</v>
      </c>
      <c r="B2" s="458"/>
      <c r="C2" s="458"/>
      <c r="D2" s="458"/>
      <c r="E2" s="458"/>
      <c r="F2" s="458"/>
      <c r="G2" s="458"/>
      <c r="H2" s="458"/>
    </row>
    <row r="3" spans="1:8" ht="15.75">
      <c r="A3" s="225"/>
      <c r="B3" s="225"/>
      <c r="C3" s="225"/>
      <c r="D3" s="226"/>
      <c r="E3" s="226"/>
      <c r="F3" s="226"/>
      <c r="G3" s="226"/>
      <c r="H3" s="226"/>
    </row>
    <row r="4" spans="1:8" ht="15">
      <c r="A4" s="465" t="s">
        <v>188</v>
      </c>
      <c r="B4" s="465"/>
      <c r="C4" s="465"/>
      <c r="D4" s="465"/>
      <c r="E4" s="465"/>
      <c r="F4" s="465"/>
      <c r="G4" s="465"/>
      <c r="H4" s="465"/>
    </row>
    <row r="5" spans="1:11" ht="25.5">
      <c r="A5" s="30" t="s">
        <v>206</v>
      </c>
      <c r="B5" s="106">
        <v>2008</v>
      </c>
      <c r="C5" s="106">
        <v>2009</v>
      </c>
      <c r="D5" s="106">
        <v>2010</v>
      </c>
      <c r="E5" s="106">
        <v>2011</v>
      </c>
      <c r="F5" s="215" t="s">
        <v>347</v>
      </c>
      <c r="G5" s="215" t="s">
        <v>353</v>
      </c>
      <c r="H5" s="215" t="str">
        <f>"Total "&amp;CHAR(10)&amp;B5&amp;" ~ "&amp;G5</f>
        <v>Total 
2008 ~ FY2014</v>
      </c>
      <c r="I5" s="147"/>
      <c r="J5" s="137"/>
      <c r="K5" s="137"/>
    </row>
    <row r="6" spans="1:11" ht="12.75">
      <c r="A6" s="18" t="s">
        <v>241</v>
      </c>
      <c r="B6" s="249">
        <v>3000</v>
      </c>
      <c r="C6" s="281">
        <v>24000000</v>
      </c>
      <c r="D6" s="281">
        <v>27731486.82</v>
      </c>
      <c r="E6" s="281">
        <v>35634153.38</v>
      </c>
      <c r="F6" s="281">
        <v>8364735.63</v>
      </c>
      <c r="G6" s="281">
        <v>9268556.05</v>
      </c>
      <c r="H6" s="281">
        <f>SUM(B6:G6)</f>
        <v>105001931.88</v>
      </c>
      <c r="I6" s="137"/>
      <c r="J6" s="137"/>
      <c r="K6" s="137"/>
    </row>
    <row r="7" spans="1:11" ht="7.5" customHeight="1">
      <c r="A7" s="21"/>
      <c r="B7" s="158"/>
      <c r="C7" s="158"/>
      <c r="D7" s="159"/>
      <c r="E7" s="159"/>
      <c r="F7" s="159"/>
      <c r="G7" s="159"/>
      <c r="H7" s="159"/>
      <c r="I7" s="137"/>
      <c r="J7" s="137"/>
      <c r="K7" s="137"/>
    </row>
    <row r="8" spans="1:11" ht="12.75">
      <c r="A8" s="30" t="s">
        <v>207</v>
      </c>
      <c r="B8" s="75"/>
      <c r="C8" s="75"/>
      <c r="D8" s="141"/>
      <c r="E8" s="141"/>
      <c r="F8" s="141"/>
      <c r="G8" s="141"/>
      <c r="H8" s="159"/>
      <c r="I8" s="137"/>
      <c r="J8" s="137"/>
      <c r="K8" s="137"/>
    </row>
    <row r="9" spans="1:11" ht="12.75">
      <c r="A9" s="182" t="s">
        <v>20</v>
      </c>
      <c r="B9" s="249">
        <v>36</v>
      </c>
      <c r="C9" s="281">
        <v>2480000</v>
      </c>
      <c r="D9" s="281">
        <v>3211000</v>
      </c>
      <c r="E9" s="281">
        <v>5915017</v>
      </c>
      <c r="F9" s="281">
        <v>2396179.58</v>
      </c>
      <c r="G9" s="281">
        <v>384220.38</v>
      </c>
      <c r="H9" s="281">
        <f>SUM(B9:G9)</f>
        <v>14386452.96</v>
      </c>
      <c r="I9" s="137"/>
      <c r="J9" s="137"/>
      <c r="K9" s="137"/>
    </row>
    <row r="10" spans="1:11" ht="12.75">
      <c r="A10" s="182" t="s">
        <v>19</v>
      </c>
      <c r="B10" s="249"/>
      <c r="C10" s="281">
        <v>8582000</v>
      </c>
      <c r="D10" s="281">
        <v>5551000</v>
      </c>
      <c r="E10" s="281">
        <v>6475983</v>
      </c>
      <c r="F10" s="281">
        <v>2942529.32</v>
      </c>
      <c r="G10" s="281">
        <v>2687219.38</v>
      </c>
      <c r="H10" s="311"/>
      <c r="I10" s="137"/>
      <c r="J10" s="137"/>
      <c r="K10" s="137"/>
    </row>
    <row r="11" spans="1:11" ht="12.75">
      <c r="A11" s="16" t="s">
        <v>1</v>
      </c>
      <c r="B11" s="299">
        <f aca="true" t="shared" si="0" ref="B11:G11">SUM(B9:B10)</f>
        <v>36</v>
      </c>
      <c r="C11" s="291">
        <f t="shared" si="0"/>
        <v>11062000</v>
      </c>
      <c r="D11" s="291">
        <f t="shared" si="0"/>
        <v>8762000</v>
      </c>
      <c r="E11" s="291">
        <f t="shared" si="0"/>
        <v>12391000</v>
      </c>
      <c r="F11" s="291">
        <f t="shared" si="0"/>
        <v>5338708.9</v>
      </c>
      <c r="G11" s="291">
        <f t="shared" si="0"/>
        <v>3071439.76</v>
      </c>
      <c r="H11" s="311"/>
      <c r="I11" s="137"/>
      <c r="J11" s="137"/>
      <c r="K11" s="137"/>
    </row>
    <row r="12" spans="1:11" ht="7.5" customHeight="1">
      <c r="A12" s="21"/>
      <c r="B12" s="158"/>
      <c r="C12" s="158"/>
      <c r="D12" s="63"/>
      <c r="E12" s="63"/>
      <c r="F12" s="63"/>
      <c r="G12" s="63"/>
      <c r="H12" s="63"/>
      <c r="I12" s="137"/>
      <c r="J12" s="137"/>
      <c r="K12" s="137"/>
    </row>
    <row r="13" spans="1:11" ht="12.75">
      <c r="A13" s="43" t="s">
        <v>5</v>
      </c>
      <c r="B13" s="151"/>
      <c r="C13" s="151"/>
      <c r="D13" s="63"/>
      <c r="E13" s="63"/>
      <c r="F13" s="63"/>
      <c r="G13" s="63"/>
      <c r="H13" s="63"/>
      <c r="I13" s="137"/>
      <c r="J13" s="137"/>
      <c r="K13" s="137"/>
    </row>
    <row r="14" spans="1:11" ht="12.75">
      <c r="A14" s="227" t="s">
        <v>20</v>
      </c>
      <c r="B14" s="254"/>
      <c r="C14" s="254">
        <v>0</v>
      </c>
      <c r="D14" s="254">
        <v>1</v>
      </c>
      <c r="E14" s="254">
        <v>3</v>
      </c>
      <c r="F14" s="254">
        <v>6</v>
      </c>
      <c r="G14" s="254">
        <v>0</v>
      </c>
      <c r="H14" s="312">
        <f>SUM(B14:G14)</f>
        <v>10</v>
      </c>
      <c r="I14" s="131"/>
      <c r="J14" s="137"/>
      <c r="K14" s="137"/>
    </row>
    <row r="15" spans="1:11" ht="12.75">
      <c r="A15" s="227" t="s">
        <v>19</v>
      </c>
      <c r="B15" s="254"/>
      <c r="C15" s="254">
        <v>8</v>
      </c>
      <c r="D15" s="254">
        <v>0</v>
      </c>
      <c r="E15" s="254">
        <v>6</v>
      </c>
      <c r="F15" s="254">
        <v>3</v>
      </c>
      <c r="G15" s="254">
        <v>2</v>
      </c>
      <c r="H15" s="313"/>
      <c r="I15" s="147"/>
      <c r="J15" s="137"/>
      <c r="K15" s="137"/>
    </row>
    <row r="16" spans="1:11" ht="12.75">
      <c r="A16" s="16" t="s">
        <v>1</v>
      </c>
      <c r="B16" s="256">
        <f aca="true" t="shared" si="1" ref="B16:G16">SUM(B14:B15)</f>
        <v>0</v>
      </c>
      <c r="C16" s="256">
        <f t="shared" si="1"/>
        <v>8</v>
      </c>
      <c r="D16" s="256">
        <f t="shared" si="1"/>
        <v>1</v>
      </c>
      <c r="E16" s="256">
        <f t="shared" si="1"/>
        <v>9</v>
      </c>
      <c r="F16" s="256">
        <f t="shared" si="1"/>
        <v>9</v>
      </c>
      <c r="G16" s="256">
        <f t="shared" si="1"/>
        <v>2</v>
      </c>
      <c r="H16" s="313"/>
      <c r="I16" s="147"/>
      <c r="J16" s="137"/>
      <c r="K16" s="137"/>
    </row>
    <row r="17" spans="1:8" ht="12.75">
      <c r="A17" s="21"/>
      <c r="B17" s="21"/>
      <c r="C17" s="21"/>
      <c r="D17" s="44"/>
      <c r="E17" s="44"/>
      <c r="F17" s="44"/>
      <c r="G17" s="44"/>
      <c r="H17" s="44"/>
    </row>
    <row r="18" spans="1:8" ht="15">
      <c r="A18" s="465" t="s">
        <v>302</v>
      </c>
      <c r="B18" s="465"/>
      <c r="C18" s="465"/>
      <c r="D18" s="465"/>
      <c r="E18" s="465"/>
      <c r="F18" s="465"/>
      <c r="G18" s="465"/>
      <c r="H18" s="465"/>
    </row>
    <row r="19" spans="1:8" ht="25.5">
      <c r="A19" s="30" t="s">
        <v>206</v>
      </c>
      <c r="B19" s="106">
        <f aca="true" t="shared" si="2" ref="B19:H19">B5</f>
        <v>2008</v>
      </c>
      <c r="C19" s="106">
        <f t="shared" si="2"/>
        <v>2009</v>
      </c>
      <c r="D19" s="106">
        <f t="shared" si="2"/>
        <v>2010</v>
      </c>
      <c r="E19" s="106">
        <f t="shared" si="2"/>
        <v>2011</v>
      </c>
      <c r="F19" s="215" t="str">
        <f t="shared" si="2"/>
        <v>(18 month)
2012-2013</v>
      </c>
      <c r="G19" s="215" t="str">
        <f t="shared" si="2"/>
        <v>FY2014</v>
      </c>
      <c r="H19" s="215" t="str">
        <f t="shared" si="2"/>
        <v>Total 
2008 ~ FY2014</v>
      </c>
    </row>
    <row r="20" spans="1:8" ht="12.75">
      <c r="A20" s="18" t="s">
        <v>300</v>
      </c>
      <c r="B20" s="249"/>
      <c r="C20" s="281"/>
      <c r="D20" s="281"/>
      <c r="E20" s="281">
        <v>4000000</v>
      </c>
      <c r="F20" s="281">
        <v>3440545.29</v>
      </c>
      <c r="G20" s="281">
        <v>5696319.29</v>
      </c>
      <c r="H20" s="281">
        <f>SUM(B20:G20)</f>
        <v>13136864.58</v>
      </c>
    </row>
    <row r="21" spans="1:8" ht="7.5" customHeight="1">
      <c r="A21" s="21"/>
      <c r="B21" s="21"/>
      <c r="C21" s="21"/>
      <c r="D21" s="103"/>
      <c r="E21" s="103"/>
      <c r="F21" s="159"/>
      <c r="G21" s="159"/>
      <c r="H21" s="103"/>
    </row>
    <row r="22" spans="1:8" ht="12.75">
      <c r="A22" s="30" t="s">
        <v>207</v>
      </c>
      <c r="B22" s="30"/>
      <c r="C22" s="30"/>
      <c r="D22" s="122"/>
      <c r="E22" s="122"/>
      <c r="F22" s="141"/>
      <c r="G22" s="141"/>
      <c r="H22" s="103"/>
    </row>
    <row r="23" spans="1:8" ht="12.75">
      <c r="A23" s="182" t="s">
        <v>20</v>
      </c>
      <c r="B23" s="249"/>
      <c r="C23" s="281"/>
      <c r="D23" s="281"/>
      <c r="E23" s="281">
        <v>60000</v>
      </c>
      <c r="F23" s="281">
        <v>1944226</v>
      </c>
      <c r="G23" s="281">
        <v>2658910.34</v>
      </c>
      <c r="H23" s="281">
        <f>SUM(B23:G23)</f>
        <v>4663136.34</v>
      </c>
    </row>
    <row r="24" spans="1:8" ht="12.75">
      <c r="A24" s="182" t="s">
        <v>19</v>
      </c>
      <c r="B24" s="249"/>
      <c r="C24" s="281"/>
      <c r="D24" s="281"/>
      <c r="E24" s="281">
        <v>0</v>
      </c>
      <c r="F24" s="281">
        <v>800000</v>
      </c>
      <c r="G24" s="281">
        <v>270000</v>
      </c>
      <c r="H24" s="311"/>
    </row>
    <row r="25" spans="1:8" ht="12.75">
      <c r="A25" s="16" t="s">
        <v>1</v>
      </c>
      <c r="B25" s="299"/>
      <c r="C25" s="291"/>
      <c r="D25" s="291"/>
      <c r="E25" s="291">
        <f>SUM(E23:E24)</f>
        <v>60000</v>
      </c>
      <c r="F25" s="291">
        <f>SUM(F23:F24)</f>
        <v>2744226</v>
      </c>
      <c r="G25" s="291">
        <f>SUM(G23:G24)</f>
        <v>2928910.34</v>
      </c>
      <c r="H25" s="311"/>
    </row>
    <row r="26" spans="1:8" ht="7.5" customHeight="1">
      <c r="A26" s="21"/>
      <c r="B26" s="21"/>
      <c r="C26" s="21"/>
      <c r="D26" s="40"/>
      <c r="E26" s="40"/>
      <c r="F26" s="40"/>
      <c r="G26" s="40"/>
      <c r="H26" s="40"/>
    </row>
    <row r="27" spans="1:8" ht="12.75">
      <c r="A27" s="43" t="s">
        <v>5</v>
      </c>
      <c r="B27" s="43"/>
      <c r="C27" s="43"/>
      <c r="D27" s="40"/>
      <c r="E27" s="40"/>
      <c r="F27" s="40"/>
      <c r="G27" s="40"/>
      <c r="H27" s="40"/>
    </row>
    <row r="28" spans="1:8" ht="12.75">
      <c r="A28" s="227" t="s">
        <v>20</v>
      </c>
      <c r="B28" s="254"/>
      <c r="C28" s="254"/>
      <c r="D28" s="254"/>
      <c r="E28" s="254">
        <v>0</v>
      </c>
      <c r="F28" s="254">
        <v>0</v>
      </c>
      <c r="G28" s="254">
        <v>2</v>
      </c>
      <c r="H28" s="312">
        <f>SUM(B28:G28)</f>
        <v>2</v>
      </c>
    </row>
    <row r="29" spans="1:8" ht="12.75">
      <c r="A29" s="227" t="s">
        <v>19</v>
      </c>
      <c r="B29" s="254"/>
      <c r="C29" s="254"/>
      <c r="D29" s="254"/>
      <c r="E29" s="254">
        <v>0</v>
      </c>
      <c r="F29" s="254">
        <v>3</v>
      </c>
      <c r="G29" s="254">
        <v>1</v>
      </c>
      <c r="H29" s="313"/>
    </row>
    <row r="30" spans="1:8" ht="12.75">
      <c r="A30" s="16" t="s">
        <v>1</v>
      </c>
      <c r="B30" s="256"/>
      <c r="C30" s="256"/>
      <c r="D30" s="256"/>
      <c r="E30" s="256">
        <f>SUM(E28:E29)</f>
        <v>0</v>
      </c>
      <c r="F30" s="256">
        <f>SUM(F28:F29)</f>
        <v>3</v>
      </c>
      <c r="G30" s="256">
        <f>SUM(G28:G29)</f>
        <v>3</v>
      </c>
      <c r="H30" s="313"/>
    </row>
    <row r="32" spans="1:8" ht="15">
      <c r="A32" s="466" t="s">
        <v>362</v>
      </c>
      <c r="B32" s="466"/>
      <c r="C32" s="466"/>
      <c r="D32" s="466"/>
      <c r="E32" s="466"/>
      <c r="F32" s="466"/>
      <c r="G32" s="466"/>
      <c r="H32" s="466"/>
    </row>
    <row r="33" spans="1:8" ht="25.5">
      <c r="A33" s="380" t="s">
        <v>206</v>
      </c>
      <c r="B33" s="454">
        <f aca="true" t="shared" si="3" ref="B33:H33">B5</f>
        <v>2008</v>
      </c>
      <c r="C33" s="454">
        <f t="shared" si="3"/>
        <v>2009</v>
      </c>
      <c r="D33" s="454">
        <f t="shared" si="3"/>
        <v>2010</v>
      </c>
      <c r="E33" s="454">
        <f t="shared" si="3"/>
        <v>2011</v>
      </c>
      <c r="F33" s="454" t="str">
        <f t="shared" si="3"/>
        <v>(18 month)
2012-2013</v>
      </c>
      <c r="G33" s="454" t="str">
        <f t="shared" si="3"/>
        <v>FY2014</v>
      </c>
      <c r="H33" s="454" t="str">
        <f t="shared" si="3"/>
        <v>Total 
2008 ~ FY2014</v>
      </c>
    </row>
    <row r="34" spans="1:8" ht="12.75">
      <c r="A34" s="381" t="s">
        <v>301</v>
      </c>
      <c r="B34" s="382"/>
      <c r="C34" s="383"/>
      <c r="D34" s="383"/>
      <c r="E34" s="383">
        <v>18000000</v>
      </c>
      <c r="F34" s="383">
        <v>270000</v>
      </c>
      <c r="G34" s="383">
        <v>0</v>
      </c>
      <c r="H34" s="383">
        <f>SUM(B34:G34)</f>
        <v>18270000</v>
      </c>
    </row>
    <row r="35" spans="1:8" ht="7.5" customHeight="1">
      <c r="A35" s="384"/>
      <c r="B35" s="384"/>
      <c r="C35" s="384"/>
      <c r="D35" s="385"/>
      <c r="E35" s="385"/>
      <c r="F35" s="385"/>
      <c r="G35" s="385"/>
      <c r="H35" s="385"/>
    </row>
    <row r="36" spans="1:8" ht="12.75">
      <c r="A36" s="380" t="s">
        <v>207</v>
      </c>
      <c r="B36" s="380"/>
      <c r="C36" s="380"/>
      <c r="D36" s="386"/>
      <c r="E36" s="386"/>
      <c r="F36" s="386"/>
      <c r="G36" s="386"/>
      <c r="H36" s="385"/>
    </row>
    <row r="37" spans="1:8" ht="12.75">
      <c r="A37" s="455" t="s">
        <v>20</v>
      </c>
      <c r="B37" s="382"/>
      <c r="C37" s="383"/>
      <c r="D37" s="383"/>
      <c r="E37" s="383">
        <v>360000</v>
      </c>
      <c r="F37" s="383">
        <v>270000</v>
      </c>
      <c r="G37" s="383">
        <v>0</v>
      </c>
      <c r="H37" s="383">
        <f>SUM(B37:G37)</f>
        <v>630000</v>
      </c>
    </row>
    <row r="38" spans="1:8" ht="12.75">
      <c r="A38" s="455" t="s">
        <v>19</v>
      </c>
      <c r="B38" s="382"/>
      <c r="C38" s="383"/>
      <c r="D38" s="383"/>
      <c r="E38" s="383">
        <v>0</v>
      </c>
      <c r="F38" s="383">
        <v>0</v>
      </c>
      <c r="G38" s="383">
        <v>0</v>
      </c>
      <c r="H38" s="387"/>
    </row>
    <row r="39" spans="1:8" ht="12.75">
      <c r="A39" s="449" t="s">
        <v>1</v>
      </c>
      <c r="B39" s="450"/>
      <c r="C39" s="451"/>
      <c r="D39" s="451"/>
      <c r="E39" s="451">
        <f>SUM(E37:E38)</f>
        <v>360000</v>
      </c>
      <c r="F39" s="451">
        <f>SUM(F37:F38)</f>
        <v>270000</v>
      </c>
      <c r="G39" s="451">
        <f>SUM(G37:G38)</f>
        <v>0</v>
      </c>
      <c r="H39" s="387"/>
    </row>
    <row r="40" spans="1:8" ht="7.5" customHeight="1">
      <c r="A40" s="384"/>
      <c r="B40" s="384"/>
      <c r="C40" s="384"/>
      <c r="D40" s="388"/>
      <c r="E40" s="388"/>
      <c r="F40" s="388"/>
      <c r="G40" s="388"/>
      <c r="H40" s="388"/>
    </row>
    <row r="41" spans="1:8" ht="12.75">
      <c r="A41" s="389" t="s">
        <v>5</v>
      </c>
      <c r="B41" s="389"/>
      <c r="C41" s="389"/>
      <c r="D41" s="388"/>
      <c r="E41" s="388"/>
      <c r="F41" s="388"/>
      <c r="G41" s="388"/>
      <c r="H41" s="388"/>
    </row>
    <row r="42" spans="1:8" ht="12.75">
      <c r="A42" s="452" t="s">
        <v>20</v>
      </c>
      <c r="B42" s="390"/>
      <c r="C42" s="390"/>
      <c r="D42" s="390"/>
      <c r="E42" s="390">
        <v>0</v>
      </c>
      <c r="F42" s="390">
        <v>0</v>
      </c>
      <c r="G42" s="390">
        <v>0</v>
      </c>
      <c r="H42" s="391">
        <f>SUM(B42:G42)</f>
        <v>0</v>
      </c>
    </row>
    <row r="43" spans="1:8" ht="12.75">
      <c r="A43" s="452" t="s">
        <v>19</v>
      </c>
      <c r="B43" s="390"/>
      <c r="C43" s="390"/>
      <c r="D43" s="390"/>
      <c r="E43" s="390">
        <v>0</v>
      </c>
      <c r="F43" s="390">
        <v>0</v>
      </c>
      <c r="G43" s="390">
        <v>0</v>
      </c>
      <c r="H43" s="392"/>
    </row>
    <row r="44" spans="1:8" ht="12.75">
      <c r="A44" s="449" t="s">
        <v>1</v>
      </c>
      <c r="B44" s="453"/>
      <c r="C44" s="453"/>
      <c r="D44" s="453"/>
      <c r="E44" s="453">
        <f>SUM(E42:E43)</f>
        <v>0</v>
      </c>
      <c r="F44" s="453">
        <f>SUM(F42:F43)</f>
        <v>0</v>
      </c>
      <c r="G44" s="453">
        <f>SUM(G42:G43)</f>
        <v>0</v>
      </c>
      <c r="H44" s="392"/>
    </row>
    <row r="47" spans="1:8" ht="15">
      <c r="A47" s="465" t="s">
        <v>368</v>
      </c>
      <c r="B47" s="465"/>
      <c r="C47" s="465"/>
      <c r="D47" s="465"/>
      <c r="E47" s="465"/>
      <c r="F47" s="465"/>
      <c r="G47" s="465"/>
      <c r="H47" s="465"/>
    </row>
    <row r="48" spans="1:8" ht="25.5">
      <c r="A48" s="30" t="s">
        <v>206</v>
      </c>
      <c r="B48" s="106">
        <f aca="true" t="shared" si="4" ref="B48:H48">B5</f>
        <v>2008</v>
      </c>
      <c r="C48" s="106">
        <f t="shared" si="4"/>
        <v>2009</v>
      </c>
      <c r="D48" s="106">
        <f t="shared" si="4"/>
        <v>2010</v>
      </c>
      <c r="E48" s="106">
        <f t="shared" si="4"/>
        <v>2011</v>
      </c>
      <c r="F48" s="215" t="str">
        <f t="shared" si="4"/>
        <v>(18 month)
2012-2013</v>
      </c>
      <c r="G48" s="215" t="str">
        <f t="shared" si="4"/>
        <v>FY2014</v>
      </c>
      <c r="H48" s="215" t="str">
        <f t="shared" si="4"/>
        <v>Total 
2008 ~ FY2014</v>
      </c>
    </row>
    <row r="49" spans="1:8" ht="12.75">
      <c r="A49" s="18" t="s">
        <v>368</v>
      </c>
      <c r="B49" s="249"/>
      <c r="C49" s="281"/>
      <c r="D49" s="281"/>
      <c r="E49" s="281"/>
      <c r="F49" s="281"/>
      <c r="G49" s="281">
        <v>16402510.01</v>
      </c>
      <c r="H49" s="281">
        <f>SUM(B49:G49)</f>
        <v>16402510.01</v>
      </c>
    </row>
    <row r="50" spans="1:8" ht="12.75">
      <c r="A50" s="21"/>
      <c r="B50" s="21"/>
      <c r="C50" s="21"/>
      <c r="D50" s="103"/>
      <c r="E50" s="103"/>
      <c r="F50" s="159"/>
      <c r="G50" s="159"/>
      <c r="H50" s="103"/>
    </row>
    <row r="51" spans="1:8" ht="12.75">
      <c r="A51" s="30" t="s">
        <v>207</v>
      </c>
      <c r="B51" s="30"/>
      <c r="C51" s="30"/>
      <c r="D51" s="122"/>
      <c r="E51" s="122"/>
      <c r="F51" s="141"/>
      <c r="G51" s="141"/>
      <c r="H51" s="103"/>
    </row>
    <row r="52" spans="1:8" ht="12.75">
      <c r="A52" s="182" t="s">
        <v>20</v>
      </c>
      <c r="B52" s="249"/>
      <c r="C52" s="281"/>
      <c r="D52" s="281"/>
      <c r="E52" s="281"/>
      <c r="F52" s="281"/>
      <c r="G52" s="281">
        <v>2480885.34</v>
      </c>
      <c r="H52" s="281">
        <f>SUM(B52:G52)</f>
        <v>2480885.34</v>
      </c>
    </row>
    <row r="53" spans="1:8" ht="12.75">
      <c r="A53" s="182" t="s">
        <v>19</v>
      </c>
      <c r="B53" s="249"/>
      <c r="C53" s="281"/>
      <c r="D53" s="281"/>
      <c r="E53" s="281"/>
      <c r="F53" s="281"/>
      <c r="G53" s="281">
        <v>5148960</v>
      </c>
      <c r="H53" s="311"/>
    </row>
    <row r="54" spans="1:8" ht="12.75">
      <c r="A54" s="16" t="s">
        <v>1</v>
      </c>
      <c r="B54" s="299"/>
      <c r="C54" s="291"/>
      <c r="D54" s="291"/>
      <c r="E54" s="291"/>
      <c r="F54" s="291"/>
      <c r="G54" s="291">
        <f>SUM(G52:G53)</f>
        <v>7629845.34</v>
      </c>
      <c r="H54" s="311"/>
    </row>
    <row r="55" spans="1:8" ht="12.75">
      <c r="A55" s="21"/>
      <c r="B55" s="21"/>
      <c r="C55" s="21"/>
      <c r="D55" s="40"/>
      <c r="E55" s="40"/>
      <c r="F55" s="40"/>
      <c r="G55" s="40"/>
      <c r="H55" s="40"/>
    </row>
    <row r="56" spans="1:8" ht="12.75">
      <c r="A56" s="43" t="s">
        <v>5</v>
      </c>
      <c r="B56" s="43"/>
      <c r="C56" s="43"/>
      <c r="D56" s="40"/>
      <c r="E56" s="40"/>
      <c r="F56" s="40"/>
      <c r="G56" s="40"/>
      <c r="H56" s="40"/>
    </row>
    <row r="57" spans="1:8" ht="12.75">
      <c r="A57" s="227" t="s">
        <v>20</v>
      </c>
      <c r="B57" s="254"/>
      <c r="C57" s="254"/>
      <c r="D57" s="254"/>
      <c r="E57" s="254"/>
      <c r="F57" s="254"/>
      <c r="G57" s="254">
        <v>1</v>
      </c>
      <c r="H57" s="312">
        <f>SUM(B57:G57)</f>
        <v>1</v>
      </c>
    </row>
    <row r="58" spans="1:8" ht="12.75">
      <c r="A58" s="227" t="s">
        <v>19</v>
      </c>
      <c r="B58" s="254"/>
      <c r="C58" s="254"/>
      <c r="D58" s="254"/>
      <c r="E58" s="254"/>
      <c r="F58" s="254"/>
      <c r="G58" s="254">
        <v>2</v>
      </c>
      <c r="H58" s="313"/>
    </row>
    <row r="59" spans="1:8" ht="12.75">
      <c r="A59" s="16" t="s">
        <v>1</v>
      </c>
      <c r="B59" s="256"/>
      <c r="C59" s="256"/>
      <c r="D59" s="256"/>
      <c r="E59" s="256"/>
      <c r="F59" s="256"/>
      <c r="G59" s="256">
        <f>SUM(G57:G58)</f>
        <v>3</v>
      </c>
      <c r="H59" s="313"/>
    </row>
  </sheetData>
  <sheetProtection/>
  <mergeCells count="6">
    <mergeCell ref="A2:H2"/>
    <mergeCell ref="A18:H18"/>
    <mergeCell ref="A32:H32"/>
    <mergeCell ref="A4:H4"/>
    <mergeCell ref="A47:H47"/>
    <mergeCell ref="A1:H1"/>
  </mergeCells>
  <printOptions/>
  <pageMargins left="0.17" right="0.17" top="0.4" bottom="0.6" header="0.24" footer="0.24"/>
  <pageSetup fitToHeight="1" fitToWidth="1" horizontalDpi="600" verticalDpi="600" orientation="landscape" scale="71" r:id="rId1"/>
  <headerFooter scaleWithDoc="0" alignWithMargins="0">
    <oddFooter>&amp;L&amp;6&amp;A - Results by Program Year&amp;R&amp;6printed &amp;D at 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0.7109375" style="3" customWidth="1"/>
    <col min="2" max="2" width="15.421875" style="6" bestFit="1" customWidth="1"/>
    <col min="3" max="6" width="15.421875" style="6" customWidth="1"/>
    <col min="7" max="7" width="15.421875" style="6" bestFit="1" customWidth="1"/>
    <col min="8" max="16384" width="10.7109375" style="6" customWidth="1"/>
  </cols>
  <sheetData>
    <row r="1" spans="1:8" ht="12.75">
      <c r="A1" s="458" t="s">
        <v>407</v>
      </c>
      <c r="B1" s="458"/>
      <c r="C1" s="458"/>
      <c r="D1" s="458"/>
      <c r="E1" s="458"/>
      <c r="F1" s="458"/>
      <c r="G1" s="458"/>
      <c r="H1" s="439"/>
    </row>
    <row r="2" spans="1:7" ht="12.75">
      <c r="A2" s="458" t="s">
        <v>249</v>
      </c>
      <c r="B2" s="458"/>
      <c r="C2" s="458"/>
      <c r="D2" s="458"/>
      <c r="E2" s="458"/>
      <c r="F2" s="458"/>
      <c r="G2" s="458"/>
    </row>
    <row r="3" spans="1:10" ht="12.75">
      <c r="A3" s="21"/>
      <c r="H3" s="3"/>
      <c r="I3" s="3"/>
      <c r="J3" s="3"/>
    </row>
    <row r="4" spans="1:10" ht="25.5">
      <c r="A4" s="30" t="s">
        <v>206</v>
      </c>
      <c r="B4" s="28">
        <v>2009</v>
      </c>
      <c r="C4" s="28">
        <v>2010</v>
      </c>
      <c r="D4" s="28">
        <v>2011</v>
      </c>
      <c r="E4" s="197" t="s">
        <v>347</v>
      </c>
      <c r="F4" s="197" t="s">
        <v>353</v>
      </c>
      <c r="G4" s="197" t="str">
        <f>"Total "&amp;CHAR(10)&amp;B4&amp;" ~ "&amp;F4</f>
        <v>Total 
2009 ~ FY2014</v>
      </c>
      <c r="H4" s="3"/>
      <c r="I4" s="3"/>
      <c r="J4" s="3"/>
    </row>
    <row r="5" spans="1:10" ht="12.75">
      <c r="A5" s="18" t="s">
        <v>250</v>
      </c>
      <c r="B5" s="280">
        <v>10201605</v>
      </c>
      <c r="C5" s="280">
        <v>6201605</v>
      </c>
      <c r="D5" s="280">
        <v>11282831.73</v>
      </c>
      <c r="E5" s="281">
        <v>425386.4</v>
      </c>
      <c r="F5" s="281">
        <v>256320</v>
      </c>
      <c r="G5" s="280">
        <f>SUM(B5:F5)</f>
        <v>28367748.13</v>
      </c>
      <c r="H5" s="3"/>
      <c r="I5" s="3"/>
      <c r="J5" s="3"/>
    </row>
    <row r="6" spans="1:10" ht="12.75">
      <c r="A6" s="21"/>
      <c r="B6" s="121"/>
      <c r="C6" s="121"/>
      <c r="D6" s="121"/>
      <c r="E6" s="189"/>
      <c r="F6" s="189"/>
      <c r="G6" s="121"/>
      <c r="H6" s="3"/>
      <c r="I6" s="3"/>
      <c r="J6" s="3"/>
    </row>
    <row r="7" spans="1:10" ht="12.75">
      <c r="A7" s="30" t="s">
        <v>207</v>
      </c>
      <c r="B7" s="121"/>
      <c r="C7" s="121"/>
      <c r="D7" s="121"/>
      <c r="E7" s="189"/>
      <c r="F7" s="189"/>
      <c r="G7" s="121"/>
      <c r="H7" s="3"/>
      <c r="I7" s="3"/>
      <c r="J7" s="3"/>
    </row>
    <row r="8" spans="1:7" s="3" customFormat="1" ht="12.75">
      <c r="A8" s="15" t="s">
        <v>16</v>
      </c>
      <c r="B8" s="280">
        <v>0</v>
      </c>
      <c r="C8" s="280">
        <v>0</v>
      </c>
      <c r="D8" s="280">
        <v>0</v>
      </c>
      <c r="E8" s="281">
        <v>0</v>
      </c>
      <c r="F8" s="281">
        <v>52600</v>
      </c>
      <c r="G8" s="280">
        <f>SUM(B8:F8)</f>
        <v>52600</v>
      </c>
    </row>
    <row r="9" spans="1:7" s="3" customFormat="1" ht="12.75">
      <c r="A9" s="15" t="s">
        <v>17</v>
      </c>
      <c r="B9" s="280">
        <v>0</v>
      </c>
      <c r="C9" s="280">
        <v>3856320</v>
      </c>
      <c r="D9" s="280">
        <v>3856320</v>
      </c>
      <c r="E9" s="281">
        <v>256320</v>
      </c>
      <c r="F9" s="281">
        <v>203720</v>
      </c>
      <c r="G9" s="297"/>
    </row>
    <row r="10" spans="1:7" s="3" customFormat="1" ht="12.75">
      <c r="A10" s="15" t="s">
        <v>378</v>
      </c>
      <c r="B10" s="280">
        <f>SUM(B8:B9)</f>
        <v>0</v>
      </c>
      <c r="C10" s="280">
        <f>SUM(C8:C9)</f>
        <v>3856320</v>
      </c>
      <c r="D10" s="280">
        <f>SUM(D8:D9)</f>
        <v>3856320</v>
      </c>
      <c r="E10" s="281">
        <f>SUM(E8:E9)</f>
        <v>256320</v>
      </c>
      <c r="F10" s="281">
        <f>SUM(F8:F9)</f>
        <v>256320</v>
      </c>
      <c r="G10" s="297"/>
    </row>
    <row r="11" spans="1:7" s="3" customFormat="1" ht="12.75">
      <c r="A11" s="21"/>
      <c r="B11" s="40"/>
      <c r="C11" s="40"/>
      <c r="D11" s="40"/>
      <c r="E11" s="40"/>
      <c r="F11" s="40"/>
      <c r="G11" s="40"/>
    </row>
    <row r="12" spans="1:7" s="3" customFormat="1" ht="12.75">
      <c r="A12" s="43" t="s">
        <v>5</v>
      </c>
      <c r="B12" s="40"/>
      <c r="C12" s="40"/>
      <c r="D12" s="40"/>
      <c r="E12" s="40"/>
      <c r="F12" s="40"/>
      <c r="G12" s="40"/>
    </row>
    <row r="13" spans="1:7" s="3" customFormat="1" ht="12.75">
      <c r="A13" s="15" t="s">
        <v>20</v>
      </c>
      <c r="B13" s="252">
        <v>0</v>
      </c>
      <c r="C13" s="252">
        <v>0</v>
      </c>
      <c r="D13" s="252">
        <v>0</v>
      </c>
      <c r="E13" s="252">
        <v>0</v>
      </c>
      <c r="F13" s="252">
        <v>0</v>
      </c>
      <c r="G13" s="253">
        <f>SUM(B13:F13)</f>
        <v>0</v>
      </c>
    </row>
    <row r="14" spans="1:8" s="3" customFormat="1" ht="12.75">
      <c r="A14" s="15" t="s">
        <v>19</v>
      </c>
      <c r="B14" s="252">
        <v>0</v>
      </c>
      <c r="C14" s="254">
        <v>0</v>
      </c>
      <c r="D14" s="254">
        <v>0</v>
      </c>
      <c r="E14" s="254">
        <v>0</v>
      </c>
      <c r="F14" s="254">
        <v>1</v>
      </c>
      <c r="G14" s="272"/>
      <c r="H14" s="131"/>
    </row>
    <row r="15" spans="1:7" s="3" customFormat="1" ht="12.75">
      <c r="A15" s="15" t="s">
        <v>18</v>
      </c>
      <c r="B15" s="252">
        <f>SUM(B13:B14)</f>
        <v>0</v>
      </c>
      <c r="C15" s="252">
        <f>SUM(C13:C14)</f>
        <v>0</v>
      </c>
      <c r="D15" s="252">
        <f>SUM(D13:D14)</f>
        <v>0</v>
      </c>
      <c r="E15" s="252">
        <f>SUM(E13:E14)</f>
        <v>0</v>
      </c>
      <c r="F15" s="252">
        <f>SUM(F13:F14)</f>
        <v>1</v>
      </c>
      <c r="G15" s="272"/>
    </row>
    <row r="16" spans="1:7" s="3" customFormat="1" ht="12.75">
      <c r="A16" s="21"/>
      <c r="B16" s="44"/>
      <c r="C16" s="44"/>
      <c r="D16" s="44"/>
      <c r="E16" s="44"/>
      <c r="F16" s="44"/>
      <c r="G16" s="44"/>
    </row>
    <row r="17" spans="1:7" s="3" customFormat="1" ht="12.75">
      <c r="A17" s="50" t="s">
        <v>247</v>
      </c>
      <c r="B17" s="40"/>
      <c r="C17" s="40"/>
      <c r="D17" s="40"/>
      <c r="E17" s="40"/>
      <c r="F17" s="40"/>
      <c r="G17" s="40"/>
    </row>
    <row r="18" spans="1:7" s="3" customFormat="1" ht="12.75">
      <c r="A18" s="43" t="s">
        <v>61</v>
      </c>
      <c r="B18" s="45" t="s">
        <v>8</v>
      </c>
      <c r="C18" s="45" t="s">
        <v>8</v>
      </c>
      <c r="D18" s="45" t="s">
        <v>8</v>
      </c>
      <c r="E18" s="45" t="s">
        <v>8</v>
      </c>
      <c r="F18" s="45" t="s">
        <v>8</v>
      </c>
      <c r="G18" s="40" t="s">
        <v>8</v>
      </c>
    </row>
    <row r="19" spans="1:7" ht="12.75">
      <c r="A19" s="15" t="s">
        <v>177</v>
      </c>
      <c r="B19" s="252">
        <v>0</v>
      </c>
      <c r="C19" s="252">
        <v>0</v>
      </c>
      <c r="D19" s="252">
        <v>0</v>
      </c>
      <c r="E19" s="252">
        <v>0</v>
      </c>
      <c r="F19" s="252">
        <v>13924</v>
      </c>
      <c r="G19" s="253">
        <f>SUM(B19:F19)</f>
        <v>13924</v>
      </c>
    </row>
    <row r="20" spans="1:7" ht="12.75">
      <c r="A20" s="15" t="s">
        <v>376</v>
      </c>
      <c r="B20" s="252">
        <v>0</v>
      </c>
      <c r="C20" s="252">
        <v>0</v>
      </c>
      <c r="D20" s="252">
        <v>0</v>
      </c>
      <c r="E20" s="252">
        <v>0</v>
      </c>
      <c r="F20" s="252">
        <v>278480</v>
      </c>
      <c r="G20" s="253">
        <f>SUM(B20:F20)</f>
        <v>278480</v>
      </c>
    </row>
    <row r="21" spans="1:7" ht="12.75">
      <c r="A21" s="21"/>
      <c r="B21" s="44"/>
      <c r="C21" s="44"/>
      <c r="D21" s="44"/>
      <c r="E21" s="44"/>
      <c r="F21" s="44"/>
      <c r="G21" s="44"/>
    </row>
    <row r="22" spans="1:7" ht="12.75">
      <c r="A22" s="43" t="s">
        <v>456</v>
      </c>
      <c r="B22" s="85" t="s">
        <v>9</v>
      </c>
      <c r="C22" s="85" t="s">
        <v>9</v>
      </c>
      <c r="D22" s="44" t="s">
        <v>9</v>
      </c>
      <c r="E22" s="44" t="s">
        <v>9</v>
      </c>
      <c r="F22" s="44" t="s">
        <v>9</v>
      </c>
      <c r="G22" s="44" t="s">
        <v>9</v>
      </c>
    </row>
    <row r="23" spans="1:7" ht="12.75">
      <c r="A23" s="15" t="s">
        <v>377</v>
      </c>
      <c r="B23" s="252">
        <v>0</v>
      </c>
      <c r="C23" s="252">
        <v>0</v>
      </c>
      <c r="D23" s="252">
        <v>0</v>
      </c>
      <c r="E23" s="252">
        <v>0</v>
      </c>
      <c r="F23" s="252">
        <v>2000</v>
      </c>
      <c r="G23" s="253">
        <f>SUM(B23:F23)</f>
        <v>2000</v>
      </c>
    </row>
    <row r="24" spans="1:7" ht="12.75">
      <c r="A24" s="40"/>
      <c r="B24" s="44"/>
      <c r="C24" s="44"/>
      <c r="D24" s="44"/>
      <c r="E24" s="44"/>
      <c r="F24" s="44"/>
      <c r="G24" s="44"/>
    </row>
    <row r="26" ht="12.75">
      <c r="A26" s="61" t="s">
        <v>248</v>
      </c>
    </row>
    <row r="27" spans="1:7" ht="12.75">
      <c r="A27" s="43" t="s">
        <v>61</v>
      </c>
      <c r="B27" s="45" t="s">
        <v>8</v>
      </c>
      <c r="C27" s="45" t="s">
        <v>8</v>
      </c>
      <c r="D27" s="45" t="s">
        <v>8</v>
      </c>
      <c r="E27" s="45" t="s">
        <v>8</v>
      </c>
      <c r="F27" s="45" t="s">
        <v>8</v>
      </c>
      <c r="G27" s="40"/>
    </row>
    <row r="28" spans="1:13" ht="12.75">
      <c r="A28" s="15" t="s">
        <v>177</v>
      </c>
      <c r="B28" s="252">
        <v>0</v>
      </c>
      <c r="C28" s="252">
        <v>34156</v>
      </c>
      <c r="D28" s="252">
        <v>23926</v>
      </c>
      <c r="E28" s="254">
        <v>13924</v>
      </c>
      <c r="F28" s="254">
        <v>0</v>
      </c>
      <c r="G28" s="85"/>
      <c r="H28" s="65"/>
      <c r="I28" s="65"/>
      <c r="J28" s="65"/>
      <c r="K28" s="65"/>
      <c r="L28" s="65"/>
      <c r="M28" s="65"/>
    </row>
    <row r="29" spans="1:13" ht="12.75">
      <c r="A29" s="15" t="s">
        <v>376</v>
      </c>
      <c r="B29" s="252">
        <v>0</v>
      </c>
      <c r="C29" s="252">
        <v>740720</v>
      </c>
      <c r="D29" s="252">
        <v>528530</v>
      </c>
      <c r="E29" s="254">
        <v>278480</v>
      </c>
      <c r="F29" s="254">
        <v>0</v>
      </c>
      <c r="G29" s="85"/>
      <c r="H29" s="65"/>
      <c r="I29" s="65"/>
      <c r="J29" s="65"/>
      <c r="K29" s="65"/>
      <c r="L29" s="65"/>
      <c r="M29" s="65"/>
    </row>
    <row r="30" spans="1:13" ht="12.75">
      <c r="A30" s="21"/>
      <c r="B30" s="44"/>
      <c r="C30" s="44"/>
      <c r="D30" s="44"/>
      <c r="E30" s="58"/>
      <c r="F30" s="58"/>
      <c r="G30" s="44"/>
      <c r="H30" s="160"/>
      <c r="I30" s="65"/>
      <c r="J30" s="65"/>
      <c r="K30" s="65"/>
      <c r="L30" s="65"/>
      <c r="M30" s="65"/>
    </row>
    <row r="31" spans="1:13" ht="12.75">
      <c r="A31" s="43" t="s">
        <v>456</v>
      </c>
      <c r="B31" s="85" t="s">
        <v>9</v>
      </c>
      <c r="C31" s="85" t="s">
        <v>9</v>
      </c>
      <c r="D31" s="44" t="s">
        <v>9</v>
      </c>
      <c r="E31" s="58" t="s">
        <v>9</v>
      </c>
      <c r="F31" s="58" t="s">
        <v>9</v>
      </c>
      <c r="G31" s="44"/>
      <c r="H31" s="136"/>
      <c r="I31" s="65"/>
      <c r="J31" s="65"/>
      <c r="K31" s="65"/>
      <c r="L31" s="65"/>
      <c r="M31" s="65"/>
    </row>
    <row r="32" spans="1:19" ht="12.75">
      <c r="A32" s="15" t="s">
        <v>377</v>
      </c>
      <c r="B32" s="252">
        <v>0</v>
      </c>
      <c r="C32" s="252">
        <v>8000</v>
      </c>
      <c r="D32" s="252">
        <v>6500</v>
      </c>
      <c r="E32" s="254">
        <v>2000</v>
      </c>
      <c r="F32" s="254">
        <v>0</v>
      </c>
      <c r="G32" s="85"/>
      <c r="H32" s="64"/>
      <c r="I32" s="64"/>
      <c r="J32" s="64"/>
      <c r="K32" s="64"/>
      <c r="L32" s="143"/>
      <c r="M32" s="143"/>
      <c r="N32" s="9"/>
      <c r="O32" s="9"/>
      <c r="P32" s="9"/>
      <c r="Q32" s="9"/>
      <c r="R32" s="9"/>
      <c r="S32" s="9"/>
    </row>
    <row r="33" spans="1:19" ht="12.75">
      <c r="A33" s="2"/>
      <c r="B33" s="10"/>
      <c r="D33" s="10"/>
      <c r="E33" s="10"/>
      <c r="F33" s="10"/>
      <c r="G33" s="10"/>
      <c r="H33" s="10"/>
      <c r="I33" s="10"/>
      <c r="J33" s="10"/>
      <c r="K33" s="10"/>
      <c r="L33" s="9"/>
      <c r="M33" s="9"/>
      <c r="N33" s="9"/>
      <c r="O33" s="9"/>
      <c r="P33" s="9"/>
      <c r="Q33" s="9"/>
      <c r="R33" s="9"/>
      <c r="S33" s="9"/>
    </row>
    <row r="34" spans="1:19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9"/>
      <c r="M34" s="9"/>
      <c r="N34" s="9"/>
      <c r="O34" s="9"/>
      <c r="P34" s="9"/>
      <c r="Q34" s="9"/>
      <c r="R34" s="9"/>
      <c r="S34" s="9"/>
    </row>
    <row r="35" spans="1:19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2:11" ht="12.75"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8" ht="12.75">
      <c r="A37" s="6"/>
      <c r="H37" s="8"/>
    </row>
    <row r="38" ht="12.75">
      <c r="A38" s="2"/>
    </row>
    <row r="39" spans="1:11" ht="12.75">
      <c r="A39" s="2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2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2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2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ht="12.75">
      <c r="A43" s="2"/>
    </row>
    <row r="44" ht="12.75">
      <c r="A44" s="2"/>
    </row>
    <row r="45" spans="1:11" ht="12.75">
      <c r="A45" s="2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2.7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12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</row>
  </sheetData>
  <sheetProtection/>
  <mergeCells count="2">
    <mergeCell ref="A2:G2"/>
    <mergeCell ref="A1:G1"/>
  </mergeCells>
  <printOptions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8.00390625" style="3" bestFit="1" customWidth="1"/>
    <col min="2" max="2" width="11.8515625" style="6" bestFit="1" customWidth="1"/>
    <col min="3" max="3" width="11.28125" style="6" bestFit="1" customWidth="1"/>
    <col min="4" max="6" width="10.8515625" style="6" bestFit="1" customWidth="1"/>
    <col min="7" max="10" width="10.8515625" style="6" customWidth="1"/>
    <col min="11" max="11" width="13.7109375" style="6" bestFit="1" customWidth="1"/>
    <col min="12" max="16384" width="10.7109375" style="6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337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:14" ht="12.75">
      <c r="A3" s="21"/>
      <c r="L3" s="3"/>
      <c r="M3" s="3"/>
      <c r="N3" s="3"/>
    </row>
    <row r="4" spans="1:14" ht="25.5">
      <c r="A4" s="43"/>
      <c r="B4" s="28">
        <v>2005</v>
      </c>
      <c r="C4" s="28">
        <v>2006</v>
      </c>
      <c r="D4" s="28">
        <v>2007</v>
      </c>
      <c r="E4" s="28">
        <v>2008</v>
      </c>
      <c r="F4" s="28">
        <v>2009</v>
      </c>
      <c r="G4" s="28">
        <v>2010</v>
      </c>
      <c r="H4" s="28">
        <v>2011</v>
      </c>
      <c r="I4" s="197" t="s">
        <v>347</v>
      </c>
      <c r="J4" s="197" t="s">
        <v>353</v>
      </c>
      <c r="K4" s="197" t="str">
        <f>"Total "&amp;CHAR(10)&amp;B4&amp;" ~ "&amp;J4</f>
        <v>Total 
2005 ~ FY2014</v>
      </c>
      <c r="L4" s="3"/>
      <c r="M4" s="3"/>
      <c r="N4" s="3"/>
    </row>
    <row r="5" spans="1:14" ht="12.75">
      <c r="A5" s="16" t="s">
        <v>206</v>
      </c>
      <c r="B5" s="274">
        <v>3000000</v>
      </c>
      <c r="C5" s="274">
        <v>1933000</v>
      </c>
      <c r="D5" s="274">
        <v>935000</v>
      </c>
      <c r="E5" s="274">
        <v>982000</v>
      </c>
      <c r="F5" s="274">
        <v>629501</v>
      </c>
      <c r="G5" s="274">
        <v>123115.25</v>
      </c>
      <c r="H5" s="274">
        <v>68400</v>
      </c>
      <c r="I5" s="249">
        <v>32400</v>
      </c>
      <c r="J5" s="249">
        <v>0</v>
      </c>
      <c r="K5" s="274">
        <f>SUM(B5:J5)</f>
        <v>7703416.25</v>
      </c>
      <c r="L5" s="3"/>
      <c r="M5" s="3"/>
      <c r="N5" s="3"/>
    </row>
    <row r="6" spans="2:14" ht="12.75">
      <c r="B6" s="122"/>
      <c r="C6" s="122"/>
      <c r="D6" s="122"/>
      <c r="E6" s="122"/>
      <c r="F6" s="122"/>
      <c r="G6" s="122"/>
      <c r="H6" s="122"/>
      <c r="I6" s="141"/>
      <c r="J6" s="141"/>
      <c r="K6" s="103"/>
      <c r="L6" s="3"/>
      <c r="M6" s="3"/>
      <c r="N6" s="3"/>
    </row>
    <row r="7" spans="1:11" ht="12.75">
      <c r="A7" s="14" t="s">
        <v>256</v>
      </c>
      <c r="B7" s="274">
        <v>2729000</v>
      </c>
      <c r="C7" s="274">
        <v>1150000</v>
      </c>
      <c r="D7" s="274">
        <v>740000</v>
      </c>
      <c r="E7" s="274">
        <v>834000</v>
      </c>
      <c r="F7" s="274">
        <v>411884.32</v>
      </c>
      <c r="G7" s="274">
        <v>66748.64</v>
      </c>
      <c r="H7" s="274">
        <v>29209.4</v>
      </c>
      <c r="I7" s="249">
        <v>28529.94</v>
      </c>
      <c r="J7" s="249">
        <v>0</v>
      </c>
      <c r="K7" s="274">
        <f>SUM(B7:J7)</f>
        <v>5989372.300000001</v>
      </c>
    </row>
    <row r="8" spans="1:15" ht="12.75">
      <c r="A8" s="6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1" ht="12.75">
      <c r="A9" s="76" t="s">
        <v>5</v>
      </c>
      <c r="B9" s="254"/>
      <c r="C9" s="254">
        <v>8867</v>
      </c>
      <c r="D9" s="254">
        <v>13473</v>
      </c>
      <c r="E9" s="254">
        <v>14456</v>
      </c>
      <c r="F9" s="254">
        <v>14135</v>
      </c>
      <c r="G9" s="254">
        <v>8933</v>
      </c>
      <c r="H9" s="254">
        <v>10388</v>
      </c>
      <c r="I9" s="254">
        <f>9384+182</f>
        <v>9566</v>
      </c>
      <c r="J9" s="254">
        <v>0</v>
      </c>
      <c r="K9" s="130"/>
    </row>
    <row r="10" spans="1:11" ht="12.75">
      <c r="A10" s="78"/>
      <c r="B10" s="58"/>
      <c r="C10" s="58"/>
      <c r="D10" s="58"/>
      <c r="E10" s="58"/>
      <c r="F10" s="58"/>
      <c r="G10" s="58"/>
      <c r="H10" s="58"/>
      <c r="I10" s="58"/>
      <c r="J10" s="58"/>
      <c r="K10" s="44"/>
    </row>
    <row r="11" spans="1:15" ht="12.75">
      <c r="A11" s="6"/>
      <c r="B11" s="64" t="s">
        <v>8</v>
      </c>
      <c r="C11" s="64" t="s">
        <v>8</v>
      </c>
      <c r="D11" s="64" t="s">
        <v>8</v>
      </c>
      <c r="E11" s="92" t="s">
        <v>8</v>
      </c>
      <c r="F11" s="92" t="s">
        <v>8</v>
      </c>
      <c r="G11" s="92" t="s">
        <v>8</v>
      </c>
      <c r="H11" s="92" t="s">
        <v>8</v>
      </c>
      <c r="I11" s="92" t="s">
        <v>8</v>
      </c>
      <c r="J11" s="92" t="s">
        <v>8</v>
      </c>
      <c r="K11" s="92" t="s">
        <v>8</v>
      </c>
      <c r="L11" s="10"/>
      <c r="M11" s="10"/>
      <c r="N11" s="10"/>
      <c r="O11" s="10"/>
    </row>
    <row r="12" spans="1:11" ht="12.75">
      <c r="A12" s="16" t="s">
        <v>99</v>
      </c>
      <c r="B12" s="254">
        <v>0</v>
      </c>
      <c r="C12" s="254">
        <v>22189</v>
      </c>
      <c r="D12" s="254">
        <v>74091</v>
      </c>
      <c r="E12" s="254">
        <v>89220.72</v>
      </c>
      <c r="F12" s="254">
        <v>101256</v>
      </c>
      <c r="G12" s="254">
        <v>74988</v>
      </c>
      <c r="H12" s="254"/>
      <c r="I12" s="258"/>
      <c r="J12" s="258">
        <v>0</v>
      </c>
      <c r="K12" s="254">
        <f>SUM(B12:J12)</f>
        <v>361744.72</v>
      </c>
    </row>
    <row r="13" spans="1:11" ht="12.75">
      <c r="A13" s="43"/>
      <c r="B13" s="58"/>
      <c r="C13" s="58"/>
      <c r="D13" s="58"/>
      <c r="E13" s="58"/>
      <c r="F13" s="58"/>
      <c r="G13" s="58"/>
      <c r="H13" s="58"/>
      <c r="I13" s="58"/>
      <c r="J13" s="58"/>
      <c r="K13" s="44"/>
    </row>
    <row r="16" spans="4:6" ht="12.75">
      <c r="D16" s="71"/>
      <c r="E16" s="71"/>
      <c r="F16" s="71"/>
    </row>
  </sheetData>
  <sheetProtection/>
  <mergeCells count="2"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91" r:id="rId1"/>
  <headerFooter scaleWithDoc="0" alignWithMargins="0">
    <oddFooter>&amp;L&amp;6&amp;A - Results by Program Year&amp;R&amp;6printed &amp;D at &amp;T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8515625" style="0" customWidth="1"/>
    <col min="2" max="3" width="11.57421875" style="0" bestFit="1" customWidth="1"/>
    <col min="4" max="5" width="12.00390625" style="0" bestFit="1" customWidth="1"/>
    <col min="6" max="6" width="14.57421875" style="0" bestFit="1" customWidth="1"/>
    <col min="7" max="8" width="12.8515625" style="0" customWidth="1"/>
    <col min="9" max="9" width="14.00390625" style="0" bestFit="1" customWidth="1"/>
    <col min="10" max="10" width="14.00390625" style="0" customWidth="1"/>
    <col min="11" max="11" width="13.851562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1" ht="12.75">
      <c r="A2" s="458" t="s">
        <v>102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4" spans="1:11" ht="25.5">
      <c r="A4" s="1" t="s">
        <v>206</v>
      </c>
      <c r="B4" s="47">
        <v>2005</v>
      </c>
      <c r="C4" s="25">
        <v>2006</v>
      </c>
      <c r="D4" s="25">
        <v>2007</v>
      </c>
      <c r="E4" s="25">
        <v>2008</v>
      </c>
      <c r="F4" s="25">
        <v>2009</v>
      </c>
      <c r="G4" s="25">
        <v>2010</v>
      </c>
      <c r="H4" s="25">
        <v>2011</v>
      </c>
      <c r="I4" s="81" t="s">
        <v>347</v>
      </c>
      <c r="J4" s="81" t="s">
        <v>353</v>
      </c>
      <c r="K4" s="81" t="str">
        <f>"Total "&amp;CHAR(10)&amp;B4&amp;" ~ "&amp;J4</f>
        <v>Total 
2005 ~ FY2014</v>
      </c>
    </row>
    <row r="5" spans="1:12" ht="12.75">
      <c r="A5" s="84" t="s">
        <v>103</v>
      </c>
      <c r="B5" s="241">
        <v>2400</v>
      </c>
      <c r="C5" s="241">
        <v>2835</v>
      </c>
      <c r="D5" s="241">
        <v>5090</v>
      </c>
      <c r="E5" s="241">
        <v>4945</v>
      </c>
      <c r="F5" s="107">
        <v>5442254.75</v>
      </c>
      <c r="G5" s="107">
        <v>4406232.03</v>
      </c>
      <c r="H5" s="107">
        <f>3545482.04+158817</f>
        <v>3704299.04</v>
      </c>
      <c r="I5" s="107">
        <f>11541960.33+200000</f>
        <v>11741960.33</v>
      </c>
      <c r="J5" s="107">
        <f>4939530.12+100000</f>
        <v>5039530.12</v>
      </c>
      <c r="K5" s="107"/>
      <c r="L5" s="87" t="s">
        <v>268</v>
      </c>
    </row>
    <row r="6" spans="1:11" ht="12.75">
      <c r="A6" s="84" t="s">
        <v>104</v>
      </c>
      <c r="B6" s="241">
        <v>2500</v>
      </c>
      <c r="C6" s="241">
        <v>1905</v>
      </c>
      <c r="D6" s="241">
        <v>2370</v>
      </c>
      <c r="E6" s="241">
        <v>2485</v>
      </c>
      <c r="F6" s="107">
        <v>3145566.5</v>
      </c>
      <c r="G6" s="107">
        <v>3253432.25</v>
      </c>
      <c r="H6" s="107">
        <v>3673979.46</v>
      </c>
      <c r="I6" s="107">
        <v>2201668.64</v>
      </c>
      <c r="J6" s="107">
        <v>3936781.87</v>
      </c>
      <c r="K6" s="107"/>
    </row>
    <row r="7" spans="1:11" ht="12.75">
      <c r="A7" s="84" t="s">
        <v>105</v>
      </c>
      <c r="B7" s="241">
        <v>5275</v>
      </c>
      <c r="C7" s="241">
        <v>5167</v>
      </c>
      <c r="D7" s="241">
        <v>6895</v>
      </c>
      <c r="E7" s="241">
        <v>4370</v>
      </c>
      <c r="F7" s="107">
        <v>802960.57</v>
      </c>
      <c r="G7" s="107">
        <v>154185.47</v>
      </c>
      <c r="H7" s="107">
        <v>122772.31</v>
      </c>
      <c r="I7" s="107">
        <v>242772.31</v>
      </c>
      <c r="J7" s="107">
        <v>62562.78</v>
      </c>
      <c r="K7" s="107"/>
    </row>
    <row r="8" spans="1:11" ht="12.75">
      <c r="A8" s="84" t="s">
        <v>369</v>
      </c>
      <c r="B8" s="241"/>
      <c r="C8" s="241"/>
      <c r="D8" s="241"/>
      <c r="E8" s="241"/>
      <c r="F8" s="107"/>
      <c r="G8" s="107"/>
      <c r="H8" s="107"/>
      <c r="I8" s="107"/>
      <c r="J8" s="107">
        <v>60000</v>
      </c>
      <c r="K8" s="107"/>
    </row>
    <row r="9" spans="1:11" ht="12.75">
      <c r="A9" s="84" t="s">
        <v>370</v>
      </c>
      <c r="B9" s="241"/>
      <c r="C9" s="241"/>
      <c r="D9" s="241"/>
      <c r="E9" s="241"/>
      <c r="F9" s="107"/>
      <c r="G9" s="107"/>
      <c r="H9" s="107"/>
      <c r="I9" s="107"/>
      <c r="J9" s="107">
        <v>1250000</v>
      </c>
      <c r="K9" s="107"/>
    </row>
    <row r="10" spans="1:11" ht="12.75">
      <c r="A10" s="73" t="s">
        <v>1</v>
      </c>
      <c r="B10" s="241">
        <f>SUM(B5:B7)</f>
        <v>10175</v>
      </c>
      <c r="C10" s="241">
        <f>SUM(C5:C7)</f>
        <v>9907</v>
      </c>
      <c r="D10" s="241">
        <f>SUM(D5:D7)</f>
        <v>14355</v>
      </c>
      <c r="E10" s="241">
        <f>SUM(E5:E7)</f>
        <v>11800</v>
      </c>
      <c r="F10" s="107"/>
      <c r="G10" s="107"/>
      <c r="H10" s="107"/>
      <c r="I10" s="107"/>
      <c r="J10" s="107"/>
      <c r="K10" s="107"/>
    </row>
    <row r="11" spans="1:11" ht="12.75">
      <c r="A11" s="190" t="s">
        <v>205</v>
      </c>
      <c r="B11" s="251">
        <f>B10*1000</f>
        <v>10175000</v>
      </c>
      <c r="C11" s="251">
        <f>C10*1000</f>
        <v>9907000</v>
      </c>
      <c r="D11" s="251">
        <f>D10*1000</f>
        <v>14355000</v>
      </c>
      <c r="E11" s="251">
        <f>E10*1000</f>
        <v>11800000</v>
      </c>
      <c r="F11" s="236">
        <f>SUM(F5:F7)</f>
        <v>9390781.82</v>
      </c>
      <c r="G11" s="236">
        <f>SUM(G5:G7)</f>
        <v>7813849.75</v>
      </c>
      <c r="H11" s="236">
        <f>SUM(H5:H7)</f>
        <v>7501050.81</v>
      </c>
      <c r="I11" s="236">
        <f>SUM(I5:I7)</f>
        <v>14186401.280000001</v>
      </c>
      <c r="J11" s="236">
        <f>SUM(J5:J9)</f>
        <v>10348874.77</v>
      </c>
      <c r="K11" s="236">
        <f>SUM(B11:J11)</f>
        <v>95477958.42999999</v>
      </c>
    </row>
    <row r="12" spans="1:11" ht="32.25" customHeight="1">
      <c r="A12" s="467" t="s">
        <v>282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</row>
    <row r="13" spans="1:11" ht="12.75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25.5">
      <c r="A14" s="157" t="s">
        <v>207</v>
      </c>
      <c r="B14" s="191">
        <v>2005</v>
      </c>
      <c r="C14" s="148">
        <v>2006</v>
      </c>
      <c r="D14" s="148">
        <v>2007</v>
      </c>
      <c r="E14" s="148">
        <v>2008</v>
      </c>
      <c r="F14" s="148">
        <v>2009</v>
      </c>
      <c r="G14" s="148">
        <v>2010</v>
      </c>
      <c r="H14" s="148">
        <v>2011</v>
      </c>
      <c r="I14" s="210" t="str">
        <f>I4</f>
        <v>(18 month)
2012-2013</v>
      </c>
      <c r="J14" s="210" t="str">
        <f>J4</f>
        <v>FY2014</v>
      </c>
      <c r="K14" s="210" t="str">
        <f>K4</f>
        <v>Total 
2005 ~ FY2014</v>
      </c>
    </row>
    <row r="15" spans="1:12" ht="12.75">
      <c r="A15" s="84" t="s">
        <v>103</v>
      </c>
      <c r="B15" s="241">
        <v>760</v>
      </c>
      <c r="C15" s="241">
        <v>1580</v>
      </c>
      <c r="D15" s="241">
        <v>2115</v>
      </c>
      <c r="E15" s="241">
        <v>3170</v>
      </c>
      <c r="F15" s="107">
        <v>3354896.89</v>
      </c>
      <c r="G15" s="107">
        <v>3226932.99</v>
      </c>
      <c r="H15" s="107">
        <f>3265285.8+131196</f>
        <v>3396481.8</v>
      </c>
      <c r="I15" s="107">
        <f>8294767.6+0</f>
        <v>8294767.6</v>
      </c>
      <c r="J15" s="377">
        <f>3966239.66+83179.38</f>
        <v>4049419.04</v>
      </c>
      <c r="K15" s="107"/>
      <c r="L15" s="87" t="s">
        <v>268</v>
      </c>
    </row>
    <row r="16" spans="1:11" ht="12.75">
      <c r="A16" s="84" t="s">
        <v>104</v>
      </c>
      <c r="B16" s="241">
        <v>866</v>
      </c>
      <c r="C16" s="241">
        <v>1292</v>
      </c>
      <c r="D16" s="241">
        <v>1035</v>
      </c>
      <c r="E16" s="241">
        <v>748</v>
      </c>
      <c r="F16" s="107">
        <v>872435.1</v>
      </c>
      <c r="G16" s="107">
        <v>259452.79</v>
      </c>
      <c r="H16" s="107">
        <v>935193.06</v>
      </c>
      <c r="I16" s="107">
        <v>753831.77</v>
      </c>
      <c r="J16" s="377">
        <v>620375.42</v>
      </c>
      <c r="K16" s="107"/>
    </row>
    <row r="17" spans="1:11" ht="12.75">
      <c r="A17" s="84" t="s">
        <v>105</v>
      </c>
      <c r="B17" s="241">
        <v>2028</v>
      </c>
      <c r="C17" s="241">
        <v>4404</v>
      </c>
      <c r="D17" s="241">
        <v>5373</v>
      </c>
      <c r="E17" s="241">
        <v>4250</v>
      </c>
      <c r="F17" s="107">
        <v>300705.3</v>
      </c>
      <c r="G17" s="107">
        <v>51413.16</v>
      </c>
      <c r="H17" s="107">
        <v>0</v>
      </c>
      <c r="I17" s="107">
        <v>60209.53</v>
      </c>
      <c r="J17" s="107">
        <v>0</v>
      </c>
      <c r="K17" s="107"/>
    </row>
    <row r="18" spans="1:11" ht="12.75">
      <c r="A18" s="84" t="s">
        <v>369</v>
      </c>
      <c r="B18" s="241"/>
      <c r="C18" s="241"/>
      <c r="D18" s="241"/>
      <c r="E18" s="241"/>
      <c r="F18" s="107"/>
      <c r="G18" s="107"/>
      <c r="H18" s="107"/>
      <c r="I18" s="107"/>
      <c r="J18" s="107">
        <v>0</v>
      </c>
      <c r="K18" s="107"/>
    </row>
    <row r="19" spans="1:11" ht="12.75">
      <c r="A19" s="84" t="s">
        <v>370</v>
      </c>
      <c r="B19" s="241"/>
      <c r="C19" s="241"/>
      <c r="D19" s="241"/>
      <c r="E19" s="241"/>
      <c r="F19" s="107"/>
      <c r="G19" s="107"/>
      <c r="H19" s="107"/>
      <c r="I19" s="107"/>
      <c r="J19" s="107">
        <v>0</v>
      </c>
      <c r="K19" s="107"/>
    </row>
    <row r="20" spans="1:11" ht="12.75">
      <c r="A20" s="73" t="s">
        <v>1</v>
      </c>
      <c r="B20" s="241">
        <f>SUM(B15:B17)</f>
        <v>3654</v>
      </c>
      <c r="C20" s="241">
        <f>SUM(C15:C17)</f>
        <v>7276</v>
      </c>
      <c r="D20" s="241">
        <f>SUM(D15:D17)</f>
        <v>8523</v>
      </c>
      <c r="E20" s="241">
        <f>SUM(E15:E17)</f>
        <v>8168</v>
      </c>
      <c r="F20" s="107"/>
      <c r="G20" s="107"/>
      <c r="H20" s="107"/>
      <c r="I20" s="107"/>
      <c r="J20" s="107"/>
      <c r="K20" s="107"/>
    </row>
    <row r="21" spans="1:11" ht="12.75">
      <c r="A21" s="16" t="s">
        <v>205</v>
      </c>
      <c r="B21" s="245">
        <f>B20*1000</f>
        <v>3654000</v>
      </c>
      <c r="C21" s="245">
        <f>C20*1000</f>
        <v>7276000</v>
      </c>
      <c r="D21" s="245">
        <f>D20*1000</f>
        <v>8523000</v>
      </c>
      <c r="E21" s="245">
        <f>E20*1000</f>
        <v>8168000</v>
      </c>
      <c r="F21" s="214">
        <f>SUM(F15:F17)</f>
        <v>4528037.29</v>
      </c>
      <c r="G21" s="214">
        <f>SUM(G15:G17)</f>
        <v>3537798.9400000004</v>
      </c>
      <c r="H21" s="214">
        <f>SUM(H15:H17)</f>
        <v>4331674.859999999</v>
      </c>
      <c r="I21" s="214">
        <f>SUM(I15:I17)</f>
        <v>9108808.899999999</v>
      </c>
      <c r="J21" s="214">
        <f>SUM(J15:J19)</f>
        <v>4669794.46</v>
      </c>
      <c r="K21" s="214">
        <f>SUM(B21:J21)</f>
        <v>53797114.449999996</v>
      </c>
    </row>
    <row r="22" spans="6:10" ht="12.75">
      <c r="F22" s="104"/>
      <c r="G22" s="104"/>
      <c r="H22" s="104"/>
      <c r="I22" s="104"/>
      <c r="J22" s="104"/>
    </row>
  </sheetData>
  <sheetProtection/>
  <mergeCells count="3">
    <mergeCell ref="A12:K12"/>
    <mergeCell ref="A2:K2"/>
    <mergeCell ref="A1:K1"/>
  </mergeCells>
  <printOptions/>
  <pageMargins left="0.17" right="0.17" top="0.4" bottom="0.6" header="0.24" footer="0.24"/>
  <pageSetup fitToHeight="1" fitToWidth="1" horizontalDpi="600" verticalDpi="600" orientation="landscape" scale="87" r:id="rId1"/>
  <headerFooter scaleWithDoc="0" alignWithMargins="0">
    <oddFooter>&amp;L&amp;6&amp;A - Results by Program Year&amp;R&amp;6printed &amp;D at &amp;T</oddFooter>
  </headerFooter>
  <ignoredErrors>
    <ignoredError sqref="B10:E10 B20:E20 F11:H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8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0" customWidth="1"/>
    <col min="2" max="2" width="14.140625" style="118" bestFit="1" customWidth="1"/>
    <col min="3" max="3" width="11.8515625" style="0" hidden="1" customWidth="1"/>
    <col min="4" max="4" width="13.00390625" style="0" hidden="1" customWidth="1"/>
    <col min="5" max="6" width="13.28125" style="0" hidden="1" customWidth="1"/>
    <col min="7" max="7" width="12.140625" style="0" hidden="1" customWidth="1"/>
    <col min="8" max="14" width="12.7109375" style="0" bestFit="1" customWidth="1"/>
    <col min="15" max="15" width="12.7109375" style="0" customWidth="1"/>
    <col min="16" max="16" width="17.421875" style="137" bestFit="1" customWidth="1"/>
    <col min="17" max="17" width="12.140625" style="0" bestFit="1" customWidth="1"/>
  </cols>
  <sheetData>
    <row r="1" spans="1:16" ht="12.75">
      <c r="A1" s="457" t="s">
        <v>63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tr">
        <f>"Program Summary: "&amp;C4&amp;" - "&amp;O4</f>
        <v>Program Summary: 2001 - FY2014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ht="15">
      <c r="A3" s="420" t="s">
        <v>400</v>
      </c>
    </row>
    <row r="4" spans="1:16" ht="27.75">
      <c r="A4" s="415" t="s">
        <v>253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28">
        <v>2011</v>
      </c>
      <c r="N4" s="197" t="s">
        <v>350</v>
      </c>
      <c r="O4" s="197" t="s">
        <v>353</v>
      </c>
      <c r="P4" s="197" t="str">
        <f>"Total "&amp;CHAR(10)&amp;C4&amp;" ~ "&amp;O4</f>
        <v>Total 
2001 ~ FY2014</v>
      </c>
    </row>
    <row r="5" spans="1:17" ht="12.75">
      <c r="A5" s="431" t="s">
        <v>283</v>
      </c>
      <c r="B5" s="249">
        <f>SUM(C5:G5)</f>
        <v>251936000</v>
      </c>
      <c r="C5" s="249">
        <v>35483000</v>
      </c>
      <c r="D5" s="249">
        <v>46467000</v>
      </c>
      <c r="E5" s="249">
        <f>14444000+15365000+911000+872000+4219000+303000+14756000+679000</f>
        <v>51549000</v>
      </c>
      <c r="F5" s="249">
        <v>60534000</v>
      </c>
      <c r="G5" s="249">
        <v>57903000</v>
      </c>
      <c r="H5" s="249">
        <v>56524000</v>
      </c>
      <c r="I5" s="250">
        <v>67386000</v>
      </c>
      <c r="J5" s="249">
        <f>62844000</f>
        <v>62844000</v>
      </c>
      <c r="K5" s="249">
        <f>52670164.21+30741450.93</f>
        <v>83411615.14</v>
      </c>
      <c r="L5" s="249">
        <f>85420354.49+31377188.9</f>
        <v>116797543.38999999</v>
      </c>
      <c r="M5" s="249">
        <f>59985128.88+28405761.97</f>
        <v>88390890.85</v>
      </c>
      <c r="N5" s="249">
        <f>95698921.97+48397526.8</f>
        <v>144096448.76999998</v>
      </c>
      <c r="O5" s="249">
        <f>72410949.54+31739536.69</f>
        <v>104150486.23</v>
      </c>
      <c r="P5" s="249">
        <f aca="true" t="shared" si="0" ref="P5:P13">SUM(C5:O5)</f>
        <v>975536984.38</v>
      </c>
      <c r="Q5" t="s">
        <v>262</v>
      </c>
    </row>
    <row r="6" spans="1:17" ht="12.75">
      <c r="A6" s="431" t="s">
        <v>415</v>
      </c>
      <c r="B6" s="249">
        <f aca="true" t="shared" si="1" ref="B6:B13">SUM(C6:G6)</f>
        <v>164374000</v>
      </c>
      <c r="C6" s="249">
        <f>12501000+8586000</f>
        <v>21087000</v>
      </c>
      <c r="D6" s="250">
        <f>38839000+7952000</f>
        <v>46791000</v>
      </c>
      <c r="E6" s="249">
        <f>3832000+25095000+1628000+5916000+39000+255000</f>
        <v>36765000</v>
      </c>
      <c r="F6" s="249">
        <v>32219000</v>
      </c>
      <c r="G6" s="249">
        <v>27512000</v>
      </c>
      <c r="H6" s="249">
        <f>21943000+1175000</f>
        <v>23118000</v>
      </c>
      <c r="I6" s="250">
        <f>19652000+3040000</f>
        <v>22692000</v>
      </c>
      <c r="J6" s="249">
        <f>16560000+3048000</f>
        <v>19608000</v>
      </c>
      <c r="K6" s="249">
        <f>23837277.25+3709765.51+10000000</f>
        <v>37547042.76</v>
      </c>
      <c r="L6" s="249">
        <f>36616429+298947.9</f>
        <v>36915376.9</v>
      </c>
      <c r="M6" s="249">
        <f>50068865.6+576044.74</f>
        <v>50644910.34</v>
      </c>
      <c r="N6" s="249">
        <f>91152041.87+1218644.3</f>
        <v>92370686.17</v>
      </c>
      <c r="O6" s="249">
        <v>73947195.38</v>
      </c>
      <c r="P6" s="249">
        <f t="shared" si="0"/>
        <v>521217211.55</v>
      </c>
      <c r="Q6" s="12" t="s">
        <v>263</v>
      </c>
    </row>
    <row r="7" spans="1:17" ht="12.75">
      <c r="A7" s="182" t="s">
        <v>75</v>
      </c>
      <c r="B7" s="246">
        <f t="shared" si="1"/>
        <v>416309160</v>
      </c>
      <c r="C7" s="246">
        <f>56570*1000</f>
        <v>56570000</v>
      </c>
      <c r="D7" s="246">
        <f>93258*1000</f>
        <v>93258000</v>
      </c>
      <c r="E7" s="246">
        <f>88314*1000</f>
        <v>88314000</v>
      </c>
      <c r="F7" s="246">
        <f>92753*1000</f>
        <v>92753000</v>
      </c>
      <c r="G7" s="186">
        <f>85414.16*1000</f>
        <v>85414160</v>
      </c>
      <c r="H7" s="246">
        <f>79642*1000</f>
        <v>79642000</v>
      </c>
      <c r="I7" s="186">
        <f>90078*1000</f>
        <v>90078000</v>
      </c>
      <c r="J7" s="246">
        <f>82452*1000</f>
        <v>82452000</v>
      </c>
      <c r="K7" s="246">
        <v>120958657.9</v>
      </c>
      <c r="L7" s="246">
        <v>153712920.29</v>
      </c>
      <c r="M7" s="246">
        <f>SUM(M5:M6)</f>
        <v>139035801.19</v>
      </c>
      <c r="N7" s="246">
        <f>SUM(N5:N6)</f>
        <v>236467134.94</v>
      </c>
      <c r="O7" s="246">
        <f>SUM(O5:O6)</f>
        <v>178097681.61</v>
      </c>
      <c r="P7" s="246">
        <f t="shared" si="0"/>
        <v>1496753355.9299998</v>
      </c>
      <c r="Q7" t="s">
        <v>88</v>
      </c>
    </row>
    <row r="8" spans="1:16" ht="12.75">
      <c r="A8" s="182" t="s">
        <v>367</v>
      </c>
      <c r="B8" s="246"/>
      <c r="C8" s="246"/>
      <c r="D8" s="246"/>
      <c r="E8" s="246"/>
      <c r="F8" s="246"/>
      <c r="G8" s="186"/>
      <c r="H8" s="246"/>
      <c r="I8" s="186"/>
      <c r="J8" s="246"/>
      <c r="K8" s="246"/>
      <c r="L8" s="246"/>
      <c r="M8" s="246"/>
      <c r="N8" s="246"/>
      <c r="O8" s="186">
        <v>1474906.46</v>
      </c>
      <c r="P8" s="186">
        <f t="shared" si="0"/>
        <v>1474906.46</v>
      </c>
    </row>
    <row r="9" spans="1:16" ht="12.75">
      <c r="A9" s="182" t="s">
        <v>84</v>
      </c>
      <c r="B9" s="246">
        <f t="shared" si="1"/>
        <v>67376382</v>
      </c>
      <c r="C9" s="246">
        <f>985*1000</f>
        <v>985000</v>
      </c>
      <c r="D9" s="246">
        <f>6646*1000</f>
        <v>6646000</v>
      </c>
      <c r="E9" s="246">
        <f>(9269+203)*1000</f>
        <v>9472000</v>
      </c>
      <c r="F9" s="246">
        <f>14749*1000</f>
        <v>14749000</v>
      </c>
      <c r="G9" s="246">
        <f>35524.382*1000</f>
        <v>35524382</v>
      </c>
      <c r="H9" s="246">
        <f>84279*1000</f>
        <v>84279000</v>
      </c>
      <c r="I9" s="246">
        <f>78210*1000</f>
        <v>78210000</v>
      </c>
      <c r="J9" s="246">
        <f>56930*1000</f>
        <v>56930000</v>
      </c>
      <c r="K9" s="246">
        <v>52677504.54</v>
      </c>
      <c r="L9" s="246">
        <f>57588771.13+4745714</f>
        <v>62334485.13</v>
      </c>
      <c r="M9" s="246">
        <v>38963321.6</v>
      </c>
      <c r="N9" s="186">
        <v>18003594.66</v>
      </c>
      <c r="O9" s="186">
        <v>4193889.84</v>
      </c>
      <c r="P9" s="186">
        <f t="shared" si="0"/>
        <v>462968177.77000004</v>
      </c>
    </row>
    <row r="10" spans="1:16" ht="12.75">
      <c r="A10" s="182" t="s">
        <v>270</v>
      </c>
      <c r="B10" s="246">
        <f t="shared" si="1"/>
        <v>0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>
        <v>6335017</v>
      </c>
      <c r="N10" s="186">
        <v>5268131.56</v>
      </c>
      <c r="O10" s="186">
        <v>5524016.06</v>
      </c>
      <c r="P10" s="186">
        <f t="shared" si="0"/>
        <v>17127164.619999997</v>
      </c>
    </row>
    <row r="11" spans="1:16" ht="12.75">
      <c r="A11" s="182" t="s">
        <v>102</v>
      </c>
      <c r="B11" s="246">
        <f t="shared" si="1"/>
        <v>3654000</v>
      </c>
      <c r="C11" s="246">
        <v>0</v>
      </c>
      <c r="D11" s="246">
        <v>0</v>
      </c>
      <c r="E11" s="246">
        <v>0</v>
      </c>
      <c r="F11" s="246">
        <v>0</v>
      </c>
      <c r="G11" s="246">
        <f>3654*1000</f>
        <v>3654000</v>
      </c>
      <c r="H11" s="246">
        <f>7276*1000</f>
        <v>7276000</v>
      </c>
      <c r="I11" s="246">
        <f>8523*1000</f>
        <v>8523000</v>
      </c>
      <c r="J11" s="246">
        <f>8168*1000</f>
        <v>8168000</v>
      </c>
      <c r="K11" s="246">
        <v>4528037.29</v>
      </c>
      <c r="L11" s="246">
        <v>3537798.94</v>
      </c>
      <c r="M11" s="246">
        <v>4331674.86</v>
      </c>
      <c r="N11" s="186">
        <v>9108808.9</v>
      </c>
      <c r="O11" s="186">
        <v>5511570.11</v>
      </c>
      <c r="P11" s="186">
        <f t="shared" si="0"/>
        <v>54638890.099999994</v>
      </c>
    </row>
    <row r="12" spans="1:16" ht="12.75">
      <c r="A12" s="182" t="s">
        <v>271</v>
      </c>
      <c r="B12" s="246">
        <f t="shared" si="1"/>
        <v>0</v>
      </c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>
        <v>3210125.71</v>
      </c>
      <c r="N12" s="186">
        <v>8996274.08</v>
      </c>
      <c r="O12" s="186">
        <v>7419100.21</v>
      </c>
      <c r="P12" s="186">
        <f t="shared" si="0"/>
        <v>19625500</v>
      </c>
    </row>
    <row r="13" spans="1:17" ht="12.75">
      <c r="A13" s="14" t="s">
        <v>414</v>
      </c>
      <c r="B13" s="245">
        <f t="shared" si="1"/>
        <v>487339542</v>
      </c>
      <c r="C13" s="245">
        <f aca="true" t="shared" si="2" ref="C13:K13">SUM(C7:C11)</f>
        <v>57555000</v>
      </c>
      <c r="D13" s="245">
        <f t="shared" si="2"/>
        <v>99904000</v>
      </c>
      <c r="E13" s="245">
        <f t="shared" si="2"/>
        <v>97786000</v>
      </c>
      <c r="F13" s="245">
        <f t="shared" si="2"/>
        <v>107502000</v>
      </c>
      <c r="G13" s="245">
        <f t="shared" si="2"/>
        <v>124592542</v>
      </c>
      <c r="H13" s="245">
        <f t="shared" si="2"/>
        <v>171197000</v>
      </c>
      <c r="I13" s="245">
        <f t="shared" si="2"/>
        <v>176811000</v>
      </c>
      <c r="J13" s="245">
        <f t="shared" si="2"/>
        <v>147550000</v>
      </c>
      <c r="K13" s="245">
        <f t="shared" si="2"/>
        <v>178164199.73</v>
      </c>
      <c r="L13" s="245">
        <f>SUM(L7:L11)</f>
        <v>219585204.35999998</v>
      </c>
      <c r="M13" s="245">
        <f>SUM(M7:M12)</f>
        <v>191875940.36</v>
      </c>
      <c r="N13" s="245">
        <f>SUM(N7:N12)</f>
        <v>277843944.14</v>
      </c>
      <c r="O13" s="245">
        <f>SUM(O7:O12)</f>
        <v>202221164.29000005</v>
      </c>
      <c r="P13" s="245">
        <f t="shared" si="0"/>
        <v>2052587994.8799996</v>
      </c>
      <c r="Q13" s="12"/>
    </row>
    <row r="14" spans="1:16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74"/>
    </row>
    <row r="15" spans="1:16" ht="15">
      <c r="A15" s="414" t="s">
        <v>344</v>
      </c>
      <c r="P15" s="63"/>
    </row>
    <row r="16" spans="1:16" ht="12.75">
      <c r="A16" s="30" t="s">
        <v>394</v>
      </c>
      <c r="B16" s="40" t="s">
        <v>8</v>
      </c>
      <c r="C16" s="40" t="s">
        <v>8</v>
      </c>
      <c r="D16" s="40" t="s">
        <v>8</v>
      </c>
      <c r="E16" s="40" t="s">
        <v>8</v>
      </c>
      <c r="F16" s="40" t="s">
        <v>8</v>
      </c>
      <c r="G16" s="40" t="s">
        <v>8</v>
      </c>
      <c r="H16" s="40" t="s">
        <v>8</v>
      </c>
      <c r="I16" s="40" t="s">
        <v>8</v>
      </c>
      <c r="J16" s="40" t="s">
        <v>8</v>
      </c>
      <c r="K16" s="40" t="s">
        <v>8</v>
      </c>
      <c r="L16" s="40" t="s">
        <v>8</v>
      </c>
      <c r="M16" s="40" t="s">
        <v>8</v>
      </c>
      <c r="N16" s="40" t="s">
        <v>8</v>
      </c>
      <c r="O16" s="40" t="s">
        <v>8</v>
      </c>
      <c r="P16" s="63"/>
    </row>
    <row r="17" spans="1:17" ht="12.75">
      <c r="A17" s="182" t="s">
        <v>283</v>
      </c>
      <c r="B17" s="252">
        <f>SUM(C17:G17)</f>
        <v>346778</v>
      </c>
      <c r="C17" s="252">
        <f>'Annual Savings'!C18+'Annual Savings'!C20</f>
        <v>19729</v>
      </c>
      <c r="D17" s="252">
        <f>'Annual Savings'!D18+'Annual Savings'!D20</f>
        <v>24161</v>
      </c>
      <c r="E17" s="252">
        <f>'Annual Savings'!E18+'Annual Savings'!E20</f>
        <v>88230</v>
      </c>
      <c r="F17" s="252">
        <f>'Annual Savings'!F18+'Annual Savings'!F20</f>
        <v>124369</v>
      </c>
      <c r="G17" s="252">
        <f>'Annual Savings'!G18+'Annual Savings'!G20</f>
        <v>90289</v>
      </c>
      <c r="H17" s="252">
        <f>'Annual Savings'!H18+'Annual Savings'!H20</f>
        <v>27978</v>
      </c>
      <c r="I17" s="252">
        <f>'Annual Savings'!I18+'Annual Savings'!I20</f>
        <v>137005</v>
      </c>
      <c r="J17" s="252">
        <f>'Annual Savings'!J18+'Annual Savings'!J20</f>
        <v>234965</v>
      </c>
      <c r="K17" s="252">
        <f>'Annual Savings'!K18+'Annual Savings'!K20</f>
        <v>365916</v>
      </c>
      <c r="L17" s="252">
        <f>'Annual Savings'!L18+'Annual Savings'!L20</f>
        <v>213541.80000000002</v>
      </c>
      <c r="M17" s="252">
        <f>'Annual Savings'!M18+'Annual Savings'!M20</f>
        <v>276348.1</v>
      </c>
      <c r="N17" s="252">
        <f>'Annual Savings'!N18+'Annual Savings'!N20</f>
        <v>387282.00000000006</v>
      </c>
      <c r="O17" s="252">
        <f>'Annual Savings'!O18+'Annual Savings'!O20</f>
        <v>306192</v>
      </c>
      <c r="P17" s="140"/>
      <c r="Q17" t="s">
        <v>262</v>
      </c>
    </row>
    <row r="18" spans="1:16" ht="12.75">
      <c r="A18" s="182" t="s">
        <v>284</v>
      </c>
      <c r="B18" s="252">
        <f>SUM(C18:G18)</f>
        <v>725321</v>
      </c>
      <c r="C18" s="252">
        <f>'Annual Savings'!C31</f>
        <v>30943</v>
      </c>
      <c r="D18" s="252">
        <f>'Annual Savings'!D31</f>
        <v>144635</v>
      </c>
      <c r="E18" s="252">
        <f>'Annual Savings'!E31</f>
        <v>197347</v>
      </c>
      <c r="F18" s="252">
        <f>'Annual Savings'!F31</f>
        <v>204144</v>
      </c>
      <c r="G18" s="252">
        <f>'Annual Savings'!G31</f>
        <v>148252</v>
      </c>
      <c r="H18" s="252">
        <f>'Annual Savings'!H31</f>
        <v>98377</v>
      </c>
      <c r="I18" s="252">
        <f>'Annual Savings'!I31</f>
        <v>90589</v>
      </c>
      <c r="J18" s="252">
        <f>'Annual Savings'!J31</f>
        <v>99663</v>
      </c>
      <c r="K18" s="252">
        <f>'Annual Savings'!K31</f>
        <v>95791</v>
      </c>
      <c r="L18" s="252">
        <f>'Annual Savings'!L31</f>
        <v>134365</v>
      </c>
      <c r="M18" s="252">
        <f>'Annual Savings'!M31</f>
        <v>177334</v>
      </c>
      <c r="N18" s="252">
        <f>'Annual Savings'!N31</f>
        <v>251520</v>
      </c>
      <c r="O18" s="252">
        <f>'Annual Savings'!O31</f>
        <v>212622</v>
      </c>
      <c r="P18" s="140"/>
    </row>
    <row r="19" spans="1:17" ht="12.75">
      <c r="A19" s="14" t="s">
        <v>75</v>
      </c>
      <c r="B19" s="247">
        <f>SUM(C19:G19)</f>
        <v>1076217</v>
      </c>
      <c r="C19" s="247">
        <f>'Annual Savings'!C34</f>
        <v>50672</v>
      </c>
      <c r="D19" s="247">
        <f>'Annual Savings'!D34</f>
        <v>168796</v>
      </c>
      <c r="E19" s="247">
        <f>'Annual Savings'!E34</f>
        <v>285577</v>
      </c>
      <c r="F19" s="247">
        <f>'Annual Savings'!F34</f>
        <v>328513</v>
      </c>
      <c r="G19" s="247">
        <f>'Annual Savings'!G34</f>
        <v>242659</v>
      </c>
      <c r="H19" s="247">
        <f>'Annual Savings'!H34</f>
        <v>128252</v>
      </c>
      <c r="I19" s="247">
        <f>'Annual Savings'!I34</f>
        <v>228721</v>
      </c>
      <c r="J19" s="247">
        <f>'Annual Savings'!J34</f>
        <v>335001</v>
      </c>
      <c r="K19" s="247">
        <f>'Annual Savings'!K34</f>
        <v>462162</v>
      </c>
      <c r="L19" s="247">
        <f>'Annual Savings'!L34</f>
        <v>347906.80000000005</v>
      </c>
      <c r="M19" s="247">
        <f>SUM(M17:M18)</f>
        <v>453682.1</v>
      </c>
      <c r="N19" s="247">
        <f>SUM(N17:N18)</f>
        <v>638802</v>
      </c>
      <c r="O19" s="247">
        <f>SUM(O17:O18)</f>
        <v>518814</v>
      </c>
      <c r="P19" s="140"/>
      <c r="Q19" s="23"/>
    </row>
    <row r="20" spans="1:17" ht="12.75">
      <c r="A20" s="405"/>
      <c r="B20" s="406"/>
      <c r="C20" s="406"/>
      <c r="D20" s="406"/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406"/>
      <c r="P20" s="140"/>
      <c r="Q20" s="23"/>
    </row>
    <row r="21" spans="1:17" ht="12.75">
      <c r="A21" s="212" t="s">
        <v>194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140"/>
      <c r="Q21" s="23"/>
    </row>
    <row r="22" spans="1:16" ht="12.75">
      <c r="A22" s="182" t="s">
        <v>84</v>
      </c>
      <c r="B22" s="248">
        <f>SUM(C22:G22)</f>
        <v>45797</v>
      </c>
      <c r="C22" s="248">
        <f>'Annual Savings'!C48</f>
        <v>11</v>
      </c>
      <c r="D22" s="248">
        <f>'Annual Savings'!D48</f>
        <v>2896</v>
      </c>
      <c r="E22" s="248">
        <f>'Annual Savings'!E48</f>
        <v>7239</v>
      </c>
      <c r="F22" s="248">
        <f>'Annual Savings'!F48</f>
        <v>6515</v>
      </c>
      <c r="G22" s="248">
        <f>'Annual Savings'!G48</f>
        <v>29136</v>
      </c>
      <c r="H22" s="248">
        <f>'Annual Savings'!H48</f>
        <v>44659</v>
      </c>
      <c r="I22" s="248">
        <f>'Annual Savings'!I48</f>
        <v>140229</v>
      </c>
      <c r="J22" s="248">
        <f>'Annual Savings'!J48</f>
        <v>188968.72</v>
      </c>
      <c r="K22" s="248">
        <f>'Annual Savings'!K48</f>
        <v>169101</v>
      </c>
      <c r="L22" s="248">
        <f>'Annual Savings'!L48</f>
        <v>327579</v>
      </c>
      <c r="M22" s="248">
        <f>'Annual Savings'!M48</f>
        <v>382066</v>
      </c>
      <c r="N22" s="248">
        <f>'Annual Savings'!N48</f>
        <v>640636</v>
      </c>
      <c r="O22" s="248">
        <f>'Annual Savings'!O48</f>
        <v>261660</v>
      </c>
      <c r="P22" s="140"/>
    </row>
    <row r="23" spans="1:16" ht="12.75">
      <c r="A23" s="182" t="s">
        <v>50</v>
      </c>
      <c r="B23" s="248">
        <f>SUM(C23:G23)</f>
        <v>767</v>
      </c>
      <c r="C23" s="248">
        <f>'Annual Savings'!C39</f>
        <v>0</v>
      </c>
      <c r="D23" s="248">
        <f>'Annual Savings'!D39</f>
        <v>0</v>
      </c>
      <c r="E23" s="248">
        <f>'Annual Savings'!E39</f>
        <v>0</v>
      </c>
      <c r="F23" s="248">
        <f>'Annual Savings'!F39</f>
        <v>0</v>
      </c>
      <c r="G23" s="248">
        <f>'Annual Savings'!G39</f>
        <v>767</v>
      </c>
      <c r="H23" s="248">
        <f>'Annual Savings'!H39</f>
        <v>12575</v>
      </c>
      <c r="I23" s="248">
        <f>'Annual Savings'!I39</f>
        <v>102125</v>
      </c>
      <c r="J23" s="248">
        <f>'Annual Savings'!J39</f>
        <v>9114</v>
      </c>
      <c r="K23" s="248">
        <f>'Annual Savings'!K39</f>
        <v>35317</v>
      </c>
      <c r="L23" s="248">
        <f>'Annual Savings'!L39</f>
        <v>47743</v>
      </c>
      <c r="M23" s="248">
        <f>'Annual Savings'!M39</f>
        <v>0</v>
      </c>
      <c r="N23" s="248">
        <f>'Annual Savings'!N39</f>
        <v>17520</v>
      </c>
      <c r="O23" s="248">
        <f>'Annual Savings'!O39</f>
        <v>9409</v>
      </c>
      <c r="P23" s="140"/>
    </row>
    <row r="24" spans="1:16" ht="12.75">
      <c r="A24" s="14" t="s">
        <v>1</v>
      </c>
      <c r="B24" s="247">
        <f aca="true" t="shared" si="3" ref="B24:N24">SUM(B22:B23)</f>
        <v>46564</v>
      </c>
      <c r="C24" s="247">
        <f t="shared" si="3"/>
        <v>11</v>
      </c>
      <c r="D24" s="247">
        <f t="shared" si="3"/>
        <v>2896</v>
      </c>
      <c r="E24" s="247">
        <f t="shared" si="3"/>
        <v>7239</v>
      </c>
      <c r="F24" s="247">
        <f t="shared" si="3"/>
        <v>6515</v>
      </c>
      <c r="G24" s="247">
        <f t="shared" si="3"/>
        <v>29903</v>
      </c>
      <c r="H24" s="247">
        <f t="shared" si="3"/>
        <v>57234</v>
      </c>
      <c r="I24" s="247">
        <f t="shared" si="3"/>
        <v>242354</v>
      </c>
      <c r="J24" s="247">
        <f t="shared" si="3"/>
        <v>198082.72</v>
      </c>
      <c r="K24" s="247">
        <f t="shared" si="3"/>
        <v>204418</v>
      </c>
      <c r="L24" s="247">
        <f t="shared" si="3"/>
        <v>375322</v>
      </c>
      <c r="M24" s="247">
        <f t="shared" si="3"/>
        <v>382066</v>
      </c>
      <c r="N24" s="247">
        <f t="shared" si="3"/>
        <v>658156</v>
      </c>
      <c r="O24" s="247">
        <f>SUM(O22:O23)</f>
        <v>271069</v>
      </c>
      <c r="P24" s="140"/>
    </row>
    <row r="25" spans="1:16" ht="12.75">
      <c r="A25" s="2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98"/>
    </row>
    <row r="26" spans="1:16" ht="12.75">
      <c r="A26" s="30" t="s">
        <v>451</v>
      </c>
      <c r="B26" s="40" t="s">
        <v>411</v>
      </c>
      <c r="C26" s="40" t="s">
        <v>411</v>
      </c>
      <c r="D26" s="40" t="s">
        <v>411</v>
      </c>
      <c r="E26" s="40" t="s">
        <v>411</v>
      </c>
      <c r="F26" s="40" t="s">
        <v>411</v>
      </c>
      <c r="G26" s="40" t="s">
        <v>411</v>
      </c>
      <c r="H26" s="40" t="s">
        <v>411</v>
      </c>
      <c r="I26" s="40" t="s">
        <v>411</v>
      </c>
      <c r="J26" s="40" t="s">
        <v>411</v>
      </c>
      <c r="K26" s="40" t="s">
        <v>411</v>
      </c>
      <c r="L26" s="40" t="s">
        <v>411</v>
      </c>
      <c r="M26" s="40" t="s">
        <v>411</v>
      </c>
      <c r="N26" s="40" t="s">
        <v>411</v>
      </c>
      <c r="O26" s="40" t="s">
        <v>411</v>
      </c>
      <c r="P26" s="63"/>
    </row>
    <row r="27" spans="1:17" ht="12.75">
      <c r="A27" s="180" t="s">
        <v>283</v>
      </c>
      <c r="B27" s="254">
        <f>SUM(C27:G27)</f>
        <v>131443</v>
      </c>
      <c r="C27" s="254">
        <f>'Annual Savings'!C66+'Annual Savings'!C68</f>
        <v>11804</v>
      </c>
      <c r="D27" s="254">
        <f>'Annual Savings'!D66+'Annual Savings'!D68</f>
        <v>17867</v>
      </c>
      <c r="E27" s="254">
        <f>'Annual Savings'!E66+'Annual Savings'!E68</f>
        <v>29409</v>
      </c>
      <c r="F27" s="254">
        <f>'Annual Savings'!F66+'Annual Savings'!F68</f>
        <v>35284</v>
      </c>
      <c r="G27" s="254">
        <f>'Annual Savings'!G66+'Annual Savings'!G68</f>
        <v>37079</v>
      </c>
      <c r="H27" s="254">
        <f>'Annual Savings'!H66+'Annual Savings'!H68</f>
        <v>25148</v>
      </c>
      <c r="I27" s="254">
        <f>'Annual Savings'!I66+'Annual Savings'!I68</f>
        <v>31358</v>
      </c>
      <c r="J27" s="254">
        <f>'Annual Savings'!J66+'Annual Savings'!J68</f>
        <v>24198</v>
      </c>
      <c r="K27" s="254">
        <f>'Annual Savings'!K66+'Annual Savings'!K68</f>
        <v>27568</v>
      </c>
      <c r="L27" s="254">
        <f>'Annual Savings'!L66+'Annual Savings'!L68</f>
        <v>38105.600000000006</v>
      </c>
      <c r="M27" s="254">
        <f>'Annual Savings'!M66+'Annual Savings'!M68</f>
        <v>44241.8</v>
      </c>
      <c r="N27" s="254">
        <f>'Annual Savings'!N66+'Annual Savings'!N68</f>
        <v>66544.90000000001</v>
      </c>
      <c r="O27" s="254">
        <f>'Annual Savings'!O66+'Annual Savings'!O68</f>
        <v>36944</v>
      </c>
      <c r="P27" s="140"/>
      <c r="Q27" t="s">
        <v>262</v>
      </c>
    </row>
    <row r="28" spans="1:16" ht="12.75">
      <c r="A28" s="180" t="s">
        <v>284</v>
      </c>
      <c r="B28" s="254">
        <f>SUM(C28:G28)</f>
        <v>151121</v>
      </c>
      <c r="C28" s="254">
        <v>6364</v>
      </c>
      <c r="D28" s="254">
        <v>26750</v>
      </c>
      <c r="E28" s="254">
        <v>38155</v>
      </c>
      <c r="F28" s="254">
        <v>43470</v>
      </c>
      <c r="G28" s="254">
        <v>36382</v>
      </c>
      <c r="H28" s="254">
        <v>26301</v>
      </c>
      <c r="I28" s="254">
        <v>17502</v>
      </c>
      <c r="J28" s="254">
        <v>16468</v>
      </c>
      <c r="K28" s="254">
        <v>18781</v>
      </c>
      <c r="L28" s="254">
        <v>24415</v>
      </c>
      <c r="M28" s="254">
        <f>'Annual Savings'!M79</f>
        <v>85424</v>
      </c>
      <c r="N28" s="254">
        <f>'Annual Savings'!N79</f>
        <v>52248</v>
      </c>
      <c r="O28" s="254">
        <f>'Annual Savings'!O79</f>
        <v>43301</v>
      </c>
      <c r="P28" s="140"/>
    </row>
    <row r="29" spans="1:16" ht="12.75">
      <c r="A29" s="213" t="s">
        <v>75</v>
      </c>
      <c r="B29" s="247">
        <f>SUM(C29:G29)</f>
        <v>282564</v>
      </c>
      <c r="C29" s="247">
        <f>'Annual Savings'!C80</f>
        <v>18168</v>
      </c>
      <c r="D29" s="247">
        <f>'Annual Savings'!D80</f>
        <v>44617</v>
      </c>
      <c r="E29" s="247">
        <f>'Annual Savings'!E80</f>
        <v>67564</v>
      </c>
      <c r="F29" s="247">
        <f>'Annual Savings'!F80</f>
        <v>78754</v>
      </c>
      <c r="G29" s="247">
        <f>'Annual Savings'!G80</f>
        <v>73461</v>
      </c>
      <c r="H29" s="247">
        <f>'Annual Savings'!H80</f>
        <v>51449</v>
      </c>
      <c r="I29" s="247">
        <f>'Annual Savings'!I80</f>
        <v>48860</v>
      </c>
      <c r="J29" s="247">
        <f>'Annual Savings'!J80</f>
        <v>40666</v>
      </c>
      <c r="K29" s="247">
        <f>'Annual Savings'!K80</f>
        <v>46349</v>
      </c>
      <c r="L29" s="247">
        <f>'Annual Savings'!L80</f>
        <v>62520.600000000006</v>
      </c>
      <c r="M29" s="247">
        <f>'Annual Savings'!M80</f>
        <v>129665.8</v>
      </c>
      <c r="N29" s="247">
        <f>'Annual Savings'!N80</f>
        <v>118792.90000000001</v>
      </c>
      <c r="O29" s="247">
        <f>'Annual Savings'!O80</f>
        <v>80245</v>
      </c>
      <c r="P29" s="140"/>
    </row>
    <row r="30" spans="1:16" ht="12.75">
      <c r="A30" s="405"/>
      <c r="B30" s="406"/>
      <c r="C30" s="406"/>
      <c r="D30" s="406"/>
      <c r="E30" s="406"/>
      <c r="F30" s="406"/>
      <c r="G30" s="406"/>
      <c r="H30" s="406"/>
      <c r="I30" s="406"/>
      <c r="J30" s="406"/>
      <c r="K30" s="406"/>
      <c r="L30" s="406"/>
      <c r="M30" s="406"/>
      <c r="N30" s="406"/>
      <c r="O30" s="406"/>
      <c r="P30" s="140"/>
    </row>
    <row r="31" spans="1:16" ht="12.75">
      <c r="A31" s="212" t="s">
        <v>452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140"/>
    </row>
    <row r="32" spans="1:16" ht="12.75">
      <c r="A32" s="183" t="s">
        <v>84</v>
      </c>
      <c r="B32" s="248">
        <f>SUM(C32:G32)</f>
        <v>14523</v>
      </c>
      <c r="C32" s="248">
        <f>'Annual Savings'!C94</f>
        <v>8</v>
      </c>
      <c r="D32" s="248">
        <f>'Annual Savings'!D94</f>
        <v>1142</v>
      </c>
      <c r="E32" s="248">
        <f>'Annual Savings'!E94</f>
        <v>1743</v>
      </c>
      <c r="F32" s="248">
        <f>'Annual Savings'!F94</f>
        <v>2644</v>
      </c>
      <c r="G32" s="248">
        <f>'Annual Savings'!G94</f>
        <v>8986</v>
      </c>
      <c r="H32" s="248">
        <f>'Annual Savings'!H94</f>
        <v>18725</v>
      </c>
      <c r="I32" s="248">
        <f>'Annual Savings'!I94</f>
        <v>28920</v>
      </c>
      <c r="J32" s="248">
        <f>'Annual Savings'!J94</f>
        <v>32805</v>
      </c>
      <c r="K32" s="248">
        <f>'Annual Savings'!K94</f>
        <v>50778</v>
      </c>
      <c r="L32" s="248">
        <f>'Annual Savings'!L94</f>
        <v>183244</v>
      </c>
      <c r="M32" s="248">
        <f>'Annual Savings'!M94</f>
        <v>318387</v>
      </c>
      <c r="N32" s="248">
        <f>'Annual Savings'!N94</f>
        <v>533150</v>
      </c>
      <c r="O32" s="248">
        <f>'Annual Savings'!O94</f>
        <v>207397</v>
      </c>
      <c r="P32" s="140"/>
    </row>
    <row r="33" spans="1:16" ht="12.75">
      <c r="A33" s="182" t="s">
        <v>50</v>
      </c>
      <c r="B33" s="248">
        <f>SUM(C33:G33)</f>
        <v>140</v>
      </c>
      <c r="C33" s="248">
        <f>'Annual Savings'!C85</f>
        <v>0</v>
      </c>
      <c r="D33" s="248">
        <f>'Annual Savings'!D85</f>
        <v>0</v>
      </c>
      <c r="E33" s="248">
        <f>'Annual Savings'!E85</f>
        <v>0</v>
      </c>
      <c r="F33" s="248">
        <f>'Annual Savings'!F85</f>
        <v>0</v>
      </c>
      <c r="G33" s="248">
        <f>'Annual Savings'!G85</f>
        <v>140</v>
      </c>
      <c r="H33" s="248">
        <f>'Annual Savings'!H85</f>
        <v>3175</v>
      </c>
      <c r="I33" s="248">
        <f>'Annual Savings'!I85</f>
        <v>4925</v>
      </c>
      <c r="J33" s="248">
        <f>'Annual Savings'!J85</f>
        <v>1276</v>
      </c>
      <c r="K33" s="248">
        <f>'Annual Savings'!K85</f>
        <v>4700</v>
      </c>
      <c r="L33" s="248">
        <f>'Annual Savings'!L85</f>
        <v>5535</v>
      </c>
      <c r="M33" s="248">
        <f>'Annual Savings'!M85</f>
        <v>0</v>
      </c>
      <c r="N33" s="248">
        <f>'Annual Savings'!N85</f>
        <v>2000</v>
      </c>
      <c r="O33" s="248">
        <f>'Annual Savings'!O85</f>
        <v>2205</v>
      </c>
      <c r="P33" s="140"/>
    </row>
    <row r="34" spans="1:16" ht="12.75">
      <c r="A34" s="14" t="s">
        <v>1</v>
      </c>
      <c r="B34" s="247">
        <f aca="true" t="shared" si="4" ref="B34:N34">SUM(B32:B33)</f>
        <v>14663</v>
      </c>
      <c r="C34" s="247">
        <f t="shared" si="4"/>
        <v>8</v>
      </c>
      <c r="D34" s="247">
        <f t="shared" si="4"/>
        <v>1142</v>
      </c>
      <c r="E34" s="247">
        <f t="shared" si="4"/>
        <v>1743</v>
      </c>
      <c r="F34" s="247">
        <f t="shared" si="4"/>
        <v>2644</v>
      </c>
      <c r="G34" s="247">
        <f t="shared" si="4"/>
        <v>9126</v>
      </c>
      <c r="H34" s="247">
        <f t="shared" si="4"/>
        <v>21900</v>
      </c>
      <c r="I34" s="247">
        <f t="shared" si="4"/>
        <v>33845</v>
      </c>
      <c r="J34" s="247">
        <f t="shared" si="4"/>
        <v>34081</v>
      </c>
      <c r="K34" s="247">
        <f t="shared" si="4"/>
        <v>55478</v>
      </c>
      <c r="L34" s="247">
        <f t="shared" si="4"/>
        <v>188779</v>
      </c>
      <c r="M34" s="247">
        <f t="shared" si="4"/>
        <v>318387</v>
      </c>
      <c r="N34" s="247">
        <f t="shared" si="4"/>
        <v>535150</v>
      </c>
      <c r="O34" s="247">
        <f>SUM(O32:O33)</f>
        <v>209602</v>
      </c>
      <c r="P34" s="140"/>
    </row>
    <row r="35" spans="1:16" ht="12.75">
      <c r="A35" s="24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98"/>
    </row>
    <row r="36" spans="1:16" ht="12.75">
      <c r="A36" s="75" t="s">
        <v>62</v>
      </c>
      <c r="B36" s="40" t="s">
        <v>11</v>
      </c>
      <c r="C36" s="40" t="s">
        <v>11</v>
      </c>
      <c r="D36" s="40" t="s">
        <v>11</v>
      </c>
      <c r="E36" s="40" t="s">
        <v>11</v>
      </c>
      <c r="F36" s="40" t="s">
        <v>11</v>
      </c>
      <c r="G36" s="40" t="s">
        <v>11</v>
      </c>
      <c r="H36" s="40" t="s">
        <v>11</v>
      </c>
      <c r="I36" s="40" t="s">
        <v>11</v>
      </c>
      <c r="J36" s="40" t="s">
        <v>11</v>
      </c>
      <c r="K36" s="40" t="s">
        <v>11</v>
      </c>
      <c r="L36" s="40" t="s">
        <v>11</v>
      </c>
      <c r="M36" s="40" t="s">
        <v>11</v>
      </c>
      <c r="N36" s="40" t="s">
        <v>11</v>
      </c>
      <c r="O36" s="40" t="s">
        <v>11</v>
      </c>
      <c r="P36" s="63"/>
    </row>
    <row r="37" spans="1:17" ht="12.75">
      <c r="A37" s="183" t="s">
        <v>283</v>
      </c>
      <c r="B37" s="252">
        <f>SUM(C37:G37)</f>
        <v>1637075</v>
      </c>
      <c r="C37" s="252">
        <f>'Annual Savings'!C107+'Annual Savings'!C109</f>
        <v>209344</v>
      </c>
      <c r="D37" s="252">
        <f>'Annual Savings'!D107+'Annual Savings'!D109</f>
        <v>301507</v>
      </c>
      <c r="E37" s="252">
        <f>'Annual Savings'!E107+'Annual Savings'!E109</f>
        <v>320849</v>
      </c>
      <c r="F37" s="252">
        <f>'Annual Savings'!F107+'Annual Savings'!F109</f>
        <v>378115</v>
      </c>
      <c r="G37" s="252">
        <f>'Annual Savings'!G107+'Annual Savings'!G109</f>
        <v>427260</v>
      </c>
      <c r="H37" s="252">
        <f>'Annual Savings'!H107+'Annual Savings'!H109</f>
        <v>438349</v>
      </c>
      <c r="I37" s="252">
        <f>'Annual Savings'!I107+'Annual Savings'!I109</f>
        <v>412744</v>
      </c>
      <c r="J37" s="252">
        <f>'Annual Savings'!J107+'Annual Savings'!J109</f>
        <v>374267</v>
      </c>
      <c r="K37" s="252">
        <f>'Annual Savings'!K107+'Annual Savings'!K109</f>
        <v>406310</v>
      </c>
      <c r="L37" s="252">
        <f>'Annual Savings'!L107+'Annual Savings'!L109</f>
        <v>504431</v>
      </c>
      <c r="M37" s="252">
        <f>'Annual Savings'!M107+'Annual Savings'!M109</f>
        <v>615123.95</v>
      </c>
      <c r="N37" s="252">
        <f>'Annual Savings'!N107+'Annual Savings'!N109</f>
        <v>666430</v>
      </c>
      <c r="O37" s="252">
        <f>'Annual Savings'!O107+'Annual Savings'!O109</f>
        <v>333742</v>
      </c>
      <c r="P37" s="140"/>
      <c r="Q37" t="s">
        <v>262</v>
      </c>
    </row>
    <row r="38" spans="1:16" ht="12.75">
      <c r="A38" s="183" t="s">
        <v>284</v>
      </c>
      <c r="B38" s="252">
        <f>SUM(C38:G38)</f>
        <v>406081</v>
      </c>
      <c r="C38" s="252">
        <f>'Annual Savings'!C121</f>
        <v>33802</v>
      </c>
      <c r="D38" s="252">
        <f>'Annual Savings'!D121</f>
        <v>37665</v>
      </c>
      <c r="E38" s="252">
        <f>'Annual Savings'!E121</f>
        <v>89969</v>
      </c>
      <c r="F38" s="252">
        <f>'Annual Savings'!F121</f>
        <v>54644</v>
      </c>
      <c r="G38" s="252">
        <f>'Annual Savings'!G121</f>
        <v>190001</v>
      </c>
      <c r="H38" s="252">
        <f>'Annual Savings'!H121</f>
        <v>201830</v>
      </c>
      <c r="I38" s="252">
        <f>'Annual Savings'!I121</f>
        <v>566918</v>
      </c>
      <c r="J38" s="252">
        <f>'Annual Savings'!J121</f>
        <v>115457</v>
      </c>
      <c r="K38" s="252">
        <f>'Annual Savings'!K121</f>
        <v>230033</v>
      </c>
      <c r="L38" s="252">
        <f>'Annual Savings'!L121</f>
        <v>430395</v>
      </c>
      <c r="M38" s="252">
        <f>'Annual Savings'!M121</f>
        <v>167433</v>
      </c>
      <c r="N38" s="252">
        <f>'Annual Savings'!N121</f>
        <v>562775</v>
      </c>
      <c r="O38" s="252">
        <f>'Annual Savings'!O121</f>
        <v>588049</v>
      </c>
      <c r="P38" s="140"/>
    </row>
    <row r="39" spans="1:16" ht="12.75">
      <c r="A39" s="213" t="s">
        <v>75</v>
      </c>
      <c r="B39" s="247">
        <f>SUM(C39:G39)</f>
        <v>2043156</v>
      </c>
      <c r="C39" s="247">
        <f>'Annual Savings'!C122</f>
        <v>243146</v>
      </c>
      <c r="D39" s="247">
        <f>'Annual Savings'!D122</f>
        <v>339172</v>
      </c>
      <c r="E39" s="247">
        <f>'Annual Savings'!E122</f>
        <v>410818</v>
      </c>
      <c r="F39" s="247">
        <f>'Annual Savings'!F122</f>
        <v>432759</v>
      </c>
      <c r="G39" s="247">
        <f>'Annual Savings'!G122</f>
        <v>617261</v>
      </c>
      <c r="H39" s="247">
        <f>'Annual Savings'!H122</f>
        <v>640179</v>
      </c>
      <c r="I39" s="247">
        <f>'Annual Savings'!I122</f>
        <v>979662</v>
      </c>
      <c r="J39" s="247">
        <f>'Annual Savings'!J122</f>
        <v>489724</v>
      </c>
      <c r="K39" s="247">
        <f>'Annual Savings'!K122</f>
        <v>636343</v>
      </c>
      <c r="L39" s="247">
        <f>'Annual Savings'!L122</f>
        <v>934826</v>
      </c>
      <c r="M39" s="247">
        <f>SUM(M37:M38)</f>
        <v>782556.95</v>
      </c>
      <c r="N39" s="247">
        <f>SUM(N37:N38)</f>
        <v>1229205</v>
      </c>
      <c r="O39" s="247">
        <f>SUM(O37:O38)</f>
        <v>921791</v>
      </c>
      <c r="P39" s="140"/>
    </row>
    <row r="40" spans="1:16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74"/>
    </row>
    <row r="41" spans="1:16" ht="26.25">
      <c r="A41" s="414" t="s">
        <v>345</v>
      </c>
      <c r="B41" s="197" t="str">
        <f aca="true" t="shared" si="5" ref="B41:P41">B4</f>
        <v>Summary 
2001 to 2005*</v>
      </c>
      <c r="C41" s="28">
        <f t="shared" si="5"/>
        <v>2001</v>
      </c>
      <c r="D41" s="28">
        <f t="shared" si="5"/>
        <v>2002</v>
      </c>
      <c r="E41" s="28">
        <f t="shared" si="5"/>
        <v>2003</v>
      </c>
      <c r="F41" s="28">
        <f t="shared" si="5"/>
        <v>2004</v>
      </c>
      <c r="G41" s="28">
        <f t="shared" si="5"/>
        <v>2005</v>
      </c>
      <c r="H41" s="28">
        <f t="shared" si="5"/>
        <v>2006</v>
      </c>
      <c r="I41" s="28">
        <f t="shared" si="5"/>
        <v>2007</v>
      </c>
      <c r="J41" s="28">
        <f t="shared" si="5"/>
        <v>2008</v>
      </c>
      <c r="K41" s="28">
        <f t="shared" si="5"/>
        <v>2009</v>
      </c>
      <c r="L41" s="28">
        <f t="shared" si="5"/>
        <v>2010</v>
      </c>
      <c r="M41" s="28">
        <f t="shared" si="5"/>
        <v>2011</v>
      </c>
      <c r="N41" s="197" t="str">
        <f t="shared" si="5"/>
        <v>(18 month)1
2012-2013</v>
      </c>
      <c r="O41" s="197" t="str">
        <f t="shared" si="5"/>
        <v>FY2014</v>
      </c>
      <c r="P41" s="215" t="str">
        <f t="shared" si="5"/>
        <v>Total 
2001 ~ FY2014</v>
      </c>
    </row>
    <row r="42" spans="1:16" ht="12.75">
      <c r="A42" s="30" t="s">
        <v>394</v>
      </c>
      <c r="B42" s="40" t="s">
        <v>8</v>
      </c>
      <c r="C42" s="40" t="s">
        <v>8</v>
      </c>
      <c r="D42" s="40" t="s">
        <v>8</v>
      </c>
      <c r="E42" s="40" t="s">
        <v>8</v>
      </c>
      <c r="F42" s="40" t="s">
        <v>8</v>
      </c>
      <c r="G42" s="40" t="s">
        <v>8</v>
      </c>
      <c r="H42" s="40" t="s">
        <v>8</v>
      </c>
      <c r="I42" s="40" t="s">
        <v>8</v>
      </c>
      <c r="J42" s="40" t="s">
        <v>8</v>
      </c>
      <c r="K42" s="40" t="s">
        <v>8</v>
      </c>
      <c r="L42" s="40" t="s">
        <v>8</v>
      </c>
      <c r="M42" s="40" t="s">
        <v>8</v>
      </c>
      <c r="N42" s="40" t="s">
        <v>8</v>
      </c>
      <c r="O42" s="40" t="s">
        <v>8</v>
      </c>
      <c r="P42" s="63" t="s">
        <v>8</v>
      </c>
    </row>
    <row r="43" spans="1:17" ht="12.75">
      <c r="A43" s="180" t="s">
        <v>283</v>
      </c>
      <c r="B43" s="255">
        <f>'Lifetime Savings'!B18+'Lifetime Savings'!B20</f>
        <v>3738415</v>
      </c>
      <c r="C43" s="255">
        <f>'Lifetime Savings'!C18+'Lifetime Savings'!C20</f>
        <v>333446</v>
      </c>
      <c r="D43" s="255">
        <f>'Lifetime Savings'!D18+'Lifetime Savings'!D20</f>
        <v>383980</v>
      </c>
      <c r="E43" s="255">
        <f>'Lifetime Savings'!E18+'Lifetime Savings'!E20</f>
        <v>794638</v>
      </c>
      <c r="F43" s="255">
        <f>'Lifetime Savings'!F18+'Lifetime Savings'!F20</f>
        <v>1246972</v>
      </c>
      <c r="G43" s="255">
        <f>'Lifetime Savings'!G18+'Lifetime Savings'!G20</f>
        <v>979379</v>
      </c>
      <c r="H43" s="255">
        <f>'Lifetime Savings'!H18+'Lifetime Savings'!H20</f>
        <v>449662</v>
      </c>
      <c r="I43" s="255">
        <f>'Lifetime Savings'!I18+'Lifetime Savings'!I20</f>
        <v>1249932</v>
      </c>
      <c r="J43" s="255">
        <f>'Lifetime Savings'!J18+'Lifetime Savings'!J20</f>
        <v>1640138</v>
      </c>
      <c r="K43" s="255">
        <f>'Lifetime Savings'!K18+'Lifetime Savings'!K20</f>
        <v>2561639</v>
      </c>
      <c r="L43" s="255">
        <f>'Lifetime Savings'!L18+'Lifetime Savings'!L20</f>
        <v>1680838.2</v>
      </c>
      <c r="M43" s="255">
        <f>'Lifetime Savings'!M18+'Lifetime Savings'!M20</f>
        <v>2136151.3</v>
      </c>
      <c r="N43" s="255">
        <f>'Lifetime Savings'!N18+'Lifetime Savings'!N20</f>
        <v>2978347.2</v>
      </c>
      <c r="O43" s="255">
        <f>'Lifetime Savings'!O18+'Lifetime Savings'!O20</f>
        <v>2709690</v>
      </c>
      <c r="P43" s="254">
        <f>SUM(C43:O43)</f>
        <v>19144812.7</v>
      </c>
      <c r="Q43" t="s">
        <v>262</v>
      </c>
    </row>
    <row r="44" spans="1:16" ht="12.75">
      <c r="A44" s="180" t="s">
        <v>284</v>
      </c>
      <c r="B44" s="254">
        <f>'Lifetime Savings'!B31</f>
        <v>10858893</v>
      </c>
      <c r="C44" s="254">
        <f>'Lifetime Savings'!C31</f>
        <v>464149</v>
      </c>
      <c r="D44" s="254">
        <f>'Lifetime Savings'!D31</f>
        <v>2164648</v>
      </c>
      <c r="E44" s="254">
        <f>'Lifetime Savings'!E31</f>
        <v>2944525</v>
      </c>
      <c r="F44" s="254">
        <f>'Lifetime Savings'!F31</f>
        <v>3061799</v>
      </c>
      <c r="G44" s="254">
        <f>'Lifetime Savings'!G31</f>
        <v>2223772</v>
      </c>
      <c r="H44" s="254">
        <f>'Lifetime Savings'!H31</f>
        <v>1475649</v>
      </c>
      <c r="I44" s="254">
        <f>'Lifetime Savings'!I31</f>
        <v>1385437</v>
      </c>
      <c r="J44" s="254">
        <f>'Lifetime Savings'!J31</f>
        <v>1508571</v>
      </c>
      <c r="K44" s="254">
        <f>'Lifetime Savings'!K31</f>
        <v>1410736</v>
      </c>
      <c r="L44" s="254">
        <f>'Lifetime Savings'!L31</f>
        <v>1733513</v>
      </c>
      <c r="M44" s="254">
        <f>'Lifetime Savings'!M31</f>
        <v>2744834</v>
      </c>
      <c r="N44" s="254">
        <f>'Lifetime Savings'!N31</f>
        <v>3852123</v>
      </c>
      <c r="O44" s="254">
        <f>'Lifetime Savings'!O31</f>
        <v>3330631</v>
      </c>
      <c r="P44" s="254">
        <f>SUM(C44:O44)</f>
        <v>28300387</v>
      </c>
    </row>
    <row r="45" spans="1:16" ht="12.75">
      <c r="A45" s="14" t="s">
        <v>75</v>
      </c>
      <c r="B45" s="247">
        <f>SUM(C45:G45)</f>
        <v>14876711</v>
      </c>
      <c r="C45" s="247">
        <f>'Lifetime Savings'!C34</f>
        <v>797595</v>
      </c>
      <c r="D45" s="247">
        <f>'Lifetime Savings'!D34</f>
        <v>2548628</v>
      </c>
      <c r="E45" s="247">
        <f>'Lifetime Savings'!E34</f>
        <v>3739163</v>
      </c>
      <c r="F45" s="247">
        <f>'Lifetime Savings'!F34</f>
        <v>4308771</v>
      </c>
      <c r="G45" s="247">
        <f>'Lifetime Savings'!G34</f>
        <v>3482554</v>
      </c>
      <c r="H45" s="247">
        <f>'Lifetime Savings'!H34</f>
        <v>1935790</v>
      </c>
      <c r="I45" s="247">
        <f>'Lifetime Savings'!I34</f>
        <v>2645703</v>
      </c>
      <c r="J45" s="247">
        <f>'Lifetime Savings'!J34</f>
        <v>3160279</v>
      </c>
      <c r="K45" s="247">
        <f>'Lifetime Savings'!K34</f>
        <v>3986481</v>
      </c>
      <c r="L45" s="247">
        <f>'Lifetime Savings'!L34</f>
        <v>3414351.2</v>
      </c>
      <c r="M45" s="247">
        <f>SUM(M43:M44)</f>
        <v>4880985.3</v>
      </c>
      <c r="N45" s="247">
        <f>SUM(N43:N44)</f>
        <v>6830470.2</v>
      </c>
      <c r="O45" s="247">
        <f>SUM(O43:O44)</f>
        <v>6040321</v>
      </c>
      <c r="P45" s="256">
        <f>SUM(C45:O45)</f>
        <v>47771091.7</v>
      </c>
    </row>
    <row r="46" spans="1:16" ht="12.75">
      <c r="A46" s="30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406"/>
      <c r="N46" s="406"/>
      <c r="O46" s="406"/>
      <c r="P46" s="364"/>
    </row>
    <row r="47" spans="1:16" ht="12.75">
      <c r="A47" s="30" t="s">
        <v>194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63"/>
    </row>
    <row r="48" spans="1:16" ht="12.75">
      <c r="A48" s="182" t="s">
        <v>50</v>
      </c>
      <c r="B48" s="248">
        <f>'Lifetime Savings'!B39</f>
        <v>11498</v>
      </c>
      <c r="C48" s="248">
        <f>'Lifetime Savings'!C39</f>
        <v>0</v>
      </c>
      <c r="D48" s="248">
        <f>'Lifetime Savings'!D39</f>
        <v>0</v>
      </c>
      <c r="E48" s="248">
        <f>'Lifetime Savings'!E39</f>
        <v>0</v>
      </c>
      <c r="F48" s="248">
        <f>'Lifetime Savings'!F39</f>
        <v>0</v>
      </c>
      <c r="G48" s="248">
        <f>'Lifetime Savings'!G39</f>
        <v>11498</v>
      </c>
      <c r="H48" s="248">
        <f>'Lifetime Savings'!H39</f>
        <v>112759</v>
      </c>
      <c r="I48" s="248">
        <f>'Lifetime Savings'!I39</f>
        <v>1225505</v>
      </c>
      <c r="J48" s="248">
        <f>'Lifetime Savings'!J39</f>
        <v>109364</v>
      </c>
      <c r="K48" s="248">
        <f>'Lifetime Savings'!K39</f>
        <v>423802</v>
      </c>
      <c r="L48" s="248">
        <f>'Lifetime Savings'!L39</f>
        <v>524075</v>
      </c>
      <c r="M48" s="248">
        <f>'Lifetime Savings'!M39</f>
        <v>0</v>
      </c>
      <c r="N48" s="248">
        <f>'Lifetime Savings'!N39</f>
        <v>210240</v>
      </c>
      <c r="O48" s="248">
        <f>'Lifetime Savings'!O39</f>
        <v>112909</v>
      </c>
      <c r="P48" s="254">
        <f>SUM(C48:O48)</f>
        <v>2730152</v>
      </c>
    </row>
    <row r="49" spans="1:16" ht="12.75">
      <c r="A49" s="182" t="s">
        <v>84</v>
      </c>
      <c r="B49" s="248">
        <f>'Lifetime Savings'!B47</f>
        <v>788399</v>
      </c>
      <c r="C49" s="248">
        <f>'Lifetime Savings'!C47</f>
        <v>173</v>
      </c>
      <c r="D49" s="248">
        <f>'Lifetime Savings'!D47</f>
        <v>56330</v>
      </c>
      <c r="E49" s="248">
        <f>'Lifetime Savings'!E47</f>
        <v>109981</v>
      </c>
      <c r="F49" s="248">
        <f>'Lifetime Savings'!F47</f>
        <v>82996</v>
      </c>
      <c r="G49" s="248">
        <f>'Lifetime Savings'!G47</f>
        <v>538919</v>
      </c>
      <c r="H49" s="248">
        <f>'Lifetime Savings'!H47</f>
        <v>449400</v>
      </c>
      <c r="I49" s="248">
        <f>'Lifetime Savings'!I47</f>
        <v>966155</v>
      </c>
      <c r="J49" s="248">
        <f>'Lifetime Savings'!J47</f>
        <v>1994960</v>
      </c>
      <c r="K49" s="248">
        <f>'Lifetime Savings'!K47</f>
        <v>1356920</v>
      </c>
      <c r="L49" s="248">
        <f>'Lifetime Savings'!L47</f>
        <v>4851133</v>
      </c>
      <c r="M49" s="248">
        <f>'Lifetime Savings'!M47</f>
        <v>7641312</v>
      </c>
      <c r="N49" s="248">
        <f>'Lifetime Savings'!N47</f>
        <v>12812718</v>
      </c>
      <c r="O49" s="248">
        <f>'Lifetime Savings'!O47</f>
        <v>5233196</v>
      </c>
      <c r="P49" s="254">
        <f>SUM(C49:O49)</f>
        <v>36094193</v>
      </c>
    </row>
    <row r="50" spans="1:16" ht="12.75">
      <c r="A50" s="14" t="s">
        <v>1</v>
      </c>
      <c r="B50" s="247">
        <f aca="true" t="shared" si="6" ref="B50:O50">SUM(B48:B49)</f>
        <v>799897</v>
      </c>
      <c r="C50" s="247">
        <f t="shared" si="6"/>
        <v>173</v>
      </c>
      <c r="D50" s="247">
        <f t="shared" si="6"/>
        <v>56330</v>
      </c>
      <c r="E50" s="247">
        <f t="shared" si="6"/>
        <v>109981</v>
      </c>
      <c r="F50" s="247">
        <f t="shared" si="6"/>
        <v>82996</v>
      </c>
      <c r="G50" s="247">
        <f t="shared" si="6"/>
        <v>550417</v>
      </c>
      <c r="H50" s="247">
        <f t="shared" si="6"/>
        <v>562159</v>
      </c>
      <c r="I50" s="247">
        <f t="shared" si="6"/>
        <v>2191660</v>
      </c>
      <c r="J50" s="247">
        <f t="shared" si="6"/>
        <v>2104324</v>
      </c>
      <c r="K50" s="247">
        <f t="shared" si="6"/>
        <v>1780722</v>
      </c>
      <c r="L50" s="247">
        <f t="shared" si="6"/>
        <v>5375208</v>
      </c>
      <c r="M50" s="247">
        <f t="shared" si="6"/>
        <v>7641312</v>
      </c>
      <c r="N50" s="247">
        <f t="shared" si="6"/>
        <v>13022958</v>
      </c>
      <c r="O50" s="247">
        <f t="shared" si="6"/>
        <v>5346105</v>
      </c>
      <c r="P50" s="256">
        <f>SUM(P48:P49)</f>
        <v>38824345</v>
      </c>
    </row>
    <row r="51" spans="1:16" ht="12.75">
      <c r="A51" s="405"/>
      <c r="B51" s="406"/>
      <c r="C51" s="406"/>
      <c r="D51" s="406"/>
      <c r="E51" s="406"/>
      <c r="F51" s="406"/>
      <c r="G51" s="406"/>
      <c r="H51" s="406"/>
      <c r="I51" s="406"/>
      <c r="J51" s="406"/>
      <c r="K51" s="406"/>
      <c r="L51" s="406"/>
      <c r="M51" s="406"/>
      <c r="N51" s="406"/>
      <c r="O51" s="406"/>
      <c r="P51" s="364"/>
    </row>
    <row r="52" spans="1:16" ht="12.75">
      <c r="A52" s="75" t="s">
        <v>62</v>
      </c>
      <c r="B52" s="40" t="s">
        <v>11</v>
      </c>
      <c r="C52" s="40" t="s">
        <v>11</v>
      </c>
      <c r="D52" s="40" t="s">
        <v>11</v>
      </c>
      <c r="E52" s="40" t="s">
        <v>11</v>
      </c>
      <c r="F52" s="40" t="s">
        <v>11</v>
      </c>
      <c r="G52" s="40" t="s">
        <v>11</v>
      </c>
      <c r="H52" s="40" t="s">
        <v>11</v>
      </c>
      <c r="I52" s="40" t="s">
        <v>11</v>
      </c>
      <c r="J52" s="40" t="s">
        <v>11</v>
      </c>
      <c r="K52" s="40" t="s">
        <v>11</v>
      </c>
      <c r="L52" s="40" t="s">
        <v>11</v>
      </c>
      <c r="M52" s="40" t="s">
        <v>11</v>
      </c>
      <c r="N52" s="40" t="s">
        <v>11</v>
      </c>
      <c r="O52" s="40" t="s">
        <v>11</v>
      </c>
      <c r="P52" s="63" t="s">
        <v>11</v>
      </c>
    </row>
    <row r="53" spans="1:17" ht="12.75">
      <c r="A53" s="180" t="s">
        <v>283</v>
      </c>
      <c r="B53" s="254">
        <f>'Lifetime Savings'!B57+'Lifetime Savings'!B59</f>
        <v>31941952</v>
      </c>
      <c r="C53" s="254">
        <f>'Lifetime Savings'!C57+'Lifetime Savings'!C59</f>
        <v>4186883</v>
      </c>
      <c r="D53" s="254">
        <f>'Lifetime Savings'!D57+'Lifetime Savings'!D59</f>
        <v>6030139</v>
      </c>
      <c r="E53" s="254">
        <f>'Lifetime Savings'!E57+'Lifetime Savings'!E59</f>
        <v>6195630</v>
      </c>
      <c r="F53" s="254">
        <f>'Lifetime Savings'!F57+'Lifetime Savings'!F59</f>
        <v>7288146</v>
      </c>
      <c r="G53" s="254">
        <f>'Lifetime Savings'!G57+'Lifetime Savings'!G59</f>
        <v>8241154</v>
      </c>
      <c r="H53" s="254">
        <f>'Lifetime Savings'!H57+'Lifetime Savings'!H59</f>
        <v>5991369</v>
      </c>
      <c r="I53" s="254">
        <f>'Lifetime Savings'!I57+'Lifetime Savings'!I59</f>
        <v>6739813</v>
      </c>
      <c r="J53" s="254">
        <f>'Lifetime Savings'!J57+'Lifetime Savings'!J59</f>
        <v>6912070</v>
      </c>
      <c r="K53" s="254">
        <f>'Lifetime Savings'!K57+'Lifetime Savings'!K59</f>
        <v>7588296</v>
      </c>
      <c r="L53" s="254">
        <f>'Lifetime Savings'!L57+'Lifetime Savings'!L59</f>
        <v>9728781</v>
      </c>
      <c r="M53" s="254">
        <f>'Lifetime Savings'!M57+'Lifetime Savings'!M59</f>
        <v>11855780.84</v>
      </c>
      <c r="N53" s="254">
        <f>'Lifetime Savings'!N57+'Lifetime Savings'!N59</f>
        <v>12795357</v>
      </c>
      <c r="O53" s="254">
        <f>'Lifetime Savings'!O57+'Lifetime Savings'!O59</f>
        <v>6324099</v>
      </c>
      <c r="P53" s="254">
        <f>SUM(C53:O53)</f>
        <v>99877517.84</v>
      </c>
      <c r="Q53" t="s">
        <v>262</v>
      </c>
    </row>
    <row r="54" spans="1:16" ht="12.75">
      <c r="A54" s="180" t="s">
        <v>284</v>
      </c>
      <c r="B54" s="254">
        <f>'Lifetime Savings'!B70</f>
        <v>6885363</v>
      </c>
      <c r="C54" s="254">
        <f>'Lifetime Savings'!C70</f>
        <v>616099</v>
      </c>
      <c r="D54" s="254">
        <f>'Lifetime Savings'!D70</f>
        <v>502563</v>
      </c>
      <c r="E54" s="254">
        <f>'Lifetime Savings'!E70</f>
        <v>1510800</v>
      </c>
      <c r="F54" s="254">
        <f>'Lifetime Savings'!F70</f>
        <v>819655</v>
      </c>
      <c r="G54" s="254">
        <f>'Lifetime Savings'!G70</f>
        <v>3436246</v>
      </c>
      <c r="H54" s="254">
        <f>'Lifetime Savings'!H70</f>
        <v>3145861</v>
      </c>
      <c r="I54" s="254">
        <f>'Lifetime Savings'!I70</f>
        <v>6992671</v>
      </c>
      <c r="J54" s="254">
        <f>'Lifetime Savings'!J70</f>
        <v>1659156</v>
      </c>
      <c r="K54" s="254">
        <f>'Lifetime Savings'!K70</f>
        <v>2935762</v>
      </c>
      <c r="L54" s="254">
        <f>'Lifetime Savings'!L70</f>
        <v>6746947</v>
      </c>
      <c r="M54" s="254">
        <f>'Lifetime Savings'!M70</f>
        <v>2637393</v>
      </c>
      <c r="N54" s="254">
        <f>'Lifetime Savings'!N70</f>
        <v>9648043</v>
      </c>
      <c r="O54" s="254">
        <f>'Lifetime Savings'!O70</f>
        <v>10333496</v>
      </c>
      <c r="P54" s="254">
        <f>SUM(C54:O54)</f>
        <v>50984692</v>
      </c>
    </row>
    <row r="55" spans="1:16" ht="12.75">
      <c r="A55" s="213" t="s">
        <v>75</v>
      </c>
      <c r="B55" s="247">
        <f>SUM(C55:G55)</f>
        <v>38827315</v>
      </c>
      <c r="C55" s="247">
        <f>'Lifetime Savings'!C71</f>
        <v>4802982</v>
      </c>
      <c r="D55" s="247">
        <f>'Lifetime Savings'!D71</f>
        <v>6532702</v>
      </c>
      <c r="E55" s="247">
        <f>'Lifetime Savings'!E71</f>
        <v>7706430</v>
      </c>
      <c r="F55" s="247">
        <f>'Lifetime Savings'!F71</f>
        <v>8107801</v>
      </c>
      <c r="G55" s="247">
        <f>'Lifetime Savings'!G71</f>
        <v>11677400</v>
      </c>
      <c r="H55" s="247">
        <f>'Lifetime Savings'!H71</f>
        <v>9137230</v>
      </c>
      <c r="I55" s="247">
        <f>'Lifetime Savings'!I71</f>
        <v>13732484</v>
      </c>
      <c r="J55" s="247">
        <f>'Lifetime Savings'!J71</f>
        <v>8571226</v>
      </c>
      <c r="K55" s="247">
        <f>'Lifetime Savings'!K71</f>
        <v>10524058</v>
      </c>
      <c r="L55" s="247">
        <f>'Lifetime Savings'!L71</f>
        <v>16475728</v>
      </c>
      <c r="M55" s="247">
        <f>SUM(M53:M54)</f>
        <v>14493173.84</v>
      </c>
      <c r="N55" s="247">
        <f>SUM(N53:N54)</f>
        <v>22443400</v>
      </c>
      <c r="O55" s="247">
        <f>SUM(O53:O54)</f>
        <v>16657595</v>
      </c>
      <c r="P55" s="256">
        <f>SUM(C55:O55)</f>
        <v>150862209.84</v>
      </c>
    </row>
    <row r="56" spans="1:16" ht="12.75">
      <c r="A56" s="24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98"/>
    </row>
    <row r="57" spans="1:2" ht="12.75">
      <c r="A57" s="2" t="s">
        <v>291</v>
      </c>
      <c r="B57" s="216"/>
    </row>
    <row r="58" ht="12.75">
      <c r="A58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  <colBreaks count="1" manualBreakCount="1">
    <brk id="1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40.28125" style="0" customWidth="1"/>
    <col min="2" max="2" width="13.7109375" style="0" customWidth="1"/>
    <col min="3" max="3" width="12.57421875" style="0" customWidth="1"/>
    <col min="4" max="4" width="12.140625" style="0" customWidth="1"/>
    <col min="5" max="5" width="11.7109375" style="0" customWidth="1"/>
    <col min="6" max="6" width="10.28125" style="0" bestFit="1" customWidth="1"/>
    <col min="7" max="7" width="10.57421875" style="0" bestFit="1" customWidth="1"/>
  </cols>
  <sheetData>
    <row r="1" spans="1:11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</row>
    <row r="2" spans="1:6" ht="12.75">
      <c r="A2" s="458" t="s">
        <v>354</v>
      </c>
      <c r="B2" s="458"/>
      <c r="C2" s="458"/>
      <c r="D2" s="458"/>
      <c r="E2" s="458"/>
      <c r="F2" s="458"/>
    </row>
    <row r="3" spans="1:7" ht="15.75">
      <c r="A3" s="25"/>
      <c r="B3" s="25"/>
      <c r="C3" s="25"/>
      <c r="D3" s="25"/>
      <c r="E3" s="25"/>
      <c r="F3" s="25"/>
      <c r="G3" s="376" t="s">
        <v>360</v>
      </c>
    </row>
    <row r="4" spans="2:7" ht="12.75">
      <c r="B4" s="3" t="s">
        <v>127</v>
      </c>
      <c r="C4" s="3" t="s">
        <v>128</v>
      </c>
      <c r="D4" s="3" t="s">
        <v>129</v>
      </c>
      <c r="E4" s="40" t="s">
        <v>130</v>
      </c>
      <c r="F4" s="101" t="s">
        <v>204</v>
      </c>
      <c r="G4" s="369" t="s">
        <v>204</v>
      </c>
    </row>
    <row r="5" spans="1:13" ht="12.75">
      <c r="A5" s="1" t="s">
        <v>153</v>
      </c>
      <c r="B5" s="23"/>
      <c r="C5" s="23"/>
      <c r="D5" s="23"/>
      <c r="E5" s="23"/>
      <c r="F5" s="26" t="s">
        <v>179</v>
      </c>
      <c r="G5" s="370" t="s">
        <v>359</v>
      </c>
      <c r="H5" s="147"/>
      <c r="I5" s="137" t="s">
        <v>384</v>
      </c>
      <c r="J5" s="137"/>
      <c r="K5" s="137" t="s">
        <v>385</v>
      </c>
      <c r="L5" s="137"/>
      <c r="M5" s="137"/>
    </row>
    <row r="6" spans="1:13" ht="12.75">
      <c r="A6" s="22" t="s">
        <v>190</v>
      </c>
      <c r="B6" s="258">
        <v>358453</v>
      </c>
      <c r="C6" s="258">
        <v>660</v>
      </c>
      <c r="D6" s="258">
        <v>1533</v>
      </c>
      <c r="E6" s="258">
        <f>F6*2200</f>
        <v>18.48</v>
      </c>
      <c r="F6" s="366">
        <v>0.0084</v>
      </c>
      <c r="G6" s="371">
        <f>F6/0.000001</f>
        <v>8400</v>
      </c>
      <c r="I6" s="400" t="s">
        <v>383</v>
      </c>
      <c r="J6" s="137"/>
      <c r="K6" s="400" t="s">
        <v>386</v>
      </c>
      <c r="L6" s="137"/>
      <c r="M6" s="137"/>
    </row>
    <row r="7" spans="1:7" ht="12.75">
      <c r="A7" s="22" t="s">
        <v>191</v>
      </c>
      <c r="B7" s="258">
        <v>46587</v>
      </c>
      <c r="C7" s="258">
        <v>37</v>
      </c>
      <c r="D7" s="258"/>
      <c r="E7" s="258">
        <f>F7*2200</f>
        <v>0</v>
      </c>
      <c r="F7" s="367"/>
      <c r="G7" s="372">
        <f>F7/0.000001</f>
        <v>0</v>
      </c>
    </row>
    <row r="8" spans="1:7" ht="12.75">
      <c r="A8" s="22" t="s">
        <v>145</v>
      </c>
      <c r="B8" s="258">
        <v>180783</v>
      </c>
      <c r="C8" s="258">
        <v>333</v>
      </c>
      <c r="D8" s="258">
        <v>773</v>
      </c>
      <c r="E8" s="258">
        <f>F8*2200</f>
        <v>9.24</v>
      </c>
      <c r="F8" s="366">
        <v>0.0042</v>
      </c>
      <c r="G8" s="371">
        <f>F8/0.000001</f>
        <v>4200</v>
      </c>
    </row>
    <row r="9" spans="1:8" ht="12.75">
      <c r="A9" s="22" t="s">
        <v>358</v>
      </c>
      <c r="B9" s="258">
        <v>29260</v>
      </c>
      <c r="C9" s="258">
        <v>79</v>
      </c>
      <c r="D9" s="258">
        <v>177</v>
      </c>
      <c r="E9" s="258">
        <f>F9*2200</f>
        <v>2.2</v>
      </c>
      <c r="F9" s="366">
        <v>0.001</v>
      </c>
      <c r="G9" s="373">
        <f>F9/0.000001</f>
        <v>1000.0000000000001</v>
      </c>
      <c r="H9" s="87" t="s">
        <v>242</v>
      </c>
    </row>
    <row r="10" spans="1:7" ht="12.75">
      <c r="A10" s="14" t="s">
        <v>131</v>
      </c>
      <c r="B10" s="269">
        <f>SUM(B6:B9)</f>
        <v>615083</v>
      </c>
      <c r="C10" s="269">
        <f>SUM(C6:C9)</f>
        <v>1109</v>
      </c>
      <c r="D10" s="269">
        <f>SUM(D6:D9)</f>
        <v>2483</v>
      </c>
      <c r="E10" s="269">
        <f>SUM(E6:E9)</f>
        <v>29.919999999999998</v>
      </c>
      <c r="F10" s="366">
        <f>SUM(F6:F9)</f>
        <v>0.013600000000000001</v>
      </c>
      <c r="G10" s="371">
        <f>F10/0.000001</f>
        <v>13600.000000000002</v>
      </c>
    </row>
    <row r="11" spans="2:7" ht="12.75">
      <c r="B11" s="139"/>
      <c r="C11" s="139"/>
      <c r="D11" s="139"/>
      <c r="E11" s="139"/>
      <c r="F11" s="366"/>
      <c r="G11" s="374"/>
    </row>
    <row r="12" spans="1:7" ht="12.75">
      <c r="A12" s="1" t="s">
        <v>154</v>
      </c>
      <c r="B12" s="139"/>
      <c r="C12" s="139"/>
      <c r="D12" s="139"/>
      <c r="E12" s="139"/>
      <c r="F12" s="366"/>
      <c r="G12" s="374"/>
    </row>
    <row r="13" spans="1:7" ht="12.75">
      <c r="A13" s="22" t="s">
        <v>190</v>
      </c>
      <c r="B13" s="258">
        <v>4173312</v>
      </c>
      <c r="C13" s="258">
        <v>7688</v>
      </c>
      <c r="D13" s="258">
        <v>17846</v>
      </c>
      <c r="E13" s="258">
        <f>F13*2200</f>
        <v>214.94</v>
      </c>
      <c r="F13" s="366">
        <v>0.0977</v>
      </c>
      <c r="G13" s="373">
        <f>F13/0.000001</f>
        <v>97700</v>
      </c>
    </row>
    <row r="14" spans="1:7" ht="12.75">
      <c r="A14" s="22" t="s">
        <v>191</v>
      </c>
      <c r="B14" s="258">
        <v>856659</v>
      </c>
      <c r="C14" s="258">
        <v>674</v>
      </c>
      <c r="D14" s="258"/>
      <c r="E14" s="258">
        <f>F14*2200</f>
        <v>0</v>
      </c>
      <c r="F14" s="367"/>
      <c r="G14" s="375"/>
    </row>
    <row r="15" spans="1:7" ht="12.75">
      <c r="A15" s="22" t="s">
        <v>145</v>
      </c>
      <c r="B15" s="258">
        <v>3615663</v>
      </c>
      <c r="C15" s="258">
        <v>6660</v>
      </c>
      <c r="D15" s="258">
        <v>15462</v>
      </c>
      <c r="E15" s="258">
        <f>F15*2200</f>
        <v>186.34</v>
      </c>
      <c r="F15" s="366">
        <v>0.0847</v>
      </c>
      <c r="G15" s="373">
        <f>F15/0.000001</f>
        <v>84700</v>
      </c>
    </row>
    <row r="16" spans="1:8" ht="12.75">
      <c r="A16" s="22" t="s">
        <v>358</v>
      </c>
      <c r="B16" s="258">
        <v>780457</v>
      </c>
      <c r="C16" s="258">
        <v>2130</v>
      </c>
      <c r="D16" s="258">
        <v>4828</v>
      </c>
      <c r="E16" s="258">
        <f>F16*2200</f>
        <v>58.74</v>
      </c>
      <c r="F16" s="367">
        <v>0.0267</v>
      </c>
      <c r="G16" s="373">
        <f>F16/0.000001</f>
        <v>26700.000000000004</v>
      </c>
      <c r="H16" s="87" t="s">
        <v>242</v>
      </c>
    </row>
    <row r="17" spans="1:7" ht="12.75">
      <c r="A17" s="14" t="s">
        <v>131</v>
      </c>
      <c r="B17" s="247">
        <f>SUM(B13:B16)</f>
        <v>9426091</v>
      </c>
      <c r="C17" s="247">
        <f>SUM(C13:C16)</f>
        <v>17152</v>
      </c>
      <c r="D17" s="247">
        <f>SUM(D13:D16)</f>
        <v>38136</v>
      </c>
      <c r="E17" s="247">
        <f>SUM(E13:E16)</f>
        <v>460.02</v>
      </c>
      <c r="F17" s="368">
        <f>SUM(F13:F16)</f>
        <v>0.2091</v>
      </c>
      <c r="G17" s="371">
        <f>F17/0.000001</f>
        <v>209100.00000000003</v>
      </c>
    </row>
    <row r="18" spans="2:5" ht="12.75">
      <c r="B18" s="23"/>
      <c r="C18" s="23"/>
      <c r="D18" s="23"/>
      <c r="E18" s="23"/>
    </row>
    <row r="19" ht="12.75">
      <c r="A19" s="1" t="s">
        <v>175</v>
      </c>
    </row>
    <row r="20" spans="1:5" ht="12.75">
      <c r="A20" s="22"/>
      <c r="B20" s="20" t="s">
        <v>127</v>
      </c>
      <c r="C20" s="20" t="s">
        <v>128</v>
      </c>
      <c r="D20" s="20" t="s">
        <v>129</v>
      </c>
      <c r="E20" s="20" t="s">
        <v>130</v>
      </c>
    </row>
    <row r="21" spans="1:5" ht="27.75" customHeight="1">
      <c r="A21" s="86" t="s">
        <v>356</v>
      </c>
      <c r="B21" s="314">
        <f>B10</f>
        <v>615083</v>
      </c>
      <c r="C21" s="314">
        <f>C10</f>
        <v>1109</v>
      </c>
      <c r="D21" s="314">
        <f>D10</f>
        <v>2483</v>
      </c>
      <c r="E21" s="314">
        <f>E10</f>
        <v>29.919999999999998</v>
      </c>
    </row>
    <row r="22" spans="1:5" ht="25.5">
      <c r="A22" s="86" t="s">
        <v>357</v>
      </c>
      <c r="B22" s="314">
        <f>B17</f>
        <v>9426091</v>
      </c>
      <c r="C22" s="314">
        <f>C17</f>
        <v>17152</v>
      </c>
      <c r="D22" s="314">
        <f>D17</f>
        <v>38136</v>
      </c>
      <c r="E22" s="314">
        <f>E17</f>
        <v>460.02</v>
      </c>
    </row>
    <row r="23" spans="1:5" ht="25.5">
      <c r="A23" s="86" t="s">
        <v>355</v>
      </c>
      <c r="B23" s="314">
        <f>'emmission reductions'!P34</f>
        <v>74448759.18562657</v>
      </c>
      <c r="C23" s="314">
        <f>'emmission reductions'!P40</f>
        <v>233664.1317570709</v>
      </c>
      <c r="D23" s="314">
        <f>'emmission reductions'!P46</f>
        <v>241165.9937</v>
      </c>
      <c r="E23" s="314">
        <f>'emmission reductions'!P52</f>
        <v>3118.88</v>
      </c>
    </row>
    <row r="25" ht="12.75">
      <c r="A25" s="75" t="s">
        <v>387</v>
      </c>
    </row>
    <row r="32" ht="12.75">
      <c r="A32" s="87"/>
    </row>
  </sheetData>
  <sheetProtection/>
  <mergeCells count="2">
    <mergeCell ref="A2:F2"/>
    <mergeCell ref="A1:F1"/>
  </mergeCells>
  <printOptions/>
  <pageMargins left="0.17" right="0.17" top="0.4" bottom="0.6" header="0.24" footer="0.24"/>
  <pageSetup fitToHeight="1" fitToWidth="1" horizontalDpi="600" verticalDpi="600" orientation="landscape" r:id="rId1"/>
  <headerFooter scaleWithDoc="0" alignWithMargins="0">
    <oddFooter>&amp;L&amp;6&amp;A&amp;R&amp;6printed &amp;D at 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8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4.00390625" style="0" customWidth="1"/>
    <col min="2" max="2" width="15.8515625" style="0" bestFit="1" customWidth="1"/>
    <col min="3" max="3" width="11.8515625" style="0" hidden="1" customWidth="1"/>
    <col min="4" max="4" width="13.00390625" style="0" hidden="1" customWidth="1"/>
    <col min="5" max="5" width="12.28125" style="0" hidden="1" customWidth="1"/>
    <col min="6" max="6" width="12.57421875" style="0" hidden="1" customWidth="1"/>
    <col min="7" max="7" width="12.140625" style="0" hidden="1" customWidth="1"/>
    <col min="8" max="8" width="12.57421875" style="0" customWidth="1"/>
    <col min="9" max="9" width="12.8515625" style="0" customWidth="1"/>
    <col min="10" max="10" width="12.140625" style="0" customWidth="1"/>
    <col min="11" max="15" width="11.57421875" style="0" customWidth="1"/>
    <col min="16" max="16" width="23.710937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338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31.5">
      <c r="A4" s="110"/>
      <c r="B4" s="195" t="s">
        <v>289</v>
      </c>
      <c r="C4" s="126">
        <v>2001</v>
      </c>
      <c r="D4" s="126">
        <v>2002</v>
      </c>
      <c r="E4" s="126">
        <v>2003</v>
      </c>
      <c r="F4" s="126">
        <v>2004</v>
      </c>
      <c r="G4" s="126">
        <v>2005</v>
      </c>
      <c r="H4" s="126">
        <v>2006</v>
      </c>
      <c r="I4" s="126">
        <v>2007</v>
      </c>
      <c r="J4" s="126">
        <v>2008</v>
      </c>
      <c r="K4" s="126">
        <v>2009</v>
      </c>
      <c r="L4" s="126">
        <v>2010</v>
      </c>
      <c r="M4" s="111">
        <v>2011</v>
      </c>
      <c r="N4" s="127" t="s">
        <v>347</v>
      </c>
      <c r="O4" s="127" t="s">
        <v>353</v>
      </c>
      <c r="Q4" s="111"/>
    </row>
    <row r="5" spans="1:15" ht="18">
      <c r="A5" s="468" t="s">
        <v>218</v>
      </c>
      <c r="B5" s="468"/>
      <c r="C5" s="469"/>
      <c r="D5" s="469"/>
      <c r="E5" s="469"/>
      <c r="F5" s="469"/>
      <c r="G5" s="469"/>
      <c r="H5" s="469"/>
      <c r="I5" s="469"/>
      <c r="J5" s="469"/>
      <c r="K5" s="469"/>
      <c r="L5" s="115"/>
      <c r="M5" s="115"/>
      <c r="N5" s="115"/>
      <c r="O5" s="115"/>
    </row>
    <row r="6" spans="1:16" ht="12.75">
      <c r="A6" s="18" t="s">
        <v>315</v>
      </c>
      <c r="B6" s="248">
        <f>SUM(C6:G6)</f>
        <v>832420.7908999999</v>
      </c>
      <c r="C6" s="248">
        <v>27478.8487</v>
      </c>
      <c r="D6" s="248">
        <v>116152.0073</v>
      </c>
      <c r="E6" s="248">
        <v>197306.8784</v>
      </c>
      <c r="F6" s="248">
        <v>226972.2163</v>
      </c>
      <c r="G6" s="248">
        <v>264510.8402</v>
      </c>
      <c r="H6" s="248">
        <v>87137</v>
      </c>
      <c r="I6" s="248">
        <v>233311</v>
      </c>
      <c r="J6" s="248">
        <v>231454</v>
      </c>
      <c r="K6" s="248">
        <v>319312</v>
      </c>
      <c r="L6" s="248">
        <v>240372</v>
      </c>
      <c r="M6" s="248">
        <v>374080</v>
      </c>
      <c r="N6" s="248">
        <v>526721</v>
      </c>
      <c r="O6" s="248">
        <f>'emision reductions FY2014'!B6</f>
        <v>358453</v>
      </c>
      <c r="P6" s="129"/>
    </row>
    <row r="7" spans="1:16" ht="12.75">
      <c r="A7" s="18" t="s">
        <v>316</v>
      </c>
      <c r="B7" s="248">
        <f>SUM(C7:G7)</f>
        <v>110511.53966000001</v>
      </c>
      <c r="C7" s="248">
        <v>0</v>
      </c>
      <c r="D7" s="248">
        <v>32926.03936</v>
      </c>
      <c r="E7" s="248">
        <v>21743.5701</v>
      </c>
      <c r="F7" s="248">
        <v>23014.8734</v>
      </c>
      <c r="G7" s="248">
        <v>32827.0568</v>
      </c>
      <c r="H7" s="248">
        <v>34046</v>
      </c>
      <c r="I7" s="248">
        <v>25008</v>
      </c>
      <c r="J7" s="248">
        <v>26044</v>
      </c>
      <c r="K7" s="248">
        <v>33842</v>
      </c>
      <c r="L7" s="248">
        <v>49716</v>
      </c>
      <c r="M7" s="248">
        <v>41617.78842163091</v>
      </c>
      <c r="N7" s="248">
        <v>60943</v>
      </c>
      <c r="O7" s="248">
        <f>'emision reductions FY2014'!B7</f>
        <v>46587</v>
      </c>
      <c r="P7" s="99"/>
    </row>
    <row r="8" spans="1:16" ht="12.75">
      <c r="A8" s="22" t="s">
        <v>219</v>
      </c>
      <c r="B8" s="248">
        <f>SUM(C8:G8)</f>
        <v>30686.2691</v>
      </c>
      <c r="C8" s="248">
        <v>5.7035</v>
      </c>
      <c r="D8" s="248">
        <v>958.6693</v>
      </c>
      <c r="E8" s="248">
        <v>5090.2963</v>
      </c>
      <c r="F8" s="248">
        <v>4501.2727</v>
      </c>
      <c r="G8" s="248">
        <v>20130.3273</v>
      </c>
      <c r="H8" s="248">
        <v>32252</v>
      </c>
      <c r="I8" s="248">
        <v>138231</v>
      </c>
      <c r="J8" s="248">
        <v>160965</v>
      </c>
      <c r="K8" s="248">
        <v>230314</v>
      </c>
      <c r="L8" s="248">
        <v>174517</v>
      </c>
      <c r="M8" s="248">
        <v>315031</v>
      </c>
      <c r="N8" s="248">
        <v>528233</v>
      </c>
      <c r="O8" s="248">
        <f>'emision reductions FY2014'!B8</f>
        <v>180783</v>
      </c>
      <c r="P8" s="99"/>
    </row>
    <row r="9" spans="1:16" ht="12.75">
      <c r="A9" s="14" t="s">
        <v>173</v>
      </c>
      <c r="B9" s="247">
        <f>SUM(B6:B8)</f>
        <v>973618.59966</v>
      </c>
      <c r="C9" s="247">
        <f>SUM(C6:C8)</f>
        <v>27484.5522</v>
      </c>
      <c r="D9" s="247">
        <f>SUM(D6:D8)</f>
        <v>150036.71596</v>
      </c>
      <c r="E9" s="247">
        <f aca="true" t="shared" si="0" ref="E9:M9">SUM(E6:E8)</f>
        <v>224140.7448</v>
      </c>
      <c r="F9" s="247">
        <f t="shared" si="0"/>
        <v>254488.3624</v>
      </c>
      <c r="G9" s="247">
        <f t="shared" si="0"/>
        <v>317468.2243</v>
      </c>
      <c r="H9" s="247">
        <f t="shared" si="0"/>
        <v>153435</v>
      </c>
      <c r="I9" s="247">
        <f t="shared" si="0"/>
        <v>396550</v>
      </c>
      <c r="J9" s="247">
        <f t="shared" si="0"/>
        <v>418463</v>
      </c>
      <c r="K9" s="247">
        <f t="shared" si="0"/>
        <v>583468</v>
      </c>
      <c r="L9" s="247">
        <f t="shared" si="0"/>
        <v>464605</v>
      </c>
      <c r="M9" s="247">
        <f t="shared" si="0"/>
        <v>730728.7884216309</v>
      </c>
      <c r="N9" s="247">
        <v>1115897</v>
      </c>
      <c r="O9" s="247">
        <f>SUM(O6:O8)</f>
        <v>585823</v>
      </c>
      <c r="P9" s="99"/>
    </row>
    <row r="10" spans="1:16" ht="12.75">
      <c r="A10" s="112"/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99"/>
    </row>
    <row r="11" spans="1:16" ht="18">
      <c r="A11" s="468" t="s">
        <v>220</v>
      </c>
      <c r="B11" s="468"/>
      <c r="C11" s="469"/>
      <c r="D11" s="469"/>
      <c r="E11" s="469"/>
      <c r="F11" s="469"/>
      <c r="G11" s="469"/>
      <c r="H11" s="469"/>
      <c r="I11" s="469"/>
      <c r="J11" s="469"/>
      <c r="K11" s="469"/>
      <c r="L11" s="115"/>
      <c r="M11" s="115"/>
      <c r="N11" s="115"/>
      <c r="O11" s="115"/>
      <c r="P11" s="99"/>
    </row>
    <row r="12" spans="1:16" ht="12.75">
      <c r="A12" s="18" t="s">
        <v>315</v>
      </c>
      <c r="B12" s="248">
        <f>SUM(C12:G12)</f>
        <v>1562.976</v>
      </c>
      <c r="C12" s="248">
        <v>80.1883</v>
      </c>
      <c r="D12" s="248">
        <v>213.9642</v>
      </c>
      <c r="E12" s="248">
        <v>363.46</v>
      </c>
      <c r="F12" s="248">
        <v>418.1067</v>
      </c>
      <c r="G12" s="248">
        <v>487.2568</v>
      </c>
      <c r="H12" s="248">
        <v>161</v>
      </c>
      <c r="I12" s="248">
        <v>430</v>
      </c>
      <c r="J12" s="248">
        <v>426</v>
      </c>
      <c r="K12" s="248">
        <v>9523</v>
      </c>
      <c r="L12" s="248">
        <v>443</v>
      </c>
      <c r="M12" s="248">
        <v>309</v>
      </c>
      <c r="N12" s="248">
        <v>436</v>
      </c>
      <c r="O12" s="248">
        <f>'emision reductions FY2014'!C6</f>
        <v>660</v>
      </c>
      <c r="P12" s="99"/>
    </row>
    <row r="13" spans="1:16" ht="12.75">
      <c r="A13" s="18" t="s">
        <v>316</v>
      </c>
      <c r="B13" s="248">
        <f>SUM(C13:G13)</f>
        <v>86.89796086000001</v>
      </c>
      <c r="C13" s="248">
        <v>0</v>
      </c>
      <c r="D13" s="248">
        <v>25.89056086</v>
      </c>
      <c r="E13" s="248">
        <v>17.0975</v>
      </c>
      <c r="F13" s="248">
        <v>18.0972</v>
      </c>
      <c r="G13" s="248">
        <v>25.8127</v>
      </c>
      <c r="H13" s="248">
        <v>27</v>
      </c>
      <c r="I13" s="248">
        <v>20</v>
      </c>
      <c r="J13" s="248">
        <v>20</v>
      </c>
      <c r="K13" s="248">
        <v>27</v>
      </c>
      <c r="L13" s="248">
        <v>39</v>
      </c>
      <c r="M13" s="248">
        <v>32.72509858794909</v>
      </c>
      <c r="N13" s="248">
        <v>48</v>
      </c>
      <c r="O13" s="248">
        <f>'emision reductions FY2014'!C7</f>
        <v>37</v>
      </c>
      <c r="P13" s="99"/>
    </row>
    <row r="14" spans="1:16" ht="12.75">
      <c r="A14" s="22" t="s">
        <v>219</v>
      </c>
      <c r="B14" s="248">
        <f>SUM(C14:G14)</f>
        <v>56.2063</v>
      </c>
      <c r="C14" s="248">
        <v>0.0166</v>
      </c>
      <c r="D14" s="248">
        <v>1.5323</v>
      </c>
      <c r="E14" s="248">
        <v>9.2834</v>
      </c>
      <c r="F14" s="248">
        <v>8.2918</v>
      </c>
      <c r="G14" s="248">
        <v>37.0822</v>
      </c>
      <c r="H14" s="248">
        <v>59</v>
      </c>
      <c r="I14" s="248">
        <v>255</v>
      </c>
      <c r="J14" s="248">
        <v>297</v>
      </c>
      <c r="K14" s="248">
        <v>424</v>
      </c>
      <c r="L14" s="248">
        <v>321</v>
      </c>
      <c r="M14" s="248">
        <v>260</v>
      </c>
      <c r="N14" s="248">
        <v>437</v>
      </c>
      <c r="O14" s="248">
        <f>'emision reductions FY2014'!C8</f>
        <v>333</v>
      </c>
      <c r="P14" s="99"/>
    </row>
    <row r="15" spans="1:16" ht="12.75">
      <c r="A15" s="14" t="s">
        <v>173</v>
      </c>
      <c r="B15" s="247">
        <f aca="true" t="shared" si="1" ref="B15:M15">SUM(B12:B14)</f>
        <v>1706.0802608600002</v>
      </c>
      <c r="C15" s="247">
        <f t="shared" si="1"/>
        <v>80.2049</v>
      </c>
      <c r="D15" s="247">
        <f t="shared" si="1"/>
        <v>241.38706086</v>
      </c>
      <c r="E15" s="247">
        <f t="shared" si="1"/>
        <v>389.84090000000003</v>
      </c>
      <c r="F15" s="247">
        <f t="shared" si="1"/>
        <v>444.4957</v>
      </c>
      <c r="G15" s="247">
        <f t="shared" si="1"/>
        <v>550.1516999999999</v>
      </c>
      <c r="H15" s="247">
        <f t="shared" si="1"/>
        <v>247</v>
      </c>
      <c r="I15" s="247">
        <f t="shared" si="1"/>
        <v>705</v>
      </c>
      <c r="J15" s="247">
        <f t="shared" si="1"/>
        <v>743</v>
      </c>
      <c r="K15" s="247">
        <f t="shared" si="1"/>
        <v>9974</v>
      </c>
      <c r="L15" s="247">
        <f t="shared" si="1"/>
        <v>803</v>
      </c>
      <c r="M15" s="247">
        <f t="shared" si="1"/>
        <v>601.7250985879491</v>
      </c>
      <c r="N15" s="247">
        <v>921</v>
      </c>
      <c r="O15" s="247">
        <f>SUM(O12:O14)</f>
        <v>1030</v>
      </c>
      <c r="P15" s="99"/>
    </row>
    <row r="16" spans="1:16" ht="12.75">
      <c r="A16" s="112"/>
      <c r="B16" s="112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99"/>
    </row>
    <row r="17" spans="1:16" ht="18">
      <c r="A17" s="468" t="s">
        <v>221</v>
      </c>
      <c r="B17" s="468"/>
      <c r="C17" s="469"/>
      <c r="D17" s="469"/>
      <c r="E17" s="469"/>
      <c r="F17" s="469"/>
      <c r="G17" s="469"/>
      <c r="H17" s="469"/>
      <c r="I17" s="469"/>
      <c r="J17" s="469"/>
      <c r="K17" s="469"/>
      <c r="L17" s="115"/>
      <c r="M17" s="115"/>
      <c r="N17" s="115"/>
      <c r="O17" s="115"/>
      <c r="P17" s="99"/>
    </row>
    <row r="18" spans="1:16" ht="12.75">
      <c r="A18" s="18" t="s">
        <v>315</v>
      </c>
      <c r="B18" s="248">
        <f>SUM(C18:G18)</f>
        <v>3570.3392000000003</v>
      </c>
      <c r="C18" s="248">
        <v>128.1514</v>
      </c>
      <c r="D18" s="248">
        <v>496.7027</v>
      </c>
      <c r="E18" s="248">
        <v>843.7465</v>
      </c>
      <c r="F18" s="248">
        <v>970.6067</v>
      </c>
      <c r="G18" s="248">
        <v>1131.1319</v>
      </c>
      <c r="H18" s="248">
        <v>373</v>
      </c>
      <c r="I18" s="248">
        <v>998</v>
      </c>
      <c r="J18" s="248">
        <v>990</v>
      </c>
      <c r="K18" s="248">
        <v>1365</v>
      </c>
      <c r="L18" s="248">
        <v>1028</v>
      </c>
      <c r="M18" s="248">
        <v>969</v>
      </c>
      <c r="N18" s="248">
        <v>1365</v>
      </c>
      <c r="O18" s="248">
        <f>'emision reductions FY2014'!D6</f>
        <v>1533</v>
      </c>
      <c r="P18" s="99"/>
    </row>
    <row r="19" spans="1:16" ht="12.75">
      <c r="A19" s="18" t="s">
        <v>316</v>
      </c>
      <c r="B19" s="248">
        <f>SUM(C19:G19)</f>
        <v>0</v>
      </c>
      <c r="C19" s="248">
        <v>0</v>
      </c>
      <c r="D19" s="248">
        <v>0</v>
      </c>
      <c r="E19" s="248">
        <v>0</v>
      </c>
      <c r="F19" s="248">
        <v>0</v>
      </c>
      <c r="G19" s="248">
        <v>0</v>
      </c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f>'emision reductions FY2014'!D7</f>
        <v>0</v>
      </c>
      <c r="P19" s="99"/>
    </row>
    <row r="20" spans="1:16" ht="12.75">
      <c r="A20" s="22" t="s">
        <v>219</v>
      </c>
      <c r="B20" s="248">
        <f>SUM(C20:G20)</f>
        <v>129.9017</v>
      </c>
      <c r="C20" s="248">
        <v>0.0266</v>
      </c>
      <c r="D20" s="248">
        <v>3.1533</v>
      </c>
      <c r="E20" s="248">
        <v>21.3893</v>
      </c>
      <c r="F20" s="248">
        <v>19.2489</v>
      </c>
      <c r="G20" s="248">
        <v>86.0836</v>
      </c>
      <c r="H20" s="248">
        <v>138</v>
      </c>
      <c r="I20" s="248">
        <v>591</v>
      </c>
      <c r="J20" s="248">
        <v>688</v>
      </c>
      <c r="K20" s="248">
        <v>985</v>
      </c>
      <c r="L20" s="248">
        <v>746</v>
      </c>
      <c r="M20" s="248">
        <v>816</v>
      </c>
      <c r="N20" s="248">
        <v>1355</v>
      </c>
      <c r="O20" s="248">
        <f>'emision reductions FY2014'!D8</f>
        <v>773</v>
      </c>
      <c r="P20" s="99"/>
    </row>
    <row r="21" spans="1:16" ht="12.75">
      <c r="A21" s="14" t="s">
        <v>173</v>
      </c>
      <c r="B21" s="247">
        <f aca="true" t="shared" si="2" ref="B21:M21">SUM(B18:B20)</f>
        <v>3700.2409000000002</v>
      </c>
      <c r="C21" s="247">
        <f t="shared" si="2"/>
        <v>128.178</v>
      </c>
      <c r="D21" s="247">
        <f t="shared" si="2"/>
        <v>499.856</v>
      </c>
      <c r="E21" s="247">
        <f t="shared" si="2"/>
        <v>865.1358</v>
      </c>
      <c r="F21" s="247">
        <f t="shared" si="2"/>
        <v>989.8556000000001</v>
      </c>
      <c r="G21" s="247">
        <f t="shared" si="2"/>
        <v>1217.2155</v>
      </c>
      <c r="H21" s="247">
        <f t="shared" si="2"/>
        <v>511</v>
      </c>
      <c r="I21" s="247">
        <f t="shared" si="2"/>
        <v>1589</v>
      </c>
      <c r="J21" s="247">
        <f t="shared" si="2"/>
        <v>1678</v>
      </c>
      <c r="K21" s="247">
        <f t="shared" si="2"/>
        <v>2350</v>
      </c>
      <c r="L21" s="247">
        <f t="shared" si="2"/>
        <v>1774</v>
      </c>
      <c r="M21" s="247">
        <f t="shared" si="2"/>
        <v>1785</v>
      </c>
      <c r="N21" s="247">
        <v>2720</v>
      </c>
      <c r="O21" s="247">
        <f>SUM(O18:O20)</f>
        <v>2306</v>
      </c>
      <c r="P21" s="99"/>
    </row>
    <row r="22" spans="1:16" ht="12.75">
      <c r="A22" s="114"/>
      <c r="B22" s="114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6" ht="18">
      <c r="A23" s="468" t="s">
        <v>222</v>
      </c>
      <c r="B23" s="468"/>
      <c r="C23" s="469"/>
      <c r="D23" s="469"/>
      <c r="E23" s="469"/>
      <c r="F23" s="469"/>
      <c r="G23" s="469"/>
      <c r="H23" s="469"/>
      <c r="I23" s="469"/>
      <c r="J23" s="469"/>
      <c r="K23" s="469"/>
      <c r="L23" s="115"/>
      <c r="M23" s="115"/>
      <c r="N23" s="115"/>
      <c r="O23" s="115"/>
      <c r="P23" s="99"/>
    </row>
    <row r="24" spans="1:16" ht="12.75">
      <c r="A24" s="18" t="s">
        <v>315</v>
      </c>
      <c r="B24" s="248">
        <f>SUM(C24:G24)</f>
        <v>42.68</v>
      </c>
      <c r="C24" s="248">
        <v>1.32</v>
      </c>
      <c r="D24" s="248">
        <v>5.94</v>
      </c>
      <c r="E24" s="248">
        <v>10.12</v>
      </c>
      <c r="F24" s="248">
        <v>11.66</v>
      </c>
      <c r="G24" s="248">
        <v>13.64</v>
      </c>
      <c r="H24" s="248">
        <v>4.4</v>
      </c>
      <c r="I24" s="248">
        <v>12.1</v>
      </c>
      <c r="J24" s="248">
        <v>11.88</v>
      </c>
      <c r="K24" s="248">
        <v>16.5</v>
      </c>
      <c r="L24" s="248">
        <v>12.32</v>
      </c>
      <c r="M24" s="248">
        <v>16.06</v>
      </c>
      <c r="N24" s="248">
        <v>22.66</v>
      </c>
      <c r="O24" s="248">
        <f>'emision reductions FY2014'!E6</f>
        <v>18.48</v>
      </c>
      <c r="P24" s="99"/>
    </row>
    <row r="25" spans="1:16" ht="12.75">
      <c r="A25" s="18" t="s">
        <v>316</v>
      </c>
      <c r="B25" s="248">
        <f>SUM(C25:G25)</f>
        <v>0</v>
      </c>
      <c r="C25" s="248">
        <v>0</v>
      </c>
      <c r="D25" s="248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f>'emision reductions FY2014'!E7</f>
        <v>0</v>
      </c>
      <c r="P25" s="99"/>
    </row>
    <row r="26" spans="1:16" ht="12.75">
      <c r="A26" s="22" t="s">
        <v>219</v>
      </c>
      <c r="B26" s="248">
        <f>SUM(C26:G26)</f>
        <v>1.54</v>
      </c>
      <c r="C26" s="248">
        <v>0</v>
      </c>
      <c r="D26" s="248">
        <v>0</v>
      </c>
      <c r="E26" s="248">
        <v>0.22</v>
      </c>
      <c r="F26" s="248">
        <v>0.22</v>
      </c>
      <c r="G26" s="248">
        <v>1.1</v>
      </c>
      <c r="H26" s="248">
        <v>1.76</v>
      </c>
      <c r="I26" s="248">
        <v>7.04</v>
      </c>
      <c r="J26" s="248">
        <v>8.36</v>
      </c>
      <c r="K26" s="248">
        <v>11.88</v>
      </c>
      <c r="L26" s="248">
        <v>9.020000000000001</v>
      </c>
      <c r="M26" s="248">
        <v>13.639999999999999</v>
      </c>
      <c r="N26" s="248">
        <v>22.88</v>
      </c>
      <c r="O26" s="248">
        <f>'emision reductions FY2014'!E8</f>
        <v>9.24</v>
      </c>
      <c r="P26" s="99"/>
    </row>
    <row r="27" spans="1:16" ht="12.75">
      <c r="A27" s="14" t="s">
        <v>173</v>
      </c>
      <c r="B27" s="247">
        <f>SUM(B24:B26)</f>
        <v>44.22</v>
      </c>
      <c r="C27" s="247">
        <f aca="true" t="shared" si="3" ref="C27:M27">SUM(C24:C26)</f>
        <v>1.32</v>
      </c>
      <c r="D27" s="247">
        <f t="shared" si="3"/>
        <v>5.94</v>
      </c>
      <c r="E27" s="247">
        <f t="shared" si="3"/>
        <v>10.34</v>
      </c>
      <c r="F27" s="247">
        <f t="shared" si="3"/>
        <v>11.88</v>
      </c>
      <c r="G27" s="247">
        <f t="shared" si="3"/>
        <v>14.74</v>
      </c>
      <c r="H27" s="247">
        <f t="shared" si="3"/>
        <v>6.16</v>
      </c>
      <c r="I27" s="247">
        <f t="shared" si="3"/>
        <v>19.14</v>
      </c>
      <c r="J27" s="247">
        <f t="shared" si="3"/>
        <v>20.240000000000002</v>
      </c>
      <c r="K27" s="247">
        <f t="shared" si="3"/>
        <v>28.380000000000003</v>
      </c>
      <c r="L27" s="247">
        <f t="shared" si="3"/>
        <v>21.340000000000003</v>
      </c>
      <c r="M27" s="247">
        <f t="shared" si="3"/>
        <v>29.699999999999996</v>
      </c>
      <c r="N27" s="247">
        <v>45.54</v>
      </c>
      <c r="O27" s="247">
        <f>SUM(O24:O26)</f>
        <v>27.72</v>
      </c>
      <c r="P27" s="99"/>
    </row>
    <row r="28" spans="1:16" ht="12.75">
      <c r="A28" s="196" t="s">
        <v>291</v>
      </c>
      <c r="B28" s="24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99"/>
    </row>
    <row r="29" spans="2:16" ht="31.5">
      <c r="B29" s="195" t="str">
        <f>B4</f>
        <v>Summary 
2001 to 2005*</v>
      </c>
      <c r="C29" s="126">
        <f aca="true" t="shared" si="4" ref="C29:N29">C4</f>
        <v>2001</v>
      </c>
      <c r="D29" s="126">
        <f t="shared" si="4"/>
        <v>2002</v>
      </c>
      <c r="E29" s="126">
        <f t="shared" si="4"/>
        <v>2003</v>
      </c>
      <c r="F29" s="126">
        <f t="shared" si="4"/>
        <v>2004</v>
      </c>
      <c r="G29" s="126">
        <f t="shared" si="4"/>
        <v>2005</v>
      </c>
      <c r="H29" s="126">
        <f t="shared" si="4"/>
        <v>2006</v>
      </c>
      <c r="I29" s="126">
        <f t="shared" si="4"/>
        <v>2007</v>
      </c>
      <c r="J29" s="126">
        <f t="shared" si="4"/>
        <v>2008</v>
      </c>
      <c r="K29" s="126">
        <f t="shared" si="4"/>
        <v>2009</v>
      </c>
      <c r="L29" s="126">
        <f t="shared" si="4"/>
        <v>2010</v>
      </c>
      <c r="M29" s="111">
        <f t="shared" si="4"/>
        <v>2011</v>
      </c>
      <c r="N29" s="127" t="str">
        <f t="shared" si="4"/>
        <v>(18 month)
2012-2013</v>
      </c>
      <c r="O29" s="127" t="str">
        <f>O4</f>
        <v>FY2014</v>
      </c>
      <c r="P29" s="99"/>
    </row>
    <row r="30" spans="1:16" ht="24.75">
      <c r="A30" s="468" t="s">
        <v>223</v>
      </c>
      <c r="B30" s="468"/>
      <c r="C30" s="469"/>
      <c r="D30" s="469"/>
      <c r="E30" s="469"/>
      <c r="F30" s="469"/>
      <c r="G30" s="469"/>
      <c r="H30" s="469"/>
      <c r="I30" s="469"/>
      <c r="J30" s="469"/>
      <c r="K30" s="469"/>
      <c r="L30" s="115"/>
      <c r="M30" s="115"/>
      <c r="N30" s="115"/>
      <c r="O30" s="115"/>
      <c r="P30" s="127" t="s">
        <v>228</v>
      </c>
    </row>
    <row r="31" spans="1:16" ht="12.75">
      <c r="A31" s="18" t="s">
        <v>315</v>
      </c>
      <c r="B31" s="248">
        <f>SUM(C31:G31)</f>
        <v>10163119.8469</v>
      </c>
      <c r="C31" s="248">
        <v>431476.4815</v>
      </c>
      <c r="D31" s="248">
        <v>1757180.6351</v>
      </c>
      <c r="E31" s="248">
        <v>2583422.3795</v>
      </c>
      <c r="F31" s="248">
        <v>2976969.0283</v>
      </c>
      <c r="G31" s="248">
        <v>2414071.3225</v>
      </c>
      <c r="H31" s="248">
        <v>1331361</v>
      </c>
      <c r="I31" s="248">
        <v>2251871</v>
      </c>
      <c r="J31" s="248">
        <v>2180995</v>
      </c>
      <c r="K31" s="315">
        <v>2754296</v>
      </c>
      <c r="L31" s="315">
        <v>2359006</v>
      </c>
      <c r="M31" s="315">
        <v>4024594</v>
      </c>
      <c r="N31" s="315">
        <v>5632033</v>
      </c>
      <c r="O31" s="315">
        <f>'emision reductions FY2014'!B13</f>
        <v>4173312</v>
      </c>
      <c r="P31" s="248">
        <f>SUM(C31:O31)</f>
        <v>34870587.8469</v>
      </c>
    </row>
    <row r="32" spans="1:16" ht="12.75">
      <c r="A32" s="18" t="s">
        <v>316</v>
      </c>
      <c r="B32" s="248">
        <f>SUM(C32:G32)</f>
        <v>2111666.5382</v>
      </c>
      <c r="C32" s="248">
        <v>0</v>
      </c>
      <c r="D32" s="248">
        <v>649611.7158</v>
      </c>
      <c r="E32" s="248">
        <v>409841.9099</v>
      </c>
      <c r="F32" s="248">
        <v>431187.5292</v>
      </c>
      <c r="G32" s="248">
        <v>621025.3833</v>
      </c>
      <c r="H32" s="248">
        <v>485934</v>
      </c>
      <c r="I32" s="248">
        <v>409698</v>
      </c>
      <c r="J32" s="248">
        <v>422582</v>
      </c>
      <c r="K32" s="315">
        <v>559689</v>
      </c>
      <c r="L32" s="315">
        <v>876209</v>
      </c>
      <c r="M32" s="315">
        <v>770773.3050265772</v>
      </c>
      <c r="N32" s="315">
        <v>1140435</v>
      </c>
      <c r="O32" s="315">
        <f>'emision reductions FY2014'!B14</f>
        <v>856659</v>
      </c>
      <c r="P32" s="248">
        <f>SUM(C32:O32)</f>
        <v>7633645.843226577</v>
      </c>
    </row>
    <row r="33" spans="1:16" ht="12.75">
      <c r="A33" s="22" t="s">
        <v>219</v>
      </c>
      <c r="B33" s="248">
        <f>SUM(C33:G33)</f>
        <v>525598.4955</v>
      </c>
      <c r="C33" s="248">
        <v>86.5</v>
      </c>
      <c r="D33" s="248">
        <v>18068.5046</v>
      </c>
      <c r="E33" s="248">
        <v>77756.7636</v>
      </c>
      <c r="F33" s="248">
        <v>57342.6909</v>
      </c>
      <c r="G33" s="248">
        <v>372344.0364</v>
      </c>
      <c r="H33" s="248">
        <v>561398</v>
      </c>
      <c r="I33" s="248">
        <v>1602106</v>
      </c>
      <c r="J33" s="248">
        <v>2439211</v>
      </c>
      <c r="K33" s="315">
        <v>2983580</v>
      </c>
      <c r="L33" s="315">
        <v>3351692</v>
      </c>
      <c r="M33" s="315">
        <v>6300609</v>
      </c>
      <c r="N33" s="315">
        <v>10564668</v>
      </c>
      <c r="O33" s="315">
        <f>'emision reductions FY2014'!B15</f>
        <v>3615663</v>
      </c>
      <c r="P33" s="248">
        <f>SUM(C33:O33)</f>
        <v>31944525.4955</v>
      </c>
    </row>
    <row r="34" spans="1:16" ht="12.75">
      <c r="A34" s="14" t="s">
        <v>173</v>
      </c>
      <c r="B34" s="247">
        <f>SUM(B31:B33)</f>
        <v>12800384.8806</v>
      </c>
      <c r="C34" s="247">
        <f aca="true" t="shared" si="5" ref="C34:M34">SUM(C31:C33)</f>
        <v>431562.9815</v>
      </c>
      <c r="D34" s="247">
        <f t="shared" si="5"/>
        <v>2424860.8555</v>
      </c>
      <c r="E34" s="247">
        <f t="shared" si="5"/>
        <v>3071021.053</v>
      </c>
      <c r="F34" s="247">
        <f t="shared" si="5"/>
        <v>3465499.2484</v>
      </c>
      <c r="G34" s="247">
        <f t="shared" si="5"/>
        <v>3407440.7421999997</v>
      </c>
      <c r="H34" s="247">
        <f t="shared" si="5"/>
        <v>2378693</v>
      </c>
      <c r="I34" s="247">
        <f t="shared" si="5"/>
        <v>4263675</v>
      </c>
      <c r="J34" s="247">
        <f t="shared" si="5"/>
        <v>5042788</v>
      </c>
      <c r="K34" s="316">
        <f t="shared" si="5"/>
        <v>6297565</v>
      </c>
      <c r="L34" s="316">
        <f t="shared" si="5"/>
        <v>6586907</v>
      </c>
      <c r="M34" s="316">
        <f t="shared" si="5"/>
        <v>11095976.305026576</v>
      </c>
      <c r="N34" s="316">
        <v>17337136</v>
      </c>
      <c r="O34" s="316">
        <f>SUM(O31:O33)</f>
        <v>8645634</v>
      </c>
      <c r="P34" s="247">
        <f>SUM(P31:P33)</f>
        <v>74448759.18562657</v>
      </c>
    </row>
    <row r="35" spans="1:16" ht="12.75">
      <c r="A35" s="114"/>
      <c r="B35" s="114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62"/>
    </row>
    <row r="36" spans="1:16" ht="18">
      <c r="A36" s="468" t="s">
        <v>224</v>
      </c>
      <c r="B36" s="468"/>
      <c r="C36" s="469"/>
      <c r="D36" s="469"/>
      <c r="E36" s="469"/>
      <c r="F36" s="469"/>
      <c r="G36" s="469"/>
      <c r="H36" s="469"/>
      <c r="I36" s="469"/>
      <c r="J36" s="469"/>
      <c r="K36" s="469"/>
      <c r="L36" s="115"/>
      <c r="M36" s="115"/>
      <c r="N36" s="115"/>
      <c r="O36" s="115"/>
      <c r="P36" s="62"/>
    </row>
    <row r="37" spans="1:16" ht="12.75">
      <c r="A37" s="18" t="s">
        <v>315</v>
      </c>
      <c r="B37" s="248">
        <f>SUM(C37:G37)</f>
        <v>19185.8383</v>
      </c>
      <c r="C37" s="248">
        <v>1259.1268</v>
      </c>
      <c r="D37" s="248">
        <v>3236.9117</v>
      </c>
      <c r="E37" s="248">
        <v>4758.936</v>
      </c>
      <c r="F37" s="248">
        <v>5483.8903</v>
      </c>
      <c r="G37" s="248">
        <v>4446.9735</v>
      </c>
      <c r="H37" s="248">
        <v>2453</v>
      </c>
      <c r="I37" s="248">
        <v>4148</v>
      </c>
      <c r="J37" s="248">
        <v>4018</v>
      </c>
      <c r="K37" s="315">
        <v>136657</v>
      </c>
      <c r="L37" s="315">
        <v>4346</v>
      </c>
      <c r="M37" s="315">
        <v>3328</v>
      </c>
      <c r="N37" s="315">
        <v>4657</v>
      </c>
      <c r="O37" s="315">
        <f>'emision reductions FY2014'!C13</f>
        <v>7688</v>
      </c>
      <c r="P37" s="248">
        <f>SUM(C37:O37)</f>
        <v>186480.8383</v>
      </c>
    </row>
    <row r="38" spans="1:16" ht="12.75">
      <c r="A38" s="18" t="s">
        <v>316</v>
      </c>
      <c r="B38" s="248">
        <f>SUM(C38:G38)</f>
        <v>1660.4557936</v>
      </c>
      <c r="C38" s="248">
        <v>0</v>
      </c>
      <c r="D38" s="248">
        <v>510.8057936</v>
      </c>
      <c r="E38" s="248">
        <v>322.2689</v>
      </c>
      <c r="F38" s="248">
        <v>339.0534</v>
      </c>
      <c r="G38" s="248">
        <v>488.3277</v>
      </c>
      <c r="H38" s="248">
        <v>382</v>
      </c>
      <c r="I38" s="248">
        <v>322</v>
      </c>
      <c r="J38" s="248">
        <v>332</v>
      </c>
      <c r="K38" s="315">
        <v>440</v>
      </c>
      <c r="L38" s="315">
        <v>689</v>
      </c>
      <c r="M38" s="315">
        <v>606.0781543798727</v>
      </c>
      <c r="N38" s="315">
        <v>362</v>
      </c>
      <c r="O38" s="315">
        <f>'emision reductions FY2014'!C14</f>
        <v>674</v>
      </c>
      <c r="P38" s="248">
        <f>SUM(C38:O38)</f>
        <v>5467.533947979873</v>
      </c>
    </row>
    <row r="39" spans="1:16" ht="12.75">
      <c r="A39" s="22" t="s">
        <v>219</v>
      </c>
      <c r="B39" s="248">
        <f>SUM(C39:G39)</f>
        <v>961.7595090909999</v>
      </c>
      <c r="C39" s="248">
        <v>0.2524</v>
      </c>
      <c r="D39" s="248">
        <v>28.611409091</v>
      </c>
      <c r="E39" s="248">
        <v>141.3675</v>
      </c>
      <c r="F39" s="248">
        <v>105.6313</v>
      </c>
      <c r="G39" s="248">
        <v>685.8969</v>
      </c>
      <c r="H39" s="248">
        <v>1034</v>
      </c>
      <c r="I39" s="248">
        <v>2951</v>
      </c>
      <c r="J39" s="248">
        <v>4493</v>
      </c>
      <c r="K39" s="315">
        <v>5496</v>
      </c>
      <c r="L39" s="315">
        <v>6174</v>
      </c>
      <c r="M39" s="315">
        <v>5210</v>
      </c>
      <c r="N39" s="315">
        <v>8736</v>
      </c>
      <c r="O39" s="315">
        <f>'emision reductions FY2014'!C15</f>
        <v>6660</v>
      </c>
      <c r="P39" s="248">
        <f>SUM(C39:O39)</f>
        <v>41715.759509091</v>
      </c>
    </row>
    <row r="40" spans="1:16" ht="12.75">
      <c r="A40" s="14" t="s">
        <v>173</v>
      </c>
      <c r="B40" s="247">
        <f>SUM(B37:B39)</f>
        <v>21808.053602691</v>
      </c>
      <c r="C40" s="247">
        <f aca="true" t="shared" si="6" ref="C40:M40">SUM(C37:C39)</f>
        <v>1259.3792</v>
      </c>
      <c r="D40" s="247">
        <f t="shared" si="6"/>
        <v>3776.328902691</v>
      </c>
      <c r="E40" s="247">
        <f t="shared" si="6"/>
        <v>5222.5724</v>
      </c>
      <c r="F40" s="247">
        <f t="shared" si="6"/>
        <v>5928.575</v>
      </c>
      <c r="G40" s="247">
        <f t="shared" si="6"/>
        <v>5621.1981</v>
      </c>
      <c r="H40" s="247">
        <f t="shared" si="6"/>
        <v>3869</v>
      </c>
      <c r="I40" s="247">
        <f t="shared" si="6"/>
        <v>7421</v>
      </c>
      <c r="J40" s="247">
        <f t="shared" si="6"/>
        <v>8843</v>
      </c>
      <c r="K40" s="316">
        <f t="shared" si="6"/>
        <v>142593</v>
      </c>
      <c r="L40" s="316">
        <f t="shared" si="6"/>
        <v>11209</v>
      </c>
      <c r="M40" s="316">
        <f t="shared" si="6"/>
        <v>9144.078154379873</v>
      </c>
      <c r="N40" s="316">
        <v>13755</v>
      </c>
      <c r="O40" s="316">
        <f>SUM(O37:O39)</f>
        <v>15022</v>
      </c>
      <c r="P40" s="247">
        <f>SUM(P37:P39)</f>
        <v>233664.1317570709</v>
      </c>
    </row>
    <row r="41" spans="1:16" ht="12.75">
      <c r="A41" s="114"/>
      <c r="B41" s="114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62"/>
    </row>
    <row r="42" spans="1:16" ht="18">
      <c r="A42" s="468" t="s">
        <v>225</v>
      </c>
      <c r="B42" s="468"/>
      <c r="C42" s="469"/>
      <c r="D42" s="469"/>
      <c r="E42" s="469"/>
      <c r="F42" s="469"/>
      <c r="G42" s="469"/>
      <c r="H42" s="469"/>
      <c r="I42" s="469"/>
      <c r="J42" s="469"/>
      <c r="K42" s="469"/>
      <c r="L42" s="115"/>
      <c r="M42" s="115"/>
      <c r="N42" s="115"/>
      <c r="O42" s="115"/>
      <c r="P42" s="62"/>
    </row>
    <row r="43" spans="1:16" ht="12.75">
      <c r="A43" s="18" t="s">
        <v>315</v>
      </c>
      <c r="B43" s="248">
        <f>SUM(C43:G43)</f>
        <v>43627.8296</v>
      </c>
      <c r="C43" s="248">
        <v>2012.2494</v>
      </c>
      <c r="D43" s="248">
        <v>7514.2593</v>
      </c>
      <c r="E43" s="248">
        <v>11047.5299</v>
      </c>
      <c r="F43" s="248">
        <v>12730.4597</v>
      </c>
      <c r="G43" s="248">
        <v>10323.3313</v>
      </c>
      <c r="H43" s="248">
        <v>5693</v>
      </c>
      <c r="I43" s="248">
        <v>9630</v>
      </c>
      <c r="J43" s="258">
        <v>9327</v>
      </c>
      <c r="K43" s="315">
        <v>11778</v>
      </c>
      <c r="L43" s="315">
        <v>10088</v>
      </c>
      <c r="M43" s="315">
        <v>10428</v>
      </c>
      <c r="N43" s="315">
        <v>14592</v>
      </c>
      <c r="O43" s="315">
        <f>'emision reductions FY2014'!D13</f>
        <v>17846</v>
      </c>
      <c r="P43" s="248">
        <f>SUM(C43:O43)</f>
        <v>133009.8296</v>
      </c>
    </row>
    <row r="44" spans="1:16" ht="12.75">
      <c r="A44" s="18" t="s">
        <v>316</v>
      </c>
      <c r="B44" s="248">
        <f>SUM(C44:G44)</f>
        <v>0</v>
      </c>
      <c r="C44" s="248">
        <v>0</v>
      </c>
      <c r="D44" s="248">
        <v>0</v>
      </c>
      <c r="E44" s="248">
        <v>0</v>
      </c>
      <c r="F44" s="248">
        <v>0</v>
      </c>
      <c r="G44" s="248">
        <v>0</v>
      </c>
      <c r="H44" s="248">
        <v>0</v>
      </c>
      <c r="I44" s="248">
        <v>0</v>
      </c>
      <c r="J44" s="258">
        <v>0</v>
      </c>
      <c r="K44" s="315">
        <v>0</v>
      </c>
      <c r="L44" s="315">
        <v>0</v>
      </c>
      <c r="M44" s="315">
        <v>0</v>
      </c>
      <c r="N44" s="315">
        <v>0</v>
      </c>
      <c r="O44" s="315">
        <f>'emision reductions FY2014'!D14</f>
        <v>0</v>
      </c>
      <c r="P44" s="248">
        <f>SUM(C44:O44)</f>
        <v>0</v>
      </c>
    </row>
    <row r="45" spans="1:16" ht="12.75">
      <c r="A45" s="22" t="s">
        <v>219</v>
      </c>
      <c r="B45" s="248">
        <f>SUM(C45:G45)</f>
        <v>2221.1641</v>
      </c>
      <c r="C45" s="248">
        <v>0.4034</v>
      </c>
      <c r="D45" s="248">
        <v>58.3406</v>
      </c>
      <c r="E45" s="248">
        <v>324.9439</v>
      </c>
      <c r="F45" s="248">
        <v>245.2155</v>
      </c>
      <c r="G45" s="248">
        <v>1592.2607</v>
      </c>
      <c r="H45" s="248">
        <v>2401</v>
      </c>
      <c r="I45" s="248">
        <v>6851</v>
      </c>
      <c r="J45" s="258">
        <v>10431</v>
      </c>
      <c r="K45" s="315">
        <v>12759</v>
      </c>
      <c r="L45" s="315">
        <v>14333</v>
      </c>
      <c r="M45" s="315">
        <v>16325</v>
      </c>
      <c r="N45" s="315">
        <v>27373</v>
      </c>
      <c r="O45" s="315">
        <f>'emision reductions FY2014'!D15</f>
        <v>15462</v>
      </c>
      <c r="P45" s="248">
        <f>SUM(C45:O45)</f>
        <v>108156.1641</v>
      </c>
    </row>
    <row r="46" spans="1:20" ht="12.75">
      <c r="A46" s="14" t="s">
        <v>173</v>
      </c>
      <c r="B46" s="247">
        <f>SUM(B43:B45)</f>
        <v>45848.9937</v>
      </c>
      <c r="C46" s="247">
        <f aca="true" t="shared" si="7" ref="C46:M46">SUM(C43:C45)</f>
        <v>2012.6527999999998</v>
      </c>
      <c r="D46" s="247">
        <f t="shared" si="7"/>
        <v>7572.5999</v>
      </c>
      <c r="E46" s="247">
        <f t="shared" si="7"/>
        <v>11372.4738</v>
      </c>
      <c r="F46" s="247">
        <f t="shared" si="7"/>
        <v>12975.6752</v>
      </c>
      <c r="G46" s="247">
        <f t="shared" si="7"/>
        <v>11915.592</v>
      </c>
      <c r="H46" s="247">
        <f t="shared" si="7"/>
        <v>8094</v>
      </c>
      <c r="I46" s="247">
        <f t="shared" si="7"/>
        <v>16481</v>
      </c>
      <c r="J46" s="247">
        <f t="shared" si="7"/>
        <v>19758</v>
      </c>
      <c r="K46" s="316">
        <f t="shared" si="7"/>
        <v>24537</v>
      </c>
      <c r="L46" s="316">
        <f t="shared" si="7"/>
        <v>24421</v>
      </c>
      <c r="M46" s="316">
        <f t="shared" si="7"/>
        <v>26753</v>
      </c>
      <c r="N46" s="316">
        <v>41965</v>
      </c>
      <c r="O46" s="316">
        <f>SUM(O43:O45)</f>
        <v>33308</v>
      </c>
      <c r="P46" s="247">
        <f>SUM(P43:P45)</f>
        <v>241165.9937</v>
      </c>
      <c r="Q46" s="99"/>
      <c r="R46" s="99"/>
      <c r="S46" s="99"/>
      <c r="T46" s="99"/>
    </row>
    <row r="47" spans="1:20" ht="12.75">
      <c r="A47" s="114"/>
      <c r="B47" s="114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62"/>
      <c r="Q47" s="99"/>
      <c r="R47" s="99"/>
      <c r="S47" s="99"/>
      <c r="T47" s="99"/>
    </row>
    <row r="48" spans="1:20" ht="18">
      <c r="A48" s="468" t="s">
        <v>226</v>
      </c>
      <c r="B48" s="468"/>
      <c r="C48" s="469"/>
      <c r="D48" s="469"/>
      <c r="E48" s="469"/>
      <c r="F48" s="469"/>
      <c r="G48" s="469"/>
      <c r="H48" s="469"/>
      <c r="I48" s="469"/>
      <c r="J48" s="469"/>
      <c r="K48" s="469"/>
      <c r="L48" s="115"/>
      <c r="M48" s="115"/>
      <c r="N48" s="115"/>
      <c r="O48" s="115"/>
      <c r="P48" s="62"/>
      <c r="Q48" s="99"/>
      <c r="R48" s="99"/>
      <c r="S48" s="99"/>
      <c r="T48" s="99"/>
    </row>
    <row r="49" spans="1:20" ht="12.75">
      <c r="A49" s="18" t="s">
        <v>315</v>
      </c>
      <c r="B49" s="248">
        <f>SUM(C49:G49)</f>
        <v>522.9399999999999</v>
      </c>
      <c r="C49" s="248">
        <v>21.56</v>
      </c>
      <c r="D49" s="248">
        <v>90.64</v>
      </c>
      <c r="E49" s="248">
        <v>133.1</v>
      </c>
      <c r="F49" s="248">
        <v>153.34</v>
      </c>
      <c r="G49" s="248">
        <v>124.3</v>
      </c>
      <c r="H49" s="248">
        <v>68.64</v>
      </c>
      <c r="I49" s="248">
        <v>115.94</v>
      </c>
      <c r="J49" s="248">
        <v>11</v>
      </c>
      <c r="K49" s="315">
        <v>141.9</v>
      </c>
      <c r="L49" s="315">
        <v>121.66000000000001</v>
      </c>
      <c r="M49" s="315">
        <v>173.8</v>
      </c>
      <c r="N49" s="315">
        <v>243.1</v>
      </c>
      <c r="O49" s="315">
        <f>'emision reductions FY2014'!E13</f>
        <v>214.94</v>
      </c>
      <c r="P49" s="248">
        <f>SUM(C49:O49)</f>
        <v>1613.9199999999998</v>
      </c>
      <c r="Q49" s="99"/>
      <c r="R49" s="99"/>
      <c r="S49" s="99"/>
      <c r="T49" s="99"/>
    </row>
    <row r="50" spans="1:20" ht="12.75">
      <c r="A50" s="18" t="s">
        <v>316</v>
      </c>
      <c r="B50" s="248">
        <f>SUM(C50:G50)</f>
        <v>0</v>
      </c>
      <c r="C50" s="248">
        <v>0</v>
      </c>
      <c r="D50" s="248">
        <v>0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315">
        <v>0</v>
      </c>
      <c r="L50" s="315">
        <v>0</v>
      </c>
      <c r="M50" s="315">
        <v>0</v>
      </c>
      <c r="N50" s="315">
        <v>0</v>
      </c>
      <c r="O50" s="315">
        <f>'emision reductions FY2014'!E14</f>
        <v>0</v>
      </c>
      <c r="P50" s="248">
        <f>SUM(C50:O50)</f>
        <v>0</v>
      </c>
      <c r="Q50" s="99"/>
      <c r="R50" s="99"/>
      <c r="S50" s="99"/>
      <c r="T50" s="99"/>
    </row>
    <row r="51" spans="1:20" ht="12.75">
      <c r="A51" s="22" t="s">
        <v>219</v>
      </c>
      <c r="B51" s="248">
        <f>SUM(C51:G51)</f>
        <v>26.62</v>
      </c>
      <c r="C51" s="248">
        <v>0</v>
      </c>
      <c r="D51" s="248">
        <v>0.66</v>
      </c>
      <c r="E51" s="248">
        <v>3.96</v>
      </c>
      <c r="F51" s="248">
        <v>2.86</v>
      </c>
      <c r="G51" s="248">
        <v>19.14</v>
      </c>
      <c r="H51" s="248">
        <v>28.82</v>
      </c>
      <c r="I51" s="248">
        <v>82.5</v>
      </c>
      <c r="J51" s="248">
        <v>126</v>
      </c>
      <c r="K51" s="315">
        <v>153.78</v>
      </c>
      <c r="L51" s="315">
        <v>172.7</v>
      </c>
      <c r="M51" s="315">
        <v>272.14</v>
      </c>
      <c r="N51" s="315">
        <v>456.06</v>
      </c>
      <c r="O51" s="315">
        <f>'emision reductions FY2014'!E15</f>
        <v>186.34</v>
      </c>
      <c r="P51" s="248">
        <f>SUM(C51:O51)</f>
        <v>1504.96</v>
      </c>
      <c r="Q51" s="99"/>
      <c r="R51" s="99"/>
      <c r="S51" s="99"/>
      <c r="T51" s="99"/>
    </row>
    <row r="52" spans="1:20" ht="12.75">
      <c r="A52" s="14" t="s">
        <v>173</v>
      </c>
      <c r="B52" s="247">
        <f>SUM(B49:B51)</f>
        <v>549.56</v>
      </c>
      <c r="C52" s="247">
        <f aca="true" t="shared" si="8" ref="C52:M52">SUM(C49:C51)</f>
        <v>21.56</v>
      </c>
      <c r="D52" s="247">
        <f t="shared" si="8"/>
        <v>91.3</v>
      </c>
      <c r="E52" s="247">
        <f t="shared" si="8"/>
        <v>137.06</v>
      </c>
      <c r="F52" s="247">
        <f t="shared" si="8"/>
        <v>156.20000000000002</v>
      </c>
      <c r="G52" s="247">
        <f t="shared" si="8"/>
        <v>143.44</v>
      </c>
      <c r="H52" s="247">
        <f t="shared" si="8"/>
        <v>97.46000000000001</v>
      </c>
      <c r="I52" s="247">
        <f t="shared" si="8"/>
        <v>198.44</v>
      </c>
      <c r="J52" s="247">
        <f t="shared" si="8"/>
        <v>137</v>
      </c>
      <c r="K52" s="316">
        <f t="shared" si="8"/>
        <v>295.68</v>
      </c>
      <c r="L52" s="316">
        <f t="shared" si="8"/>
        <v>294.36</v>
      </c>
      <c r="M52" s="316">
        <f t="shared" si="8"/>
        <v>445.94</v>
      </c>
      <c r="N52" s="316">
        <v>699.16</v>
      </c>
      <c r="O52" s="316">
        <f>SUM(O49:O51)</f>
        <v>401.28</v>
      </c>
      <c r="P52" s="247">
        <f>SUM(P49:P51)</f>
        <v>3118.88</v>
      </c>
      <c r="Q52" s="99"/>
      <c r="R52" s="99"/>
      <c r="S52" s="99"/>
      <c r="T52" s="99"/>
    </row>
    <row r="53" spans="1:20" ht="12.75">
      <c r="A53" s="196" t="str">
        <f>A28</f>
        <v>* These columns/years have been hidden in this worksheet for viewing &amp; printing purposes</v>
      </c>
      <c r="B53" s="114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23"/>
      <c r="Q53" s="99"/>
      <c r="R53" s="99"/>
      <c r="S53" s="99"/>
      <c r="T53" s="99"/>
    </row>
    <row r="54" spans="3:20" ht="12.75"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</row>
    <row r="55" spans="3:20" ht="12.75"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</row>
    <row r="56" spans="3:20" ht="12.75"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</row>
    <row r="57" spans="3:20" ht="12.75"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</row>
    <row r="58" spans="3:20" ht="12.75"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</row>
    <row r="59" spans="3:20" ht="12.75"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</row>
    <row r="60" spans="3:20" ht="12.75"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</row>
    <row r="61" spans="3:20" ht="12.75"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3:20" ht="12.75"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</row>
    <row r="63" spans="3:20" ht="12.75"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3:20" ht="12.75"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3:20" ht="12.75"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3:20" ht="12.75"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7" spans="3:20" ht="12.75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</row>
    <row r="68" spans="3:20" ht="12.75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</row>
    <row r="69" spans="3:20" ht="12.75"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0" spans="3:20" ht="12.75"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</row>
    <row r="71" spans="3:20" ht="12.75"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</row>
    <row r="72" spans="3:20" ht="12.75"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</row>
    <row r="73" spans="3:20" ht="12.75"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</row>
    <row r="74" spans="3:20" ht="12.75"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</row>
    <row r="75" spans="3:20" ht="12.75"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</row>
    <row r="76" spans="3:20" ht="12.75"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</row>
    <row r="77" spans="3:20" ht="12.75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</row>
    <row r="78" spans="3:20" ht="12.75"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</row>
    <row r="79" spans="3:20" ht="12.75"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</row>
    <row r="80" spans="3:20" ht="12.75"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</row>
    <row r="81" spans="3:20" ht="12.75"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</row>
    <row r="82" spans="3:20" ht="12.75"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</row>
    <row r="83" spans="3:20" ht="12.75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</row>
    <row r="84" spans="3:20" ht="12.75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</row>
    <row r="85" spans="3:20" ht="12.75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</row>
    <row r="86" spans="3:20" ht="12.75"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</row>
    <row r="87" spans="3:20" ht="12.75"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</row>
    <row r="88" spans="3:20" ht="12.75"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</row>
    <row r="89" spans="3:20" ht="12.75"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</row>
    <row r="90" spans="3:20" ht="12.75"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</row>
    <row r="91" spans="3:20" ht="12.75"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</row>
    <row r="92" spans="3:20" ht="12.75"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</row>
    <row r="93" spans="3:20" ht="12.75"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</row>
    <row r="94" spans="3:20" ht="12.75"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</row>
    <row r="95" spans="3:20" ht="12.75"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</row>
    <row r="96" spans="3:20" ht="12.75"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</row>
    <row r="97" spans="3:20" ht="12.75"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</row>
    <row r="98" spans="3:20" ht="12.75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</row>
    <row r="99" spans="3:20" ht="12.75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</row>
    <row r="100" spans="3:20" ht="12.75"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</row>
    <row r="101" spans="3:20" ht="12.75"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</row>
    <row r="102" spans="3:20" ht="12.75"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</row>
    <row r="103" spans="3:20" ht="12.75"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</row>
    <row r="104" spans="3:20" ht="12.75"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</row>
    <row r="105" spans="3:20" ht="12.75"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</row>
    <row r="106" spans="3:20" ht="12.75"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</row>
    <row r="107" spans="3:20" ht="12.75"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</row>
    <row r="108" spans="3:20" ht="12.75"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</row>
    <row r="109" spans="3:20" ht="12.75"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</row>
    <row r="110" spans="3:20" ht="12.75"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</row>
    <row r="111" spans="3:20" ht="12.75"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</row>
    <row r="112" spans="3:20" ht="12.75"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</row>
    <row r="113" spans="3:20" ht="12.75"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</row>
    <row r="114" spans="3:20" ht="12.75"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</row>
    <row r="115" spans="3:20" ht="12.75"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</row>
    <row r="116" spans="3:20" ht="12.75"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</row>
    <row r="117" spans="3:20" ht="12.75"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</row>
    <row r="118" spans="3:20" ht="12.75"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3:20" ht="12.75"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3:20" ht="12.75"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3:20" ht="12.75"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3:20" ht="12.75"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3:20" ht="12.75"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3:20" ht="12.75"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3:20" ht="12.75"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3:20" ht="12.75"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3:20" ht="12.75"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3:20" ht="12.75"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3:20" ht="12.75"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3:20" ht="12.75"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3:20" ht="12.75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3:20" ht="12.75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3:20" ht="12.75"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3:20" ht="12.75"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3:20" ht="12.75"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3:20" ht="12.75"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3:20" ht="12.75"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3:20" ht="12.75"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3:20" ht="12.75"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3:20" ht="12.75"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3:20" ht="12.75"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3:20" ht="12.75"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3:20" ht="12.75"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3:20" ht="12.75"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3:20" ht="12.75"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3:20" ht="12.75"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3:20" ht="12.75"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3:20" ht="12.75"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3:20" ht="12.75"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3:20" ht="12.75"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3:20" ht="12.75"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3:20" ht="12.75"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3:20" ht="12.75"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3:20" ht="12.75"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3:20" ht="12.75"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3:20" ht="12.75"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3:20" ht="12.75"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3:20" ht="12.75"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3:20" ht="12.75"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3:20" ht="12.75"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3:20" ht="12.75"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3:20" ht="12.75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3:20" ht="12.75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3:20" ht="12.75"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3:20" ht="12.75"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3:20" ht="12.75"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3:20" ht="12.75"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3:20" ht="12.75"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3:20" ht="12.75"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3:20" ht="12.75"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3:20" ht="12.75"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3:20" ht="12.75"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3:20" ht="12.75"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3:20" ht="12.75"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3:20" ht="12.75"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3:20" ht="12.75"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3:20" ht="12.75"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3:20" ht="12.75"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</row>
    <row r="179" spans="3:20" ht="12.75"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</row>
    <row r="180" spans="3:20" ht="12.75"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</row>
    <row r="181" spans="3:20" ht="12.75"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</row>
    <row r="182" spans="3:20" ht="12.75"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</row>
    <row r="183" spans="3:20" ht="12.75"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</row>
    <row r="184" spans="3:20" ht="12.75"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3:20" ht="12.75"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</row>
    <row r="186" spans="3:20" ht="12.75"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  <row r="187" spans="3:20" ht="12.75"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3:20" ht="12.75"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</row>
    <row r="189" spans="3:20" ht="12.75"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</row>
    <row r="190" spans="3:20" ht="12.75"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</row>
    <row r="191" spans="3:20" ht="12.75"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</row>
    <row r="192" spans="3:20" ht="12.75"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</row>
    <row r="193" spans="3:20" ht="12.75"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</row>
    <row r="194" spans="3:20" ht="12.75"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</row>
    <row r="195" spans="3:20" ht="12.75"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</row>
    <row r="196" spans="3:20" ht="12.75"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</row>
    <row r="197" spans="3:20" ht="12.75"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</row>
    <row r="198" spans="3:20" ht="12.75"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</row>
    <row r="199" spans="3:20" ht="12.75"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</row>
    <row r="200" spans="3:20" ht="12.75"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</row>
    <row r="201" spans="3:20" ht="12.75"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</row>
    <row r="202" spans="3:20" ht="12.75"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</row>
    <row r="203" spans="3:20" ht="12.75"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</row>
    <row r="204" spans="3:20" ht="12.75"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</row>
    <row r="205" spans="3:20" ht="12.75"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</row>
    <row r="206" spans="3:20" ht="12.75"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</row>
    <row r="207" spans="3:20" ht="12.75"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</row>
    <row r="208" spans="3:20" ht="12.75"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</row>
    <row r="209" spans="3:20" ht="12.75"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</row>
    <row r="210" spans="3:20" ht="12.75"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</row>
    <row r="211" spans="3:20" ht="12.75"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</row>
    <row r="212" spans="3:20" ht="12.75"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</row>
    <row r="213" spans="3:20" ht="12.75"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</row>
    <row r="214" spans="3:20" ht="12.75"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</row>
    <row r="215" spans="3:20" ht="12.75"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</row>
    <row r="216" spans="3:20" ht="12.75"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</row>
    <row r="217" spans="3:20" ht="12.75"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</row>
    <row r="218" spans="3:20" ht="12.75"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</row>
    <row r="219" spans="3:20" ht="12.75"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</row>
    <row r="220" spans="3:20" ht="12.75"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</row>
    <row r="221" spans="3:20" ht="12.75"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</row>
    <row r="222" spans="3:20" ht="12.75"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</row>
    <row r="223" spans="3:20" ht="12.75"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</row>
    <row r="224" spans="3:20" ht="12.75"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</row>
    <row r="225" spans="3:20" ht="12.75"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</row>
    <row r="226" spans="3:20" ht="12.75"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</row>
    <row r="227" spans="3:20" ht="12.75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</row>
    <row r="228" spans="3:20" ht="12.75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</row>
    <row r="229" spans="3:20" ht="12.75"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</row>
    <row r="230" spans="3:20" ht="12.75"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</row>
    <row r="231" spans="3:20" ht="12.75"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</row>
    <row r="232" spans="3:20" ht="12.75"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</row>
    <row r="233" spans="3:20" ht="12.75"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</row>
    <row r="234" spans="3:20" ht="12.75"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</row>
    <row r="235" spans="3:20" ht="12.75"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</row>
    <row r="236" spans="3:20" ht="12.75"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</row>
    <row r="237" spans="3:20" ht="12.75"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</row>
    <row r="238" spans="3:20" ht="12.75"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</row>
    <row r="239" spans="3:20" ht="12.75"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</row>
    <row r="240" spans="3:20" ht="12.75"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</row>
    <row r="241" spans="3:20" ht="12.75"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</row>
    <row r="242" spans="3:20" ht="12.75"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</row>
    <row r="243" spans="3:20" ht="12.75"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</row>
    <row r="244" spans="3:20" ht="12.75"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</row>
    <row r="245" spans="3:20" ht="12.75"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</row>
    <row r="246" spans="3:20" ht="12.75"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</row>
    <row r="247" spans="3:20" ht="12.75"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</row>
    <row r="248" spans="3:20" ht="12.75"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</row>
    <row r="249" spans="3:20" ht="12.75"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</row>
    <row r="250" spans="3:20" ht="12.75"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</row>
    <row r="251" spans="3:20" ht="12.75"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</row>
    <row r="252" spans="3:20" ht="12.75"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</row>
    <row r="253" spans="3:20" ht="12.75"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</row>
    <row r="254" spans="3:20" ht="12.75"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</row>
    <row r="255" spans="3:20" ht="12.75"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</row>
    <row r="256" spans="3:20" ht="12.75"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</row>
    <row r="257" spans="3:20" ht="12.75"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</row>
    <row r="258" spans="3:20" ht="12.75"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</row>
    <row r="259" spans="3:20" ht="12.75"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</row>
    <row r="260" spans="3:20" ht="12.75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</row>
    <row r="261" spans="3:20" ht="12.75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</row>
    <row r="262" spans="3:20" ht="12.75"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</row>
    <row r="263" spans="3:20" ht="12.75"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</row>
    <row r="264" spans="3:20" ht="12.75"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</row>
    <row r="265" spans="3:20" ht="12.75"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</row>
    <row r="266" spans="3:20" ht="12.75"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</row>
    <row r="267" spans="3:20" ht="12.75"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</row>
    <row r="268" spans="3:20" ht="12.75"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</row>
    <row r="269" spans="3:20" ht="12.75"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</row>
    <row r="270" spans="3:20" ht="12.75"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</row>
    <row r="271" spans="3:20" ht="12.75"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</row>
    <row r="272" spans="3:20" ht="12.75"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</row>
    <row r="273" spans="3:20" ht="12.75"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</row>
    <row r="274" spans="3:20" ht="12.75"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</row>
    <row r="275" spans="3:20" ht="12.75"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</row>
    <row r="276" spans="3:20" ht="12.75"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</row>
    <row r="277" spans="3:20" ht="12.75"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</row>
    <row r="278" spans="3:20" ht="12.75"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</row>
    <row r="279" spans="3:20" ht="12.75"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</row>
    <row r="280" spans="3:20" ht="12.75"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</row>
    <row r="281" spans="3:20" ht="12.75"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</row>
    <row r="282" spans="3:20" ht="12.75"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</row>
    <row r="283" spans="3:20" ht="12.75"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</row>
    <row r="284" spans="3:20" ht="12.75"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</row>
    <row r="285" spans="3:20" ht="12.75"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</row>
    <row r="286" spans="3:20" ht="12.75"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</row>
    <row r="287" spans="3:20" ht="12.75"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</row>
    <row r="288" spans="3:20" ht="12.75"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</row>
    <row r="289" spans="3:20" ht="12.75"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</row>
    <row r="290" spans="3:20" ht="12.75"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</row>
    <row r="291" spans="3:20" ht="12.75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</row>
    <row r="292" spans="3:20" ht="12.75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</row>
    <row r="293" spans="3:20" ht="12.75"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</row>
    <row r="294" spans="3:20" ht="12.75"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</row>
    <row r="295" spans="3:20" ht="12.75"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</row>
    <row r="296" spans="3:20" ht="12.75"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</row>
    <row r="297" spans="3:20" ht="12.75"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</row>
    <row r="298" spans="3:20" ht="12.75"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</row>
    <row r="299" spans="3:20" ht="12.75"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</row>
    <row r="300" spans="3:20" ht="12.75"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</row>
    <row r="301" spans="3:20" ht="12.75"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</row>
    <row r="302" spans="3:20" ht="12.75"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</row>
    <row r="303" spans="3:20" ht="12.75"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</row>
    <row r="304" spans="3:20" ht="12.75"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</row>
    <row r="305" spans="3:20" ht="12.75"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</row>
    <row r="306" spans="3:20" ht="12.75"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</row>
    <row r="307" spans="3:20" ht="12.75"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</row>
    <row r="308" spans="3:20" ht="12.75"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</row>
    <row r="309" spans="3:20" ht="12.75"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</row>
    <row r="310" spans="3:20" ht="12.75"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</row>
    <row r="311" spans="3:20" ht="12.75"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</row>
    <row r="312" spans="3:20" ht="12.75"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</row>
    <row r="313" spans="3:20" ht="12.75"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</row>
    <row r="314" spans="3:20" ht="12.75"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</row>
    <row r="315" spans="3:20" ht="12.75"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</row>
    <row r="316" spans="3:20" ht="12.75"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</row>
    <row r="317" spans="3:20" ht="12.75"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</row>
    <row r="318" spans="3:20" ht="12.75"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</row>
    <row r="319" spans="3:20" ht="12.75"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</row>
    <row r="320" spans="3:20" ht="12.75"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</row>
    <row r="321" spans="3:20" ht="12.75"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</row>
    <row r="322" spans="3:20" ht="12.75"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</row>
    <row r="323" spans="3:20" ht="12.75"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</row>
    <row r="324" spans="3:20" ht="12.75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</row>
    <row r="325" spans="3:20" ht="12.75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</row>
    <row r="326" spans="3:20" ht="12.75"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</row>
    <row r="327" spans="3:20" ht="12.75"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</row>
    <row r="328" spans="3:20" ht="12.75"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</row>
    <row r="329" spans="3:20" ht="12.75"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</row>
    <row r="330" spans="3:20" ht="12.75"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</row>
    <row r="331" spans="3:20" ht="12.75"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</row>
    <row r="332" spans="3:20" ht="12.75"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</row>
    <row r="333" spans="3:20" ht="12.75"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</row>
    <row r="334" spans="3:20" ht="12.75"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</row>
    <row r="335" spans="3:20" ht="12.75"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</row>
    <row r="336" spans="3:20" ht="12.75"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</row>
    <row r="337" spans="3:20" ht="12.75"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</row>
    <row r="338" spans="3:20" ht="12.75"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</row>
    <row r="339" spans="3:20" ht="12.75"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</row>
    <row r="340" spans="3:20" ht="12.75"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</row>
    <row r="341" spans="3:20" ht="12.75"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</row>
    <row r="342" spans="3:20" ht="12.75"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</row>
    <row r="343" spans="3:20" ht="12.75"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</row>
    <row r="344" spans="3:20" ht="12.75"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</row>
    <row r="345" spans="3:20" ht="12.75"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</row>
    <row r="346" spans="3:20" ht="12.75"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</row>
    <row r="347" spans="3:20" ht="12.75"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</row>
    <row r="348" spans="3:20" ht="12.75"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</row>
    <row r="349" spans="3:20" ht="12.75"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</row>
    <row r="350" spans="3:20" ht="12.75"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</row>
    <row r="351" spans="3:20" ht="12.75"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</row>
    <row r="352" spans="3:20" ht="12.75"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</row>
    <row r="353" spans="3:20" ht="12.75"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</row>
    <row r="354" spans="3:20" ht="12.75"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</row>
    <row r="355" spans="3:20" ht="12.75"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</row>
    <row r="356" spans="3:20" ht="12.75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</row>
    <row r="357" spans="3:20" ht="12.75"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</row>
    <row r="358" spans="3:20" ht="12.75"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</row>
    <row r="359" spans="3:20" ht="12.75"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</row>
    <row r="360" spans="3:20" ht="12.75"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</row>
    <row r="361" spans="3:20" ht="12.75"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</row>
    <row r="362" spans="3:20" ht="12.75"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</row>
    <row r="363" spans="3:20" ht="12.75"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</row>
    <row r="364" spans="3:20" ht="12.75"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</row>
    <row r="365" spans="3:20" ht="12.75"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</row>
    <row r="366" spans="3:20" ht="12.75"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</row>
    <row r="367" spans="3:20" ht="12.75"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</row>
    <row r="368" spans="3:20" ht="12.75"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</row>
    <row r="369" spans="3:20" ht="12.75"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</row>
    <row r="370" spans="3:20" ht="12.75"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</row>
    <row r="371" spans="3:20" ht="12.75"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</row>
    <row r="372" spans="3:20" ht="12.75"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</row>
    <row r="373" spans="3:20" ht="12.75"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</row>
    <row r="374" spans="3:20" ht="12.75"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</row>
    <row r="375" spans="3:20" ht="12.75"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</row>
    <row r="376" spans="3:20" ht="12.75"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</row>
    <row r="377" spans="3:20" ht="12.75"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</row>
    <row r="378" spans="3:20" ht="12.75"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</row>
    <row r="379" spans="3:20" ht="12.75"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</row>
    <row r="380" spans="3:20" ht="12.75"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</row>
    <row r="381" spans="3:20" ht="12.75"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</row>
    <row r="382" spans="3:20" ht="12.75"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</row>
    <row r="383" spans="3:20" ht="12.75"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</row>
    <row r="384" spans="3:20" ht="12.75"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</row>
    <row r="385" spans="3:20" ht="12.75"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</row>
    <row r="386" spans="3:20" ht="12.75"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</row>
    <row r="387" spans="3:20" ht="12.75"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</row>
    <row r="388" spans="3:20" ht="12.75"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</row>
    <row r="389" spans="3:20" ht="12.75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</row>
    <row r="390" spans="3:20" ht="12.75"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</row>
    <row r="391" spans="3:20" ht="12.75"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</row>
    <row r="392" spans="3:20" ht="12.75"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</row>
    <row r="393" spans="3:20" ht="12.75"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</row>
    <row r="394" spans="3:20" ht="12.75"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</row>
    <row r="395" spans="3:20" ht="12.75"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</row>
    <row r="396" spans="3:20" ht="12.75"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</row>
    <row r="397" spans="3:20" ht="12.75"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</row>
    <row r="398" spans="3:20" ht="12.75"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</row>
    <row r="399" spans="3:20" ht="12.75"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</row>
    <row r="400" spans="3:20" ht="12.75"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</row>
    <row r="401" spans="3:20" ht="12.75"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</row>
    <row r="402" spans="3:20" ht="12.75"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</row>
    <row r="403" spans="3:20" ht="12.75"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</row>
    <row r="404" spans="3:20" ht="12.75"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</row>
    <row r="405" spans="3:20" ht="12.75"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</row>
    <row r="406" spans="3:20" ht="12.75"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</row>
    <row r="407" spans="3:20" ht="12.75"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</row>
    <row r="408" spans="3:20" ht="12.75"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</row>
    <row r="409" spans="3:20" ht="12.75"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</row>
    <row r="410" spans="3:20" ht="12.75"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</row>
    <row r="411" spans="3:20" ht="12.75"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</row>
    <row r="412" spans="3:20" ht="12.75"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</row>
    <row r="413" spans="3:20" ht="12.75"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</row>
    <row r="414" spans="3:20" ht="12.75"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</row>
    <row r="415" spans="3:20" ht="12.75"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</row>
    <row r="416" spans="3:20" ht="12.75"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</row>
    <row r="417" spans="3:20" ht="12.75"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</row>
    <row r="418" spans="3:20" ht="12.75"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</row>
    <row r="419" spans="3:20" ht="12.75"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</row>
    <row r="420" spans="3:20" ht="12.75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</row>
    <row r="421" spans="3:20" ht="12.75"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</row>
    <row r="422" spans="3:20" ht="12.75"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</row>
    <row r="423" spans="3:20" ht="12.75"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</row>
    <row r="424" spans="3:20" ht="12.75"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</row>
    <row r="425" spans="3:20" ht="12.75"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</row>
    <row r="426" spans="3:20" ht="12.75"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</row>
    <row r="427" spans="3:20" ht="12.75"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</row>
    <row r="428" spans="3:20" ht="12.75"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</row>
    <row r="429" spans="3:20" ht="12.75"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</row>
    <row r="430" spans="3:20" ht="12.75"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</row>
    <row r="431" spans="3:20" ht="12.75"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</row>
    <row r="432" spans="3:20" ht="12.75"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</row>
    <row r="433" spans="3:20" ht="12.75"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</row>
    <row r="434" spans="3:20" ht="12.75"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</row>
    <row r="435" spans="3:20" ht="12.75"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</row>
    <row r="436" spans="3:20" ht="12.75"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</row>
    <row r="437" spans="3:20" ht="12.75"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</row>
    <row r="438" spans="3:20" ht="12.75"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</row>
    <row r="439" spans="3:20" ht="12.75"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</row>
    <row r="440" spans="3:20" ht="12.75"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</row>
    <row r="441" spans="3:20" ht="12.75"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</row>
    <row r="442" spans="3:20" ht="12.75"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</row>
    <row r="443" spans="3:20" ht="12.75"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</row>
    <row r="444" spans="3:20" ht="12.75"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</row>
    <row r="445" spans="3:20" ht="12.75"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</row>
    <row r="446" spans="3:20" ht="12.75"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</row>
    <row r="447" spans="3:20" ht="12.75"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</row>
    <row r="448" spans="3:20" ht="12.75"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</row>
    <row r="449" spans="3:20" ht="12.75"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</row>
    <row r="450" spans="3:20" ht="12.75"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</row>
    <row r="451" spans="3:20" ht="12.75"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</row>
    <row r="452" spans="3:20" ht="12.75"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</row>
    <row r="453" spans="3:20" ht="12.75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</row>
    <row r="454" spans="3:20" ht="12.75"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</row>
    <row r="455" spans="3:20" ht="12.75"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</row>
    <row r="456" spans="3:20" ht="12.75"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</row>
    <row r="457" spans="3:20" ht="12.75"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</row>
    <row r="458" spans="3:20" ht="12.75"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</row>
    <row r="459" spans="3:20" ht="12.75"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</row>
    <row r="460" spans="3:20" ht="12.75"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</row>
    <row r="461" spans="3:20" ht="12.75"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</row>
    <row r="462" spans="3:20" ht="12.75"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</row>
    <row r="463" spans="3:20" ht="12.75"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</row>
    <row r="464" spans="3:20" ht="12.75"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</row>
    <row r="465" spans="3:20" ht="12.75"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</row>
    <row r="466" spans="3:20" ht="12.75"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</row>
    <row r="467" spans="3:20" ht="12.75"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</row>
    <row r="468" spans="3:20" ht="12.75"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</row>
    <row r="469" spans="3:20" ht="12.75"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</row>
    <row r="470" spans="3:20" ht="12.75"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</row>
    <row r="471" spans="3:20" ht="12.75"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</row>
    <row r="472" spans="3:20" ht="12.75"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</row>
    <row r="473" spans="3:20" ht="12.75"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</row>
    <row r="474" spans="3:20" ht="12.75"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</row>
    <row r="475" spans="3:20" ht="12.75"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</row>
    <row r="476" spans="3:20" ht="12.75"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</row>
    <row r="477" spans="3:20" ht="12.75"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</row>
    <row r="478" spans="3:20" ht="12.75"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</row>
    <row r="479" spans="3:20" ht="12.75"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</row>
    <row r="480" spans="3:20" ht="12.75"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</row>
    <row r="481" spans="3:20" ht="12.75"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</row>
    <row r="482" spans="3:20" ht="12.75"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</row>
    <row r="483" spans="3:20" ht="12.75"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</row>
    <row r="484" spans="3:20" ht="12.75"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</row>
    <row r="485" spans="3:20" ht="12.75"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</row>
    <row r="486" spans="3:20" ht="12.75"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</row>
    <row r="487" spans="3:20" ht="12.75"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</row>
    <row r="488" spans="3:20" ht="12.75"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</row>
    <row r="489" spans="3:20" ht="12.75"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</row>
    <row r="490" spans="3:20" ht="12.75"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</row>
    <row r="491" spans="3:20" ht="12.75"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</row>
    <row r="492" spans="3:20" ht="12.75"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</row>
    <row r="493" spans="3:20" ht="12.75"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</row>
    <row r="494" spans="3:20" ht="12.75"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</row>
    <row r="495" spans="3:20" ht="12.75"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</row>
    <row r="496" spans="3:20" ht="12.75"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</row>
    <row r="497" spans="3:20" ht="12.75"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</row>
    <row r="498" spans="3:20" ht="12.75"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</row>
    <row r="499" spans="3:20" ht="12.75"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</row>
    <row r="500" spans="3:20" ht="12.75"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</row>
    <row r="501" spans="3:20" ht="12.75"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</row>
    <row r="502" spans="3:20" ht="12.75"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</row>
    <row r="503" spans="3:20" ht="12.75"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</row>
    <row r="504" spans="3:20" ht="12.75"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</row>
    <row r="505" spans="3:20" ht="12.75"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</row>
    <row r="506" spans="3:20" ht="12.75"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</row>
    <row r="507" spans="3:20" ht="12.75"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</row>
    <row r="508" spans="3:20" ht="12.75"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</row>
    <row r="509" spans="3:20" ht="12.75"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</row>
    <row r="510" spans="3:20" ht="12.75"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</row>
    <row r="511" spans="3:20" ht="12.75"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</row>
    <row r="512" spans="3:20" ht="12.75"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</row>
    <row r="513" spans="3:20" ht="12.75"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</row>
    <row r="514" spans="3:20" ht="12.75"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</row>
    <row r="515" spans="3:20" ht="12.75"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</row>
    <row r="516" spans="3:20" ht="12.75"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</row>
    <row r="517" spans="3:20" ht="12.75"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</row>
    <row r="518" spans="3:20" ht="12.75"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</row>
    <row r="519" spans="3:20" ht="12.75"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</row>
    <row r="520" spans="3:20" ht="12.75"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</row>
    <row r="521" spans="3:20" ht="12.75"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</row>
    <row r="522" spans="3:20" ht="12.75"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</row>
    <row r="523" spans="3:20" ht="12.75"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</row>
    <row r="524" spans="3:20" ht="12.75"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</row>
    <row r="525" spans="3:20" ht="12.75"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</row>
    <row r="526" spans="3:20" ht="12.75"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</row>
    <row r="527" spans="3:20" ht="12.75"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</row>
    <row r="528" spans="3:20" ht="12.75"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</row>
    <row r="529" spans="3:20" ht="12.75"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</row>
    <row r="530" spans="3:20" ht="12.75"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</row>
    <row r="531" spans="3:20" ht="12.75"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</row>
    <row r="532" spans="3:20" ht="12.75"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</row>
    <row r="533" spans="3:20" ht="12.75"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</row>
    <row r="534" spans="3:20" ht="12.75"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</row>
    <row r="535" spans="3:20" ht="12.75"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</row>
    <row r="536" spans="3:20" ht="12.75"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</row>
    <row r="537" spans="3:20" ht="12.75"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</row>
    <row r="538" spans="3:20" ht="12.75"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</row>
    <row r="539" spans="3:20" ht="12.75"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</row>
    <row r="540" spans="3:20" ht="12.75"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</row>
    <row r="541" spans="3:20" ht="12.75"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</row>
    <row r="542" spans="3:20" ht="12.75"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</row>
    <row r="543" spans="3:20" ht="12.75"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</row>
    <row r="544" spans="3:20" ht="12.75"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</row>
    <row r="545" spans="3:20" ht="12.75"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</row>
    <row r="546" spans="3:20" ht="12.75"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</row>
    <row r="547" spans="3:20" ht="12.75"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</row>
    <row r="548" spans="3:20" ht="12.75"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</row>
    <row r="549" spans="3:20" ht="12.75"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</row>
    <row r="550" spans="3:20" ht="12.75"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</row>
    <row r="551" spans="3:20" ht="12.75"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</row>
    <row r="552" spans="3:20" ht="12.75"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</row>
    <row r="553" spans="3:20" ht="12.75"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</row>
    <row r="554" spans="3:20" ht="12.75"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</row>
    <row r="555" spans="3:20" ht="12.75"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</row>
    <row r="556" spans="3:20" ht="12.75"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</row>
    <row r="557" spans="3:20" ht="12.75"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</row>
    <row r="558" spans="3:20" ht="12.75"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</row>
    <row r="559" spans="3:20" ht="12.75"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</row>
    <row r="560" spans="3:20" ht="12.75"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</row>
    <row r="561" spans="3:20" ht="12.75"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</row>
    <row r="562" spans="3:20" ht="12.75"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</row>
    <row r="563" spans="3:20" ht="12.75"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</row>
    <row r="564" spans="3:20" ht="12.75"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</row>
    <row r="565" spans="3:20" ht="12.75"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</row>
    <row r="566" spans="3:20" ht="12.75"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</row>
    <row r="567" spans="3:20" ht="12.75"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</row>
    <row r="568" spans="3:20" ht="12.75"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</row>
    <row r="569" spans="3:20" ht="12.75"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</row>
    <row r="570" spans="3:20" ht="12.75"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</row>
    <row r="571" spans="3:20" ht="12.75"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</row>
    <row r="572" spans="3:20" ht="12.75"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</row>
    <row r="573" spans="3:20" ht="12.75"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</row>
    <row r="574" spans="3:20" ht="12.75"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</row>
    <row r="575" spans="3:20" ht="12.75"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</row>
    <row r="576" spans="3:20" ht="12.75"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</row>
    <row r="577" spans="3:20" ht="12.75"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</row>
    <row r="578" spans="3:20" ht="12.75"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</row>
    <row r="579" spans="3:20" ht="12.75"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</row>
    <row r="580" spans="3:20" ht="12.75"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</row>
    <row r="581" spans="3:20" ht="12.75"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</row>
    <row r="582" spans="3:20" ht="12.75"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</row>
    <row r="583" spans="3:20" ht="12.75"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</row>
    <row r="584" spans="3:20" ht="12.75"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</row>
    <row r="585" spans="3:20" ht="12.75"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</row>
    <row r="586" spans="3:20" ht="12.75"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</row>
    <row r="587" spans="3:20" ht="12.75"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</row>
    <row r="588" spans="3:20" ht="12.75"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</row>
    <row r="589" spans="3:20" ht="12.75"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</row>
    <row r="590" spans="3:20" ht="12.75"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</row>
    <row r="591" spans="3:20" ht="12.75"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</row>
    <row r="592" spans="3:20" ht="12.75"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</row>
    <row r="593" spans="3:20" ht="12.75"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</row>
    <row r="594" spans="3:20" ht="12.75"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</row>
    <row r="595" spans="3:20" ht="12.75"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</row>
    <row r="596" spans="3:20" ht="12.75"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</row>
    <row r="597" spans="3:20" ht="12.75"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</row>
    <row r="598" spans="3:20" ht="12.75"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</row>
    <row r="599" spans="3:20" ht="12.75"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</row>
    <row r="600" spans="3:20" ht="12.75"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</row>
    <row r="601" spans="3:20" ht="12.75"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</row>
    <row r="602" spans="3:20" ht="12.75"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</row>
    <row r="603" spans="3:20" ht="12.75"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</row>
    <row r="604" spans="3:20" ht="12.75"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</row>
    <row r="605" spans="3:20" ht="12.75"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</row>
    <row r="606" spans="3:20" ht="12.75"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</row>
    <row r="607" spans="3:20" ht="12.75"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</row>
    <row r="608" spans="3:20" ht="12.75"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</row>
    <row r="609" spans="3:20" ht="12.75"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</row>
    <row r="610" spans="3:20" ht="12.75"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</row>
    <row r="611" spans="3:20" ht="12.75"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</row>
    <row r="612" spans="3:20" ht="12.75"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</row>
    <row r="613" spans="3:20" ht="12.75"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</row>
    <row r="614" spans="3:20" ht="12.75"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</row>
    <row r="615" spans="3:20" ht="12.75"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</row>
    <row r="616" spans="3:20" ht="12.75"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</row>
    <row r="617" spans="3:20" ht="12.75"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</row>
    <row r="618" spans="3:20" ht="12.75"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</row>
    <row r="619" spans="3:20" ht="12.75"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</row>
    <row r="620" spans="3:20" ht="12.75"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</row>
    <row r="621" spans="3:20" ht="12.75"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</row>
    <row r="622" spans="3:20" ht="12.75"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</row>
    <row r="623" spans="3:20" ht="12.75"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</row>
    <row r="624" spans="3:20" ht="12.75"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</row>
    <row r="625" spans="3:20" ht="12.75"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</row>
    <row r="626" spans="3:20" ht="12.75"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</row>
    <row r="627" spans="3:20" ht="12.75"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</row>
    <row r="628" spans="3:20" ht="12.75"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</row>
    <row r="629" spans="3:20" ht="12.75"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</row>
    <row r="630" spans="3:20" ht="12.75"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</row>
    <row r="631" spans="3:20" ht="12.75"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</row>
    <row r="632" spans="3:20" ht="12.75"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</row>
    <row r="633" spans="3:20" ht="12.75"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</row>
    <row r="634" spans="3:20" ht="12.75"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</row>
    <row r="635" spans="3:20" ht="12.75"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</row>
    <row r="636" spans="3:20" ht="12.75"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</row>
    <row r="637" spans="3:20" ht="12.75"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</row>
    <row r="638" spans="3:20" ht="12.75"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</row>
    <row r="639" spans="3:20" ht="12.75"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</row>
    <row r="640" spans="3:20" ht="12.75"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</row>
    <row r="641" spans="3:20" ht="12.75"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</row>
    <row r="642" spans="3:20" ht="12.75"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</row>
    <row r="643" spans="3:20" ht="12.75"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</row>
    <row r="644" spans="3:20" ht="12.75"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</row>
    <row r="645" spans="3:20" ht="12.75"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</row>
    <row r="646" spans="3:20" ht="12.75"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</row>
    <row r="647" spans="3:20" ht="12.75"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</row>
    <row r="648" spans="3:20" ht="12.75"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</row>
    <row r="649" spans="3:20" ht="12.75"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</row>
    <row r="650" spans="3:20" ht="12.75"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</row>
    <row r="651" spans="3:20" ht="12.75"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</row>
    <row r="652" spans="3:20" ht="12.75"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</row>
    <row r="653" spans="3:20" ht="12.75"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</row>
    <row r="654" spans="3:20" ht="12.75"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</row>
    <row r="655" spans="3:20" ht="12.75"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</row>
    <row r="656" spans="3:20" ht="12.75"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</row>
    <row r="657" spans="3:20" ht="12.75"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</row>
    <row r="658" spans="3:20" ht="12.75"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</row>
    <row r="659" spans="3:20" ht="12.75"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</row>
    <row r="660" spans="3:20" ht="12.75"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</row>
    <row r="661" spans="3:20" ht="12.75"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</row>
    <row r="662" spans="3:20" ht="12.75"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</row>
    <row r="663" spans="3:20" ht="12.75"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</row>
    <row r="664" spans="3:20" ht="12.75"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</row>
    <row r="665" spans="3:20" ht="12.75"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</row>
    <row r="666" spans="3:20" ht="12.75"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</row>
    <row r="667" spans="3:20" ht="12.75"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</row>
    <row r="668" spans="3:20" ht="12.75"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</row>
    <row r="669" spans="3:20" ht="12.75"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</row>
    <row r="670" spans="3:20" ht="12.75"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</row>
    <row r="671" spans="3:20" ht="12.75"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</row>
    <row r="672" spans="3:20" ht="12.75"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</row>
    <row r="673" spans="3:20" ht="12.75"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</row>
    <row r="674" spans="3:20" ht="12.75"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</row>
    <row r="675" spans="3:20" ht="12.75"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</row>
    <row r="676" spans="3:20" ht="12.75"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</row>
    <row r="677" spans="3:20" ht="12.75"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</row>
    <row r="678" spans="3:20" ht="12.75"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</row>
    <row r="679" spans="3:20" ht="12.75"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</row>
    <row r="680" spans="3:20" ht="12.75"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</row>
    <row r="681" spans="3:20" ht="12.75"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</row>
    <row r="682" spans="3:20" ht="12.75"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</row>
    <row r="683" spans="3:20" ht="12.75"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</row>
    <row r="684" spans="3:20" ht="12.75"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</row>
    <row r="685" spans="3:20" ht="12.75"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</row>
    <row r="686" spans="3:20" ht="12.75"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</row>
    <row r="687" spans="3:20" ht="12.75"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</row>
    <row r="688" spans="3:20" ht="12.75"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</row>
    <row r="689" spans="3:20" ht="12.75"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</row>
    <row r="690" spans="3:20" ht="12.75"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</row>
    <row r="691" spans="3:20" ht="12.75"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</row>
    <row r="692" spans="3:20" ht="12.75"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</row>
    <row r="693" spans="3:20" ht="12.75"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</row>
    <row r="694" spans="3:20" ht="12.75"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</row>
    <row r="695" spans="3:20" ht="12.75"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</row>
    <row r="696" spans="3:20" ht="12.75"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</row>
    <row r="697" spans="3:20" ht="12.75"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</row>
    <row r="698" spans="3:20" ht="12.75"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</row>
    <row r="699" spans="3:20" ht="12.75"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</row>
    <row r="700" spans="3:20" ht="12.75"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</row>
    <row r="701" spans="3:20" ht="12.75"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</row>
    <row r="702" spans="3:20" ht="12.75"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</row>
    <row r="703" spans="3:20" ht="12.75"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</row>
    <row r="704" spans="3:20" ht="12.75"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</row>
    <row r="705" spans="3:20" ht="12.75"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</row>
    <row r="706" spans="3:20" ht="12.75"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</row>
    <row r="707" spans="3:20" ht="12.75"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</row>
    <row r="708" spans="3:20" ht="12.75"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</row>
    <row r="709" spans="3:20" ht="12.75"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</row>
    <row r="710" spans="3:20" ht="12.75"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</row>
    <row r="711" spans="3:20" ht="12.75"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</row>
    <row r="712" spans="3:20" ht="12.75"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</row>
    <row r="713" spans="3:20" ht="12.75"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</row>
    <row r="714" spans="3:20" ht="12.75"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</row>
    <row r="715" spans="3:20" ht="12.75"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</row>
    <row r="716" spans="3:20" ht="12.75"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</row>
    <row r="717" spans="3:20" ht="12.75"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</row>
    <row r="718" spans="3:20" ht="12.75"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</row>
    <row r="719" spans="3:20" ht="12.75"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</row>
    <row r="720" spans="3:20" ht="12.75"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</row>
    <row r="721" spans="3:20" ht="12.75"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</row>
    <row r="722" spans="3:20" ht="12.75"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</row>
    <row r="723" spans="3:20" ht="12.75"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</row>
    <row r="724" spans="3:20" ht="12.75"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</row>
    <row r="725" spans="3:20" ht="12.75"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</row>
    <row r="726" spans="3:20" ht="12.75"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</row>
    <row r="727" spans="3:20" ht="12.75"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</row>
    <row r="728" spans="3:20" ht="12.75"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</row>
    <row r="729" spans="3:20" ht="12.75"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</row>
    <row r="730" spans="3:20" ht="12.75"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</row>
    <row r="731" spans="3:20" ht="12.75"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</row>
    <row r="732" spans="3:20" ht="12.75"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</row>
    <row r="733" spans="3:20" ht="12.75"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</row>
    <row r="734" spans="3:20" ht="12.75"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</row>
    <row r="735" spans="3:20" ht="12.75"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</row>
    <row r="736" spans="3:20" ht="12.75"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</row>
    <row r="737" spans="3:20" ht="12.75"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</row>
    <row r="738" spans="3:20" ht="12.75"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</row>
    <row r="739" spans="3:20" ht="12.75"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</row>
    <row r="740" spans="3:20" ht="12.75"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</row>
    <row r="741" spans="3:20" ht="12.75"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</row>
    <row r="742" spans="3:20" ht="12.75"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</row>
    <row r="743" spans="3:20" ht="12.75"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</row>
    <row r="744" spans="3:20" ht="12.75"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</row>
    <row r="745" spans="3:20" ht="12.75"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</row>
    <row r="746" spans="3:20" ht="12.75"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</row>
    <row r="747" spans="3:20" ht="12.75"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</row>
    <row r="748" spans="3:20" ht="12.75"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</row>
    <row r="749" spans="3:20" ht="12.75"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</row>
    <row r="750" spans="3:20" ht="12.75"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</row>
    <row r="751" spans="3:20" ht="12.75"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</row>
    <row r="752" spans="3:20" ht="12.75"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</row>
    <row r="753" spans="3:20" ht="12.75"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</row>
    <row r="754" spans="3:20" ht="12.75"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</row>
    <row r="755" spans="3:20" ht="12.75"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</row>
    <row r="756" spans="3:20" ht="12.75"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</row>
    <row r="757" spans="3:20" ht="12.75"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</row>
    <row r="758" spans="3:20" ht="12.75"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</row>
    <row r="759" spans="3:20" ht="12.75"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</row>
    <row r="760" spans="3:20" ht="12.75"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</row>
    <row r="761" spans="3:20" ht="12.75"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</row>
    <row r="762" spans="3:20" ht="12.75"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</row>
    <row r="763" spans="3:20" ht="12.75"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</row>
    <row r="764" spans="3:20" ht="12.75"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</row>
    <row r="765" spans="3:20" ht="12.75"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</row>
    <row r="766" spans="3:20" ht="12.75"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</row>
    <row r="767" spans="3:20" ht="12.75"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</row>
    <row r="768" spans="3:20" ht="12.75"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</row>
    <row r="769" spans="3:20" ht="12.75"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</row>
    <row r="770" spans="3:20" ht="12.75"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</row>
    <row r="771" spans="3:20" ht="12.75"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</row>
    <row r="772" spans="3:20" ht="12.75"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</row>
    <row r="773" spans="3:20" ht="12.75"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</row>
    <row r="774" spans="3:20" ht="12.75"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</row>
    <row r="775" spans="3:20" ht="12.75"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</row>
    <row r="776" spans="3:20" ht="12.75"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</row>
    <row r="777" spans="3:20" ht="12.75"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</row>
    <row r="778" spans="3:20" ht="12.75"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</row>
    <row r="779" spans="3:20" ht="12.75"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</row>
    <row r="780" spans="3:20" ht="12.75"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</row>
    <row r="781" spans="3:20" ht="12.75"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</row>
    <row r="782" spans="3:20" ht="12.75"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</row>
    <row r="783" spans="3:20" ht="12.75"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</row>
    <row r="784" spans="3:20" ht="12.75"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</row>
    <row r="785" spans="3:20" ht="12.75"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</row>
    <row r="786" spans="3:20" ht="12.75"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</row>
    <row r="787" spans="3:20" ht="12.75"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</row>
    <row r="788" spans="3:20" ht="12.75"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</row>
    <row r="789" spans="3:20" ht="12.75"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</row>
    <row r="790" spans="3:20" ht="12.75"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</row>
    <row r="791" spans="3:20" ht="12.75"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</row>
    <row r="792" spans="3:20" ht="12.75"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</row>
    <row r="793" spans="3:20" ht="12.75"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</row>
    <row r="794" spans="3:20" ht="12.75"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</row>
    <row r="795" spans="3:20" ht="12.75"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</row>
    <row r="796" spans="3:20" ht="12.75"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</row>
    <row r="797" spans="3:20" ht="12.75"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</row>
    <row r="798" spans="3:20" ht="12.75"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</row>
    <row r="799" spans="3:20" ht="12.75"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</row>
    <row r="800" spans="3:20" ht="12.75"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</row>
    <row r="801" spans="3:20" ht="12.75"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</row>
    <row r="802" spans="3:20" ht="12.75"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</row>
    <row r="803" spans="3:20" ht="12.75"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</row>
    <row r="804" spans="3:20" ht="12.75"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</row>
    <row r="805" spans="3:20" ht="12.75"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</row>
    <row r="806" spans="3:20" ht="12.75"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</row>
    <row r="807" spans="3:20" ht="12.75"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</row>
    <row r="808" spans="3:20" ht="12.75"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</row>
    <row r="809" spans="3:20" ht="12.75"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</row>
    <row r="810" spans="3:20" ht="12.75"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</row>
    <row r="811" spans="3:20" ht="12.75"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</row>
    <row r="812" spans="3:20" ht="12.75"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</row>
    <row r="813" spans="3:20" ht="12.75"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</row>
    <row r="814" spans="3:20" ht="12.75"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</row>
    <row r="815" spans="3:20" ht="12.75"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</row>
    <row r="816" spans="3:20" ht="12.75"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</row>
    <row r="817" spans="3:20" ht="12.75"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</row>
    <row r="818" spans="3:20" ht="12.75"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</row>
    <row r="819" spans="3:20" ht="12.75"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</row>
    <row r="820" spans="3:20" ht="12.75"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</row>
    <row r="821" spans="3:20" ht="12.75"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</row>
    <row r="822" spans="3:20" ht="12.75"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</row>
    <row r="823" spans="3:20" ht="12.75"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</row>
    <row r="824" spans="3:20" ht="12.75"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</row>
    <row r="825" spans="3:20" ht="12.75"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</row>
    <row r="826" spans="3:20" ht="12.75"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</row>
    <row r="827" spans="3:20" ht="12.75"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</row>
    <row r="828" spans="3:20" ht="12.75"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</row>
    <row r="829" spans="3:20" ht="12.75"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</row>
    <row r="830" spans="3:20" ht="12.75"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</row>
    <row r="831" spans="3:20" ht="12.75"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</row>
    <row r="832" spans="3:20" ht="12.75"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</row>
    <row r="833" spans="3:20" ht="12.75"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</row>
    <row r="834" spans="3:20" ht="12.75"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</row>
    <row r="835" spans="3:20" ht="12.75"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</row>
    <row r="836" spans="3:20" ht="12.75"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</row>
    <row r="837" spans="3:20" ht="12.75"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</row>
    <row r="838" spans="3:20" ht="12.75"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</row>
    <row r="839" spans="3:20" ht="12.75"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</row>
    <row r="840" spans="3:20" ht="12.75"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</row>
    <row r="841" spans="3:20" ht="12.75"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</row>
    <row r="842" spans="3:20" ht="12.75"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</row>
    <row r="843" spans="3:20" ht="12.75"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</row>
    <row r="844" spans="3:20" ht="12.75"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</row>
    <row r="845" spans="3:20" ht="12.75"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</row>
    <row r="846" spans="3:20" ht="12.75"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</row>
    <row r="847" spans="3:20" ht="12.75"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</row>
    <row r="848" spans="3:20" ht="12.75"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</row>
  </sheetData>
  <sheetProtection/>
  <mergeCells count="10">
    <mergeCell ref="A1:P1"/>
    <mergeCell ref="A2:P2"/>
    <mergeCell ref="A42:K42"/>
    <mergeCell ref="A48:K48"/>
    <mergeCell ref="A5:K5"/>
    <mergeCell ref="A11:K11"/>
    <mergeCell ref="A17:K17"/>
    <mergeCell ref="A23:K23"/>
    <mergeCell ref="A30:K30"/>
    <mergeCell ref="A36:K36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P32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25.7109375" style="3" customWidth="1"/>
    <col min="2" max="16384" width="10.7109375" style="6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6" ht="12.75">
      <c r="A2" s="458" t="s">
        <v>25</v>
      </c>
      <c r="B2" s="458"/>
      <c r="C2" s="458"/>
      <c r="D2" s="458"/>
      <c r="E2" s="458"/>
      <c r="F2" s="458"/>
    </row>
    <row r="3" spans="1:9" ht="25.5">
      <c r="A3" s="21"/>
      <c r="B3" s="28">
        <v>2001</v>
      </c>
      <c r="C3" s="28">
        <v>2002</v>
      </c>
      <c r="D3" s="28">
        <v>2003</v>
      </c>
      <c r="E3" s="28">
        <v>2004</v>
      </c>
      <c r="F3" s="197" t="str">
        <f>"Total "&amp;CHAR(10)&amp;B3&amp;" - "&amp;E3</f>
        <v>Total 
2001 - 2004</v>
      </c>
      <c r="G3" s="3"/>
      <c r="H3" s="3"/>
      <c r="I3" s="3"/>
    </row>
    <row r="4" spans="1:9" ht="12.75">
      <c r="A4" s="43" t="s">
        <v>54</v>
      </c>
      <c r="B4" s="40"/>
      <c r="C4" s="40"/>
      <c r="D4" s="40"/>
      <c r="E4" s="40"/>
      <c r="F4" s="40"/>
      <c r="G4" s="3"/>
      <c r="H4" s="3"/>
      <c r="I4" s="3"/>
    </row>
    <row r="5" spans="1:9" ht="12.75">
      <c r="A5" s="15" t="s">
        <v>110</v>
      </c>
      <c r="B5" s="274">
        <v>6740</v>
      </c>
      <c r="C5" s="274">
        <v>7246</v>
      </c>
      <c r="D5" s="274">
        <v>7906</v>
      </c>
      <c r="E5" s="274">
        <v>935</v>
      </c>
      <c r="F5" s="274">
        <f>SUM(B5:E5)</f>
        <v>22827</v>
      </c>
      <c r="G5" s="3"/>
      <c r="H5" s="3"/>
      <c r="I5" s="3"/>
    </row>
    <row r="6" spans="1:6" ht="42" customHeight="1">
      <c r="A6" s="460" t="s">
        <v>282</v>
      </c>
      <c r="B6" s="460"/>
      <c r="C6" s="460"/>
      <c r="D6" s="460"/>
      <c r="E6" s="460"/>
      <c r="F6" s="460"/>
    </row>
    <row r="7" ht="12.75" customHeight="1"/>
    <row r="8" spans="1:9" ht="12.75">
      <c r="A8" s="30" t="s">
        <v>33</v>
      </c>
      <c r="B8" s="41"/>
      <c r="C8" s="41"/>
      <c r="D8" s="41"/>
      <c r="E8" s="41"/>
      <c r="F8" s="40"/>
      <c r="G8" s="3"/>
      <c r="H8" s="3"/>
      <c r="I8" s="3"/>
    </row>
    <row r="9" spans="1:6" s="3" customFormat="1" ht="12.75">
      <c r="A9" s="15" t="s">
        <v>58</v>
      </c>
      <c r="B9" s="274">
        <v>7825</v>
      </c>
      <c r="C9" s="274">
        <v>7516</v>
      </c>
      <c r="D9" s="274">
        <v>5916</v>
      </c>
      <c r="E9" s="274">
        <v>496</v>
      </c>
      <c r="F9" s="274">
        <f>SUM(B9:E9)</f>
        <v>21753</v>
      </c>
    </row>
    <row r="10" spans="1:6" s="3" customFormat="1" ht="12.75">
      <c r="A10" s="21"/>
      <c r="B10" s="42"/>
      <c r="C10" s="42"/>
      <c r="D10" s="42"/>
      <c r="E10" s="42"/>
      <c r="F10" s="42"/>
    </row>
    <row r="11" spans="1:6" s="3" customFormat="1" ht="12.75">
      <c r="A11" s="43" t="s">
        <v>34</v>
      </c>
      <c r="F11" s="44"/>
    </row>
    <row r="12" spans="1:6" s="3" customFormat="1" ht="12.75">
      <c r="A12" s="16" t="s">
        <v>114</v>
      </c>
      <c r="B12" s="252">
        <v>239060</v>
      </c>
      <c r="C12" s="252">
        <v>226830</v>
      </c>
      <c r="D12" s="252">
        <v>218392</v>
      </c>
      <c r="E12" s="252">
        <v>228655</v>
      </c>
      <c r="F12" s="252"/>
    </row>
    <row r="13" spans="1:6" s="3" customFormat="1" ht="12.75">
      <c r="A13" s="21"/>
      <c r="B13" s="44"/>
      <c r="C13" s="44"/>
      <c r="D13" s="44"/>
      <c r="E13" s="44"/>
      <c r="F13" s="44"/>
    </row>
    <row r="14" spans="1:6" s="3" customFormat="1" ht="12.75">
      <c r="A14" s="43" t="s">
        <v>59</v>
      </c>
      <c r="B14" s="40" t="s">
        <v>9</v>
      </c>
      <c r="C14" s="40" t="s">
        <v>9</v>
      </c>
      <c r="D14" s="40" t="s">
        <v>9</v>
      </c>
      <c r="E14" s="40" t="s">
        <v>9</v>
      </c>
      <c r="F14" s="40"/>
    </row>
    <row r="15" spans="1:6" ht="12.75">
      <c r="A15" s="15" t="s">
        <v>31</v>
      </c>
      <c r="B15" s="252">
        <v>204971</v>
      </c>
      <c r="C15" s="252">
        <v>196222</v>
      </c>
      <c r="D15" s="252">
        <v>194531</v>
      </c>
      <c r="E15" s="252">
        <v>173164</v>
      </c>
      <c r="F15" s="252"/>
    </row>
    <row r="17" spans="1:2" ht="12.75">
      <c r="A17" s="21" t="s">
        <v>60</v>
      </c>
      <c r="B17" s="7"/>
    </row>
    <row r="18" ht="12.75">
      <c r="A18" s="7" t="s">
        <v>77</v>
      </c>
    </row>
    <row r="19" spans="2:7" ht="12.75">
      <c r="B19" s="8"/>
      <c r="G19" s="8"/>
    </row>
    <row r="20" spans="2:10" ht="12.75">
      <c r="B20" s="9"/>
      <c r="C20" s="9"/>
      <c r="D20" s="9"/>
      <c r="E20" s="9"/>
      <c r="F20" s="9"/>
      <c r="G20" s="9"/>
      <c r="H20" s="9"/>
      <c r="I20" s="9"/>
      <c r="J20" s="9"/>
    </row>
    <row r="21" ht="12.75">
      <c r="B21" s="3"/>
    </row>
    <row r="22" ht="12.75">
      <c r="A22" s="2"/>
    </row>
    <row r="23" spans="2:10" ht="12.75"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2"/>
      <c r="B24" s="10"/>
      <c r="C24" s="10"/>
      <c r="D24" s="10"/>
      <c r="E24" s="10"/>
      <c r="F24" s="10"/>
      <c r="G24" s="10"/>
      <c r="H24" s="10"/>
      <c r="I24" s="10"/>
      <c r="J24" s="10"/>
    </row>
    <row r="25" spans="2:7" ht="12.75">
      <c r="B25" s="8"/>
      <c r="G25" s="8"/>
    </row>
    <row r="26" ht="12.75">
      <c r="A26" s="2"/>
    </row>
    <row r="27" spans="1:10" ht="12.75">
      <c r="A27" s="2"/>
      <c r="B27" s="9"/>
      <c r="C27" s="9"/>
      <c r="D27" s="9"/>
      <c r="E27" s="9"/>
      <c r="F27" s="9"/>
      <c r="G27" s="9"/>
      <c r="H27" s="9"/>
      <c r="I27" s="9"/>
      <c r="J27" s="9"/>
    </row>
    <row r="28" spans="2:10" ht="12.75">
      <c r="B28" s="9"/>
      <c r="C28" s="9"/>
      <c r="D28" s="9"/>
      <c r="E28" s="9"/>
      <c r="F28" s="9"/>
      <c r="G28" s="9"/>
      <c r="H28" s="9"/>
      <c r="I28" s="9"/>
      <c r="J28" s="9"/>
    </row>
    <row r="29" ht="12.75">
      <c r="B29" s="3"/>
    </row>
    <row r="30" ht="12.75">
      <c r="A30" s="2"/>
    </row>
    <row r="31" spans="1:10" ht="12.75">
      <c r="A31" s="2"/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2"/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/>
  <mergeCells count="3">
    <mergeCell ref="A6:F6"/>
    <mergeCell ref="A2:F2"/>
    <mergeCell ref="A1:F1"/>
  </mergeCells>
  <printOptions horizontalCentered="1"/>
  <pageMargins left="0.17" right="0.17" top="0.4" bottom="0.6" header="0.24" footer="0.24"/>
  <pageSetup horizontalDpi="600" verticalDpi="600" orientation="landscape" r:id="rId1"/>
  <headerFooter scaleWithDoc="0" alignWithMargins="0">
    <oddFooter>&amp;L&amp;6&amp;A - Results by Program Year&amp;R&amp;6printed &amp;D at 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I27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28.7109375" style="0" customWidth="1"/>
    <col min="2" max="5" width="14.7109375" style="0" bestFit="1" customWidth="1"/>
    <col min="6" max="6" width="14.421875" style="0" bestFit="1" customWidth="1"/>
    <col min="7" max="8" width="14.140625" style="0" bestFit="1" customWidth="1"/>
    <col min="9" max="9" width="15.57421875" style="0" bestFit="1" customWidth="1"/>
  </cols>
  <sheetData>
    <row r="1" spans="1:9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</row>
    <row r="2" spans="1:9" ht="12.75">
      <c r="A2" s="458" t="s">
        <v>55</v>
      </c>
      <c r="B2" s="458"/>
      <c r="C2" s="458"/>
      <c r="D2" s="458"/>
      <c r="E2" s="458"/>
      <c r="F2" s="458"/>
      <c r="G2" s="458"/>
      <c r="H2" s="458"/>
      <c r="I2" s="458"/>
    </row>
    <row r="3" ht="12.75">
      <c r="A3" s="24"/>
    </row>
    <row r="4" spans="1:9" ht="25.5">
      <c r="A4" s="30" t="s">
        <v>206</v>
      </c>
      <c r="B4" s="28">
        <v>2003</v>
      </c>
      <c r="C4" s="28">
        <v>2004</v>
      </c>
      <c r="D4" s="28">
        <v>2005</v>
      </c>
      <c r="E4" s="28">
        <v>2006</v>
      </c>
      <c r="F4" s="28">
        <v>2007</v>
      </c>
      <c r="G4" s="28">
        <v>2008</v>
      </c>
      <c r="H4" s="28">
        <v>2009</v>
      </c>
      <c r="I4" s="197" t="str">
        <f>"Total "&amp;CHAR(10)&amp;B4&amp;" - "&amp;H4</f>
        <v>Total 
2003 - 2009</v>
      </c>
    </row>
    <row r="5" spans="1:9" ht="12.75">
      <c r="A5" s="18" t="s">
        <v>101</v>
      </c>
      <c r="B5" s="242">
        <v>2000</v>
      </c>
      <c r="C5" s="242">
        <v>3000</v>
      </c>
      <c r="D5" s="242">
        <v>4000</v>
      </c>
      <c r="E5" s="242">
        <v>4000</v>
      </c>
      <c r="F5" s="242">
        <v>6736</v>
      </c>
      <c r="G5" s="242">
        <v>7950</v>
      </c>
      <c r="H5" s="242"/>
      <c r="I5" s="242"/>
    </row>
    <row r="6" spans="1:9" ht="12.75">
      <c r="A6" s="16" t="s">
        <v>205</v>
      </c>
      <c r="B6" s="244">
        <f aca="true" t="shared" si="0" ref="B6:G6">B5*1000</f>
        <v>2000000</v>
      </c>
      <c r="C6" s="244">
        <f t="shared" si="0"/>
        <v>3000000</v>
      </c>
      <c r="D6" s="244">
        <f t="shared" si="0"/>
        <v>4000000</v>
      </c>
      <c r="E6" s="244">
        <f t="shared" si="0"/>
        <v>4000000</v>
      </c>
      <c r="F6" s="244">
        <f t="shared" si="0"/>
        <v>6736000</v>
      </c>
      <c r="G6" s="244">
        <f t="shared" si="0"/>
        <v>7950000</v>
      </c>
      <c r="H6" s="244">
        <v>4956762</v>
      </c>
      <c r="I6" s="244">
        <f>SUM(B6:H6)</f>
        <v>32642762</v>
      </c>
    </row>
    <row r="7" spans="1:9" ht="29.25" customHeight="1">
      <c r="A7" s="470" t="s">
        <v>282</v>
      </c>
      <c r="B7" s="470"/>
      <c r="C7" s="470"/>
      <c r="D7" s="470"/>
      <c r="E7" s="470"/>
      <c r="F7" s="470"/>
      <c r="G7" s="470"/>
      <c r="H7" s="470"/>
      <c r="I7" s="470"/>
    </row>
    <row r="8" spans="1:9" ht="13.5" customHeight="1">
      <c r="A8" s="134"/>
      <c r="B8" s="134"/>
      <c r="C8" s="134"/>
      <c r="D8" s="134"/>
      <c r="E8" s="134"/>
      <c r="F8" s="134"/>
      <c r="G8" s="134"/>
      <c r="H8" s="134"/>
      <c r="I8" s="134"/>
    </row>
    <row r="9" spans="1:9" ht="12.75">
      <c r="A9" s="30" t="s">
        <v>255</v>
      </c>
      <c r="B9" s="105"/>
      <c r="C9" s="105"/>
      <c r="D9" s="105"/>
      <c r="E9" s="105"/>
      <c r="F9" s="105"/>
      <c r="G9" s="105"/>
      <c r="H9" s="105"/>
      <c r="I9" s="105"/>
    </row>
    <row r="10" spans="1:9" ht="12.75">
      <c r="A10" s="15" t="s">
        <v>27</v>
      </c>
      <c r="B10" s="242">
        <v>39</v>
      </c>
      <c r="C10" s="242">
        <v>2429</v>
      </c>
      <c r="D10" s="242">
        <v>2572</v>
      </c>
      <c r="E10" s="242">
        <v>1123</v>
      </c>
      <c r="F10" s="242">
        <v>2786</v>
      </c>
      <c r="G10" s="242">
        <v>3043</v>
      </c>
      <c r="H10" s="242">
        <v>3709765</v>
      </c>
      <c r="I10" s="242"/>
    </row>
    <row r="11" spans="1:9" ht="12.75">
      <c r="A11" s="15" t="s">
        <v>17</v>
      </c>
      <c r="B11" s="242">
        <v>1052</v>
      </c>
      <c r="C11" s="242">
        <v>382</v>
      </c>
      <c r="D11" s="242">
        <v>1067</v>
      </c>
      <c r="E11" s="242">
        <v>2118</v>
      </c>
      <c r="F11" s="242">
        <v>1175</v>
      </c>
      <c r="G11" s="242">
        <v>1667</v>
      </c>
      <c r="H11" s="242"/>
      <c r="I11" s="242"/>
    </row>
    <row r="12" spans="1:9" ht="12.75">
      <c r="A12" s="15" t="s">
        <v>28</v>
      </c>
      <c r="B12" s="242">
        <f aca="true" t="shared" si="1" ref="B12:G12">SUM(B10:B11)</f>
        <v>1091</v>
      </c>
      <c r="C12" s="242">
        <f t="shared" si="1"/>
        <v>2811</v>
      </c>
      <c r="D12" s="242">
        <f t="shared" si="1"/>
        <v>3639</v>
      </c>
      <c r="E12" s="242">
        <f t="shared" si="1"/>
        <v>3241</v>
      </c>
      <c r="F12" s="242">
        <f t="shared" si="1"/>
        <v>3961</v>
      </c>
      <c r="G12" s="242">
        <f t="shared" si="1"/>
        <v>4710</v>
      </c>
      <c r="H12" s="242"/>
      <c r="I12" s="242"/>
    </row>
    <row r="13" spans="1:9" ht="12.75">
      <c r="A13" s="16" t="s">
        <v>205</v>
      </c>
      <c r="B13" s="244">
        <f aca="true" t="shared" si="2" ref="B13:G13">B12*1000</f>
        <v>1091000</v>
      </c>
      <c r="C13" s="244">
        <f t="shared" si="2"/>
        <v>2811000</v>
      </c>
      <c r="D13" s="244">
        <f t="shared" si="2"/>
        <v>3639000</v>
      </c>
      <c r="E13" s="244">
        <f t="shared" si="2"/>
        <v>3241000</v>
      </c>
      <c r="F13" s="244">
        <f t="shared" si="2"/>
        <v>3961000</v>
      </c>
      <c r="G13" s="244">
        <f t="shared" si="2"/>
        <v>4710000</v>
      </c>
      <c r="H13" s="244">
        <f>SUM(H10:H12)</f>
        <v>3709765</v>
      </c>
      <c r="I13" s="244">
        <f>SUM(B13:H13)</f>
        <v>23162765</v>
      </c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ht="12.75">
      <c r="A15" s="30" t="s">
        <v>56</v>
      </c>
    </row>
    <row r="16" spans="1:9" ht="12.75">
      <c r="A16" s="14"/>
      <c r="B16" s="248">
        <v>2216</v>
      </c>
      <c r="C16" s="248">
        <f>560+927</f>
        <v>1487</v>
      </c>
      <c r="D16" s="248">
        <v>4850</v>
      </c>
      <c r="E16" s="248">
        <v>2004</v>
      </c>
      <c r="F16" s="248">
        <v>1978</v>
      </c>
      <c r="G16" s="248">
        <v>8982</v>
      </c>
      <c r="H16" s="248">
        <v>11256</v>
      </c>
      <c r="I16" s="248">
        <f>SUM(B16:H16)</f>
        <v>32773</v>
      </c>
    </row>
    <row r="17" spans="1:9" ht="12.75">
      <c r="A17" s="24"/>
      <c r="B17" s="24"/>
      <c r="C17" s="24"/>
      <c r="D17" s="24"/>
      <c r="E17" s="24"/>
      <c r="F17" s="24"/>
      <c r="G17" s="24"/>
      <c r="H17" s="24"/>
      <c r="I17" s="24"/>
    </row>
    <row r="18" spans="1:9" ht="12.75">
      <c r="A18" s="30" t="s">
        <v>138</v>
      </c>
      <c r="D18" s="3" t="s">
        <v>8</v>
      </c>
      <c r="E18" s="3" t="s">
        <v>155</v>
      </c>
      <c r="F18" s="3" t="s">
        <v>8</v>
      </c>
      <c r="G18" s="26" t="s">
        <v>8</v>
      </c>
      <c r="H18" s="26" t="s">
        <v>8</v>
      </c>
      <c r="I18" s="3" t="s">
        <v>8</v>
      </c>
    </row>
    <row r="19" spans="1:9" ht="12.75">
      <c r="A19" s="22"/>
      <c r="B19" s="279" t="s">
        <v>57</v>
      </c>
      <c r="C19" s="279" t="s">
        <v>57</v>
      </c>
      <c r="D19" s="248">
        <v>4118</v>
      </c>
      <c r="E19" s="248">
        <v>1897</v>
      </c>
      <c r="F19" s="248">
        <v>1127</v>
      </c>
      <c r="G19" s="248">
        <v>373</v>
      </c>
      <c r="H19" s="248">
        <v>455</v>
      </c>
      <c r="I19" s="248">
        <f>SUM(B19:H19)</f>
        <v>7970</v>
      </c>
    </row>
    <row r="21" spans="1:9" ht="12.75">
      <c r="A21" s="1" t="s">
        <v>139</v>
      </c>
      <c r="D21" s="3" t="s">
        <v>8</v>
      </c>
      <c r="E21" s="3" t="s">
        <v>8</v>
      </c>
      <c r="F21" s="3" t="s">
        <v>8</v>
      </c>
      <c r="G21" s="26" t="s">
        <v>8</v>
      </c>
      <c r="H21" s="26" t="s">
        <v>8</v>
      </c>
      <c r="I21" s="3" t="s">
        <v>8</v>
      </c>
    </row>
    <row r="22" spans="1:9" ht="12.75">
      <c r="A22" s="22"/>
      <c r="B22" s="248"/>
      <c r="C22" s="248"/>
      <c r="D22" s="248"/>
      <c r="E22" s="248">
        <v>10479</v>
      </c>
      <c r="F22" s="248">
        <v>10334</v>
      </c>
      <c r="G22" s="248">
        <v>11570</v>
      </c>
      <c r="H22" s="248">
        <v>14106</v>
      </c>
      <c r="I22" s="248">
        <f>SUM(B22:H22)</f>
        <v>46489</v>
      </c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1" t="s">
        <v>140</v>
      </c>
      <c r="E24" s="26" t="s">
        <v>9</v>
      </c>
      <c r="F24" s="26" t="s">
        <v>9</v>
      </c>
      <c r="G24" s="26" t="s">
        <v>9</v>
      </c>
      <c r="H24" s="26" t="s">
        <v>9</v>
      </c>
      <c r="I24" s="26" t="s">
        <v>9</v>
      </c>
    </row>
    <row r="25" spans="1:9" ht="12.75">
      <c r="A25" s="22"/>
      <c r="B25" s="248"/>
      <c r="C25" s="248"/>
      <c r="D25" s="248"/>
      <c r="E25" s="248"/>
      <c r="F25" s="248"/>
      <c r="G25" s="248"/>
      <c r="H25" s="248"/>
      <c r="I25" s="248"/>
    </row>
    <row r="27" ht="12.75">
      <c r="A27" t="s">
        <v>156</v>
      </c>
    </row>
  </sheetData>
  <sheetProtection/>
  <mergeCells count="3">
    <mergeCell ref="A2:I2"/>
    <mergeCell ref="A7:I7"/>
    <mergeCell ref="A1:I1"/>
  </mergeCells>
  <printOptions/>
  <pageMargins left="0.17" right="0.17" top="0.4" bottom="0.6" header="0.24" footer="0.24"/>
  <pageSetup fitToHeight="1" fitToWidth="1" horizontalDpi="600" verticalDpi="600" orientation="landscape" scale="94" r:id="rId1"/>
  <headerFooter scaleWithDoc="0" alignWithMargins="0">
    <oddFooter>&amp;L&amp;6&amp;A - Results by Program Year&amp;R&amp;6printed &amp;D at 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53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40.421875" style="3" customWidth="1"/>
    <col min="2" max="2" width="12.00390625" style="6" bestFit="1" customWidth="1"/>
    <col min="3" max="3" width="12.140625" style="6" bestFit="1" customWidth="1"/>
    <col min="4" max="6" width="12.7109375" style="6" bestFit="1" customWidth="1"/>
    <col min="7" max="7" width="12.00390625" style="6" bestFit="1" customWidth="1"/>
    <col min="8" max="8" width="12.7109375" style="6" bestFit="1" customWidth="1"/>
    <col min="9" max="9" width="10.7109375" style="6" bestFit="1" customWidth="1"/>
    <col min="10" max="10" width="11.7109375" style="6" customWidth="1"/>
    <col min="11" max="11" width="11.28125" style="6" customWidth="1"/>
    <col min="12" max="12" width="13.2812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254</v>
      </c>
      <c r="B4" s="28">
        <v>2001</v>
      </c>
      <c r="C4" s="28">
        <v>2002</v>
      </c>
      <c r="D4" s="28" t="s">
        <v>240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346" t="str">
        <f>"Total "&amp;CHAR(10)&amp;B4&amp;" - "&amp;K4</f>
        <v>Total 
2001 - 2010</v>
      </c>
      <c r="M4" s="3"/>
      <c r="N4" s="3"/>
      <c r="O4" s="3"/>
    </row>
    <row r="5" spans="1:15" ht="12.75">
      <c r="A5" s="32" t="s">
        <v>106</v>
      </c>
      <c r="B5" s="274">
        <f>11500*1000</f>
        <v>11500000</v>
      </c>
      <c r="C5" s="274">
        <f>14916*1000</f>
        <v>14916000</v>
      </c>
      <c r="D5" s="274"/>
      <c r="E5" s="274">
        <v>2000000</v>
      </c>
      <c r="F5" s="274">
        <v>2000000</v>
      </c>
      <c r="G5" s="274"/>
      <c r="H5" s="274"/>
      <c r="I5" s="274"/>
      <c r="J5" s="274"/>
      <c r="K5" s="274"/>
      <c r="L5" s="274"/>
      <c r="M5" s="3"/>
      <c r="N5" s="3"/>
      <c r="O5" s="3"/>
    </row>
    <row r="6" spans="1:15" ht="25.5">
      <c r="A6" s="38" t="s">
        <v>95</v>
      </c>
      <c r="B6" s="274">
        <v>0</v>
      </c>
      <c r="C6" s="274">
        <v>0</v>
      </c>
      <c r="D6" s="274"/>
      <c r="E6" s="274">
        <v>16000000</v>
      </c>
      <c r="F6" s="274">
        <v>14000000</v>
      </c>
      <c r="G6" s="274">
        <v>11782000</v>
      </c>
      <c r="H6" s="274">
        <v>10400000</v>
      </c>
      <c r="I6" s="274">
        <v>4072000</v>
      </c>
      <c r="J6" s="274">
        <v>4085967</v>
      </c>
      <c r="K6" s="274">
        <v>1284714</v>
      </c>
      <c r="L6" s="274"/>
      <c r="M6" s="3"/>
      <c r="N6" s="3"/>
      <c r="O6" s="3"/>
    </row>
    <row r="7" spans="1:15" ht="12.75">
      <c r="A7" s="16" t="s">
        <v>1</v>
      </c>
      <c r="B7" s="274">
        <f>SUM(B5:B6)</f>
        <v>11500000</v>
      </c>
      <c r="C7" s="274">
        <f>SUM(C5:C6)</f>
        <v>14916000</v>
      </c>
      <c r="D7" s="274">
        <v>14900000</v>
      </c>
      <c r="E7" s="274">
        <f aca="true" t="shared" si="0" ref="E7:K7">SUM(E5:E6)</f>
        <v>18000000</v>
      </c>
      <c r="F7" s="274">
        <f t="shared" si="0"/>
        <v>16000000</v>
      </c>
      <c r="G7" s="274">
        <f t="shared" si="0"/>
        <v>11782000</v>
      </c>
      <c r="H7" s="274">
        <f t="shared" si="0"/>
        <v>10400000</v>
      </c>
      <c r="I7" s="274">
        <f t="shared" si="0"/>
        <v>4072000</v>
      </c>
      <c r="J7" s="274">
        <f t="shared" si="0"/>
        <v>4085967</v>
      </c>
      <c r="K7" s="274">
        <f t="shared" si="0"/>
        <v>1284714</v>
      </c>
      <c r="L7" s="274">
        <f>SUM(B7:K7)</f>
        <v>106940681</v>
      </c>
      <c r="M7" s="3"/>
      <c r="N7" s="3"/>
      <c r="O7" s="3"/>
    </row>
    <row r="8" spans="1:15" ht="12.75">
      <c r="A8" s="21" t="s">
        <v>96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3"/>
      <c r="N8" s="3"/>
      <c r="O8" s="3"/>
    </row>
    <row r="9" spans="1:15" ht="12.75">
      <c r="A9" s="39"/>
      <c r="B9" s="103"/>
      <c r="C9" s="103"/>
      <c r="D9" s="103"/>
      <c r="E9" s="103"/>
      <c r="F9" s="103"/>
      <c r="G9" s="103"/>
      <c r="H9" s="103"/>
      <c r="I9" s="103"/>
      <c r="J9" s="123" t="s">
        <v>88</v>
      </c>
      <c r="K9" s="103"/>
      <c r="L9" s="103"/>
      <c r="M9" s="3"/>
      <c r="N9" s="3"/>
      <c r="O9" s="3"/>
    </row>
    <row r="10" spans="1:15" ht="12.75">
      <c r="A10" s="30" t="s">
        <v>256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03"/>
      <c r="M10" s="3"/>
      <c r="N10" s="3"/>
      <c r="O10" s="3"/>
    </row>
    <row r="11" spans="1:12" ht="12.75">
      <c r="A11" s="32" t="s">
        <v>106</v>
      </c>
      <c r="B11" s="274">
        <v>34</v>
      </c>
      <c r="C11" s="274">
        <v>303</v>
      </c>
      <c r="D11" s="274">
        <v>305</v>
      </c>
      <c r="E11" s="274">
        <v>181</v>
      </c>
      <c r="F11" s="274">
        <v>6</v>
      </c>
      <c r="G11" s="274" t="s">
        <v>4</v>
      </c>
      <c r="H11" s="274"/>
      <c r="I11" s="274"/>
      <c r="J11" s="274"/>
      <c r="K11" s="274"/>
      <c r="L11" s="274"/>
    </row>
    <row r="12" spans="1:12" ht="25.5">
      <c r="A12" s="38" t="s">
        <v>95</v>
      </c>
      <c r="B12" s="274">
        <v>0</v>
      </c>
      <c r="C12" s="274">
        <v>0</v>
      </c>
      <c r="D12" s="274">
        <v>0</v>
      </c>
      <c r="E12" s="274">
        <v>114</v>
      </c>
      <c r="F12" s="274">
        <v>557</v>
      </c>
      <c r="G12" s="274">
        <v>203</v>
      </c>
      <c r="H12" s="274">
        <v>3052</v>
      </c>
      <c r="I12" s="274">
        <v>1536</v>
      </c>
      <c r="J12" s="274">
        <v>2725286</v>
      </c>
      <c r="K12" s="274">
        <v>1284714</v>
      </c>
      <c r="L12" s="274"/>
    </row>
    <row r="13" spans="1:12" ht="12.75">
      <c r="A13" s="16" t="s">
        <v>1</v>
      </c>
      <c r="B13" s="274">
        <f aca="true" t="shared" si="1" ref="B13:I13">SUM(B11:B12)</f>
        <v>34</v>
      </c>
      <c r="C13" s="274">
        <f t="shared" si="1"/>
        <v>303</v>
      </c>
      <c r="D13" s="274">
        <f t="shared" si="1"/>
        <v>305</v>
      </c>
      <c r="E13" s="274">
        <f t="shared" si="1"/>
        <v>295</v>
      </c>
      <c r="F13" s="274">
        <f t="shared" si="1"/>
        <v>563</v>
      </c>
      <c r="G13" s="274">
        <f t="shared" si="1"/>
        <v>203</v>
      </c>
      <c r="H13" s="274">
        <f t="shared" si="1"/>
        <v>3052</v>
      </c>
      <c r="I13" s="274">
        <f t="shared" si="1"/>
        <v>1536</v>
      </c>
      <c r="J13" s="274"/>
      <c r="K13" s="274"/>
      <c r="L13" s="274"/>
    </row>
    <row r="14" spans="1:12" ht="12.75">
      <c r="A14" s="16" t="s">
        <v>205</v>
      </c>
      <c r="B14" s="274">
        <f>B13*1000</f>
        <v>34000</v>
      </c>
      <c r="C14" s="274">
        <f aca="true" t="shared" si="2" ref="C14:I14">C13*1000</f>
        <v>303000</v>
      </c>
      <c r="D14" s="274">
        <f t="shared" si="2"/>
        <v>305000</v>
      </c>
      <c r="E14" s="274">
        <f t="shared" si="2"/>
        <v>295000</v>
      </c>
      <c r="F14" s="274">
        <f t="shared" si="2"/>
        <v>563000</v>
      </c>
      <c r="G14" s="274">
        <f t="shared" si="2"/>
        <v>203000</v>
      </c>
      <c r="H14" s="274">
        <f t="shared" si="2"/>
        <v>3052000</v>
      </c>
      <c r="I14" s="274">
        <f t="shared" si="2"/>
        <v>1536000</v>
      </c>
      <c r="J14" s="274">
        <f>SUM(J12:J13)</f>
        <v>2725286</v>
      </c>
      <c r="K14" s="274">
        <f>SUM(K12:K13)</f>
        <v>1284714</v>
      </c>
      <c r="L14" s="274">
        <f>SUM(B14:K14)</f>
        <v>10301000</v>
      </c>
    </row>
    <row r="15" spans="1:24" ht="12.75">
      <c r="A15" s="2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0"/>
      <c r="N15" s="10"/>
      <c r="O15" s="10"/>
      <c r="P15" s="10"/>
      <c r="Q15" s="9"/>
      <c r="R15" s="9"/>
      <c r="S15" s="9"/>
      <c r="T15" s="9"/>
      <c r="U15" s="9"/>
      <c r="V15" s="9"/>
      <c r="W15" s="9"/>
      <c r="X15" s="9"/>
    </row>
    <row r="16" spans="1:24" ht="12.75">
      <c r="A16" s="30" t="s">
        <v>98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03"/>
      <c r="M16" s="10"/>
      <c r="N16" s="10"/>
      <c r="O16" s="10"/>
      <c r="P16" s="10"/>
      <c r="Q16" s="9"/>
      <c r="R16" s="9"/>
      <c r="S16" s="9"/>
      <c r="T16" s="9"/>
      <c r="U16" s="9"/>
      <c r="V16" s="9"/>
      <c r="W16" s="9"/>
      <c r="X16" s="9"/>
    </row>
    <row r="17" spans="1:24" ht="12.75">
      <c r="A17" s="32" t="s">
        <v>106</v>
      </c>
      <c r="B17" s="274">
        <v>0</v>
      </c>
      <c r="C17" s="274">
        <v>11300</v>
      </c>
      <c r="D17" s="274">
        <v>0</v>
      </c>
      <c r="E17" s="274">
        <v>0</v>
      </c>
      <c r="F17" s="274">
        <v>2000</v>
      </c>
      <c r="G17" s="274" t="s">
        <v>4</v>
      </c>
      <c r="H17" s="274"/>
      <c r="I17" s="274"/>
      <c r="J17" s="274"/>
      <c r="K17" s="274"/>
      <c r="L17" s="274">
        <f>SUM(B17:K17)</f>
        <v>13300</v>
      </c>
      <c r="M17" s="10"/>
      <c r="N17" s="10"/>
      <c r="O17" s="10"/>
      <c r="P17" s="10"/>
      <c r="Q17" s="9"/>
      <c r="R17" s="9"/>
      <c r="S17" s="9"/>
      <c r="T17" s="9"/>
      <c r="U17" s="9"/>
      <c r="V17" s="9"/>
      <c r="W17" s="9"/>
      <c r="X17" s="9"/>
    </row>
    <row r="18" spans="1:12" ht="25.5">
      <c r="A18" s="38" t="s">
        <v>95</v>
      </c>
      <c r="B18" s="274">
        <v>0</v>
      </c>
      <c r="C18" s="274">
        <v>0</v>
      </c>
      <c r="D18" s="274">
        <v>0</v>
      </c>
      <c r="E18" s="274">
        <v>513</v>
      </c>
      <c r="F18" s="274">
        <v>0</v>
      </c>
      <c r="G18" s="274">
        <v>7956</v>
      </c>
      <c r="H18" s="274">
        <v>3263</v>
      </c>
      <c r="I18" s="274">
        <v>4010</v>
      </c>
      <c r="J18" s="274">
        <v>894714</v>
      </c>
      <c r="K18" s="274">
        <v>0</v>
      </c>
      <c r="L18" s="274">
        <f>SUM(B18:K18)</f>
        <v>910456</v>
      </c>
    </row>
    <row r="19" spans="1:13" ht="12.75">
      <c r="A19" s="16" t="s">
        <v>1</v>
      </c>
      <c r="B19" s="274">
        <f aca="true" t="shared" si="3" ref="B19:I19">SUM(B17:B18)</f>
        <v>0</v>
      </c>
      <c r="C19" s="274">
        <f t="shared" si="3"/>
        <v>11300</v>
      </c>
      <c r="D19" s="274">
        <f t="shared" si="3"/>
        <v>0</v>
      </c>
      <c r="E19" s="274">
        <f t="shared" si="3"/>
        <v>513</v>
      </c>
      <c r="F19" s="274">
        <f t="shared" si="3"/>
        <v>2000</v>
      </c>
      <c r="G19" s="274">
        <f t="shared" si="3"/>
        <v>7956</v>
      </c>
      <c r="H19" s="274">
        <f t="shared" si="3"/>
        <v>3263</v>
      </c>
      <c r="I19" s="274">
        <f t="shared" si="3"/>
        <v>4010</v>
      </c>
      <c r="J19" s="274"/>
      <c r="K19" s="274"/>
      <c r="L19" s="274">
        <f>SUM(B19:K19)</f>
        <v>29042</v>
      </c>
      <c r="M19" s="8"/>
    </row>
    <row r="20" spans="1:13" ht="12.75">
      <c r="A20" s="16" t="s">
        <v>205</v>
      </c>
      <c r="B20" s="274">
        <f>B19*1000</f>
        <v>0</v>
      </c>
      <c r="C20" s="274">
        <f aca="true" t="shared" si="4" ref="C20:I20">C19*1000</f>
        <v>11300000</v>
      </c>
      <c r="D20" s="274">
        <f t="shared" si="4"/>
        <v>0</v>
      </c>
      <c r="E20" s="274">
        <f t="shared" si="4"/>
        <v>513000</v>
      </c>
      <c r="F20" s="274">
        <f t="shared" si="4"/>
        <v>2000000</v>
      </c>
      <c r="G20" s="274">
        <f t="shared" si="4"/>
        <v>7956000</v>
      </c>
      <c r="H20" s="274">
        <f t="shared" si="4"/>
        <v>3263000</v>
      </c>
      <c r="I20" s="274">
        <f t="shared" si="4"/>
        <v>4010000</v>
      </c>
      <c r="J20" s="274">
        <f>SUM(J18:J19)</f>
        <v>894714</v>
      </c>
      <c r="K20" s="274">
        <f>SUM(K17:K19)</f>
        <v>0</v>
      </c>
      <c r="L20" s="274">
        <f>SUM(B20:K20)</f>
        <v>29936714</v>
      </c>
      <c r="M20" s="8"/>
    </row>
    <row r="22" spans="1:16" ht="12.75">
      <c r="A22" s="46" t="s">
        <v>133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.75">
      <c r="A23" s="32" t="s">
        <v>106</v>
      </c>
      <c r="B23" s="252">
        <v>0</v>
      </c>
      <c r="C23" s="252">
        <v>0</v>
      </c>
      <c r="D23" s="252">
        <v>0</v>
      </c>
      <c r="E23" s="252">
        <v>0</v>
      </c>
      <c r="F23" s="252">
        <v>0</v>
      </c>
      <c r="G23" s="252" t="s">
        <v>4</v>
      </c>
      <c r="H23" s="252"/>
      <c r="I23" s="252"/>
      <c r="J23" s="252"/>
      <c r="K23" s="254"/>
      <c r="L23" s="252">
        <f>SUM(B23:K23)</f>
        <v>0</v>
      </c>
      <c r="M23" s="131"/>
      <c r="N23" s="10"/>
      <c r="O23" s="10"/>
      <c r="P23" s="10"/>
    </row>
    <row r="24" spans="1:16" ht="25.5">
      <c r="A24" s="38" t="s">
        <v>95</v>
      </c>
      <c r="B24" s="252">
        <v>0</v>
      </c>
      <c r="C24" s="252">
        <v>0</v>
      </c>
      <c r="D24" s="252">
        <v>0</v>
      </c>
      <c r="E24" s="252">
        <v>0</v>
      </c>
      <c r="F24" s="252">
        <v>1</v>
      </c>
      <c r="G24" s="252">
        <v>0</v>
      </c>
      <c r="H24" s="252">
        <v>3</v>
      </c>
      <c r="I24" s="252">
        <v>1</v>
      </c>
      <c r="J24" s="252">
        <v>1</v>
      </c>
      <c r="K24" s="254">
        <v>1</v>
      </c>
      <c r="L24" s="252">
        <f>SUM(B24:K24)</f>
        <v>7</v>
      </c>
      <c r="M24" s="131"/>
      <c r="N24" s="9"/>
      <c r="O24" s="9"/>
      <c r="P24" s="9"/>
    </row>
    <row r="25" spans="1:16" ht="12.75">
      <c r="A25" s="16" t="s">
        <v>1</v>
      </c>
      <c r="B25" s="252">
        <f aca="true" t="shared" si="5" ref="B25:I25">SUM(B23:B24)</f>
        <v>0</v>
      </c>
      <c r="C25" s="252">
        <f t="shared" si="5"/>
        <v>0</v>
      </c>
      <c r="D25" s="252">
        <f t="shared" si="5"/>
        <v>0</v>
      </c>
      <c r="E25" s="252">
        <f t="shared" si="5"/>
        <v>0</v>
      </c>
      <c r="F25" s="252">
        <f t="shared" si="5"/>
        <v>1</v>
      </c>
      <c r="G25" s="252">
        <f t="shared" si="5"/>
        <v>0</v>
      </c>
      <c r="H25" s="252">
        <f t="shared" si="5"/>
        <v>3</v>
      </c>
      <c r="I25" s="252">
        <f t="shared" si="5"/>
        <v>1</v>
      </c>
      <c r="J25" s="252">
        <f>SUM(J23:J24)</f>
        <v>1</v>
      </c>
      <c r="K25" s="252">
        <f>SUM(K23:K24)</f>
        <v>1</v>
      </c>
      <c r="L25" s="252">
        <f>SUM(B25:K25)</f>
        <v>7</v>
      </c>
      <c r="M25" s="11"/>
      <c r="N25" s="11"/>
      <c r="O25" s="11"/>
      <c r="P25" s="11"/>
    </row>
    <row r="26" spans="1:16" ht="12.75">
      <c r="A26" s="4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5" t="s">
        <v>99</v>
      </c>
      <c r="B27" s="10" t="s">
        <v>8</v>
      </c>
      <c r="C27" s="10" t="s">
        <v>8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8</v>
      </c>
      <c r="I27" s="90" t="s">
        <v>8</v>
      </c>
      <c r="J27" s="90" t="s">
        <v>8</v>
      </c>
      <c r="K27" s="90" t="s">
        <v>8</v>
      </c>
      <c r="L27" s="10" t="s">
        <v>8</v>
      </c>
      <c r="M27" s="10"/>
      <c r="N27" s="10"/>
      <c r="O27" s="10"/>
      <c r="P27" s="10"/>
    </row>
    <row r="28" spans="1:12" ht="12.75">
      <c r="A28" s="32" t="s">
        <v>106</v>
      </c>
      <c r="B28" s="252">
        <v>0</v>
      </c>
      <c r="C28" s="252">
        <v>0</v>
      </c>
      <c r="D28" s="252">
        <v>0</v>
      </c>
      <c r="E28" s="252">
        <v>0</v>
      </c>
      <c r="F28" s="252">
        <v>0</v>
      </c>
      <c r="G28" s="252" t="s">
        <v>4</v>
      </c>
      <c r="H28" s="252"/>
      <c r="I28" s="252"/>
      <c r="J28" s="252"/>
      <c r="K28" s="254"/>
      <c r="L28" s="252">
        <f>SUM(B28:K28)</f>
        <v>0</v>
      </c>
    </row>
    <row r="29" spans="1:12" ht="25.5">
      <c r="A29" s="38" t="s">
        <v>95</v>
      </c>
      <c r="B29" s="252">
        <v>0</v>
      </c>
      <c r="C29" s="252">
        <v>0</v>
      </c>
      <c r="D29" s="252">
        <v>0</v>
      </c>
      <c r="E29" s="252">
        <v>0</v>
      </c>
      <c r="F29" s="252">
        <v>12516</v>
      </c>
      <c r="G29" s="252"/>
      <c r="H29" s="252">
        <v>41753</v>
      </c>
      <c r="I29" s="252">
        <v>71902</v>
      </c>
      <c r="J29" s="252">
        <v>8712</v>
      </c>
      <c r="K29" s="254">
        <v>40137</v>
      </c>
      <c r="L29" s="252">
        <f>SUM(B29:K29)</f>
        <v>175020</v>
      </c>
    </row>
    <row r="30" spans="1:12" ht="12.75">
      <c r="A30" s="16" t="s">
        <v>1</v>
      </c>
      <c r="B30" s="252">
        <f aca="true" t="shared" si="6" ref="B30:K30">SUM(B28:B29)</f>
        <v>0</v>
      </c>
      <c r="C30" s="252">
        <f t="shared" si="6"/>
        <v>0</v>
      </c>
      <c r="D30" s="252">
        <f t="shared" si="6"/>
        <v>0</v>
      </c>
      <c r="E30" s="252">
        <f t="shared" si="6"/>
        <v>0</v>
      </c>
      <c r="F30" s="252">
        <f t="shared" si="6"/>
        <v>12516</v>
      </c>
      <c r="G30" s="252">
        <f t="shared" si="6"/>
        <v>0</v>
      </c>
      <c r="H30" s="252">
        <f t="shared" si="6"/>
        <v>41753</v>
      </c>
      <c r="I30" s="252">
        <f t="shared" si="6"/>
        <v>71902</v>
      </c>
      <c r="J30" s="252">
        <f t="shared" si="6"/>
        <v>8712</v>
      </c>
      <c r="K30" s="252">
        <f t="shared" si="6"/>
        <v>40137</v>
      </c>
      <c r="L30" s="252">
        <f>SUM(B30:K30)</f>
        <v>175020</v>
      </c>
    </row>
    <row r="31" ht="12.75">
      <c r="A31" s="132" t="s">
        <v>306</v>
      </c>
    </row>
    <row r="33" spans="1:12" ht="12.75">
      <c r="A33" s="5" t="s">
        <v>100</v>
      </c>
      <c r="B33" s="10" t="s">
        <v>8</v>
      </c>
      <c r="C33" s="10" t="s">
        <v>8</v>
      </c>
      <c r="D33" s="10" t="s">
        <v>8</v>
      </c>
      <c r="E33" s="10" t="s">
        <v>8</v>
      </c>
      <c r="F33" s="10" t="s">
        <v>8</v>
      </c>
      <c r="G33" s="10" t="s">
        <v>8</v>
      </c>
      <c r="H33" s="10" t="s">
        <v>8</v>
      </c>
      <c r="I33" s="90" t="s">
        <v>8</v>
      </c>
      <c r="J33" s="90" t="s">
        <v>8</v>
      </c>
      <c r="K33" s="90" t="s">
        <v>8</v>
      </c>
      <c r="L33" s="10" t="s">
        <v>8</v>
      </c>
    </row>
    <row r="34" spans="1:12" ht="12.75">
      <c r="A34" s="32" t="s">
        <v>106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 t="s">
        <v>4</v>
      </c>
      <c r="H34" s="13"/>
      <c r="I34" s="13"/>
      <c r="J34" s="13"/>
      <c r="K34" s="13"/>
      <c r="L34" s="13">
        <f>SUM(B34:K34)</f>
        <v>0</v>
      </c>
    </row>
    <row r="35" spans="1:12" ht="25.5">
      <c r="A35" s="38" t="s">
        <v>95</v>
      </c>
      <c r="B35" s="13">
        <v>0</v>
      </c>
      <c r="C35" s="13">
        <v>0</v>
      </c>
      <c r="D35" s="13">
        <v>0</v>
      </c>
      <c r="E35" s="13">
        <v>0</v>
      </c>
      <c r="F35" s="13">
        <v>187740</v>
      </c>
      <c r="G35" s="13"/>
      <c r="H35" s="13">
        <v>478464</v>
      </c>
      <c r="I35" s="13">
        <v>1438040</v>
      </c>
      <c r="J35" s="13">
        <v>174240</v>
      </c>
      <c r="K35" s="13">
        <v>602055</v>
      </c>
      <c r="L35" s="13">
        <f>SUM(B35:K35)</f>
        <v>2880539</v>
      </c>
    </row>
    <row r="36" spans="1:12" ht="12.75">
      <c r="A36" s="16" t="s">
        <v>1</v>
      </c>
      <c r="B36" s="13">
        <f aca="true" t="shared" si="7" ref="B36:K36">SUM(B34:B35)</f>
        <v>0</v>
      </c>
      <c r="C36" s="13">
        <f t="shared" si="7"/>
        <v>0</v>
      </c>
      <c r="D36" s="13">
        <f t="shared" si="7"/>
        <v>0</v>
      </c>
      <c r="E36" s="13">
        <f t="shared" si="7"/>
        <v>0</v>
      </c>
      <c r="F36" s="13">
        <f t="shared" si="7"/>
        <v>187740</v>
      </c>
      <c r="G36" s="13">
        <f t="shared" si="7"/>
        <v>0</v>
      </c>
      <c r="H36" s="13">
        <f t="shared" si="7"/>
        <v>478464</v>
      </c>
      <c r="I36" s="13">
        <f t="shared" si="7"/>
        <v>1438040</v>
      </c>
      <c r="J36" s="13">
        <f t="shared" si="7"/>
        <v>174240</v>
      </c>
      <c r="K36" s="13">
        <f t="shared" si="7"/>
        <v>602055</v>
      </c>
      <c r="L36" s="13">
        <f>SUM(B36:K36)</f>
        <v>2880539</v>
      </c>
    </row>
    <row r="37" ht="12.75">
      <c r="A37" s="132" t="s">
        <v>307</v>
      </c>
    </row>
    <row r="39" spans="1:12" ht="12.75">
      <c r="A39" s="5" t="s">
        <v>117</v>
      </c>
      <c r="B39" s="10" t="s">
        <v>9</v>
      </c>
      <c r="C39" s="10" t="s">
        <v>9</v>
      </c>
      <c r="D39" s="10" t="s">
        <v>9</v>
      </c>
      <c r="E39" s="10" t="s">
        <v>9</v>
      </c>
      <c r="F39" s="10" t="s">
        <v>9</v>
      </c>
      <c r="G39" s="10" t="s">
        <v>9</v>
      </c>
      <c r="H39" s="6" t="s">
        <v>9</v>
      </c>
      <c r="I39" s="91" t="s">
        <v>9</v>
      </c>
      <c r="J39" s="91" t="s">
        <v>9</v>
      </c>
      <c r="K39" s="91" t="s">
        <v>9</v>
      </c>
      <c r="L39" s="10" t="s">
        <v>9</v>
      </c>
    </row>
    <row r="40" spans="1:12" ht="12.75">
      <c r="A40" s="32" t="s">
        <v>106</v>
      </c>
      <c r="B40" s="252">
        <v>0</v>
      </c>
      <c r="C40" s="252">
        <v>0</v>
      </c>
      <c r="D40" s="252">
        <v>0</v>
      </c>
      <c r="E40" s="252">
        <v>0</v>
      </c>
      <c r="F40" s="252">
        <v>0</v>
      </c>
      <c r="G40" s="252" t="s">
        <v>4</v>
      </c>
      <c r="H40" s="252"/>
      <c r="I40" s="252"/>
      <c r="J40" s="252"/>
      <c r="K40" s="254"/>
      <c r="L40" s="252">
        <f>SUM(B40:K40)</f>
        <v>0</v>
      </c>
    </row>
    <row r="41" spans="1:12" ht="25.5">
      <c r="A41" s="38" t="s">
        <v>95</v>
      </c>
      <c r="B41" s="252">
        <v>0</v>
      </c>
      <c r="C41" s="252">
        <v>0</v>
      </c>
      <c r="D41" s="252">
        <v>0</v>
      </c>
      <c r="E41" s="252">
        <v>0</v>
      </c>
      <c r="F41" s="252">
        <v>1600</v>
      </c>
      <c r="G41" s="252"/>
      <c r="H41" s="252">
        <v>8600</v>
      </c>
      <c r="I41" s="252">
        <v>9600</v>
      </c>
      <c r="J41" s="252">
        <v>1500</v>
      </c>
      <c r="K41" s="254">
        <v>6200</v>
      </c>
      <c r="L41" s="252">
        <v>27500</v>
      </c>
    </row>
    <row r="42" spans="1:12" ht="12.75">
      <c r="A42" s="16" t="s">
        <v>1</v>
      </c>
      <c r="B42" s="252">
        <f aca="true" t="shared" si="8" ref="B42:K42">SUM(B40:B41)</f>
        <v>0</v>
      </c>
      <c r="C42" s="252">
        <f t="shared" si="8"/>
        <v>0</v>
      </c>
      <c r="D42" s="252">
        <f t="shared" si="8"/>
        <v>0</v>
      </c>
      <c r="E42" s="252">
        <f t="shared" si="8"/>
        <v>0</v>
      </c>
      <c r="F42" s="252">
        <f t="shared" si="8"/>
        <v>1600</v>
      </c>
      <c r="G42" s="252">
        <f t="shared" si="8"/>
        <v>0</v>
      </c>
      <c r="H42" s="252">
        <f t="shared" si="8"/>
        <v>8600</v>
      </c>
      <c r="I42" s="252">
        <f t="shared" si="8"/>
        <v>9600</v>
      </c>
      <c r="J42" s="252">
        <f t="shared" si="8"/>
        <v>1500</v>
      </c>
      <c r="K42" s="252">
        <f t="shared" si="8"/>
        <v>6200</v>
      </c>
      <c r="L42" s="252">
        <f>SUM(B42:K42)</f>
        <v>27500</v>
      </c>
    </row>
    <row r="43" ht="12.75">
      <c r="A43" s="132" t="s">
        <v>308</v>
      </c>
    </row>
    <row r="45" spans="6:12" ht="12.75">
      <c r="F45" s="10" t="s">
        <v>8</v>
      </c>
      <c r="G45" s="10" t="s">
        <v>8</v>
      </c>
      <c r="H45" s="10" t="s">
        <v>8</v>
      </c>
      <c r="I45" s="90" t="s">
        <v>8</v>
      </c>
      <c r="J45" s="90" t="s">
        <v>8</v>
      </c>
      <c r="K45" s="90" t="s">
        <v>8</v>
      </c>
      <c r="L45" s="53"/>
    </row>
    <row r="46" spans="1:12" ht="12.75">
      <c r="A46" s="77" t="s">
        <v>123</v>
      </c>
      <c r="B46" s="279"/>
      <c r="C46" s="279"/>
      <c r="D46" s="279"/>
      <c r="E46" s="279"/>
      <c r="F46" s="279">
        <v>59352</v>
      </c>
      <c r="G46" s="279">
        <v>39593</v>
      </c>
      <c r="H46" s="279">
        <v>54712</v>
      </c>
      <c r="I46" s="279">
        <v>8712</v>
      </c>
      <c r="J46" s="279"/>
      <c r="K46" s="279"/>
      <c r="L46" s="44"/>
    </row>
    <row r="47" ht="12.75">
      <c r="L47" s="44"/>
    </row>
    <row r="48" spans="6:12" ht="12.75">
      <c r="F48" s="6" t="s">
        <v>9</v>
      </c>
      <c r="G48" s="6" t="s">
        <v>9</v>
      </c>
      <c r="H48" s="6" t="s">
        <v>9</v>
      </c>
      <c r="I48" s="91" t="s">
        <v>9</v>
      </c>
      <c r="J48" s="91" t="s">
        <v>9</v>
      </c>
      <c r="K48" s="91" t="s">
        <v>9</v>
      </c>
      <c r="L48" s="44"/>
    </row>
    <row r="49" spans="1:12" ht="12.75">
      <c r="A49" s="77" t="s">
        <v>124</v>
      </c>
      <c r="B49" s="279"/>
      <c r="C49" s="279"/>
      <c r="D49" s="279"/>
      <c r="E49" s="279"/>
      <c r="F49" s="279">
        <v>13350</v>
      </c>
      <c r="G49" s="279">
        <v>6150</v>
      </c>
      <c r="H49" s="279">
        <v>7700</v>
      </c>
      <c r="I49" s="279">
        <v>1500</v>
      </c>
      <c r="J49" s="279"/>
      <c r="K49" s="279"/>
      <c r="L49" s="44"/>
    </row>
    <row r="50" ht="12.75">
      <c r="L50" s="44"/>
    </row>
    <row r="51" spans="6:12" ht="12.75">
      <c r="F51" s="10" t="s">
        <v>8</v>
      </c>
      <c r="G51" s="10" t="s">
        <v>8</v>
      </c>
      <c r="H51" s="10" t="s">
        <v>8</v>
      </c>
      <c r="I51" s="90" t="s">
        <v>8</v>
      </c>
      <c r="J51" s="90" t="s">
        <v>8</v>
      </c>
      <c r="K51" s="90" t="s">
        <v>8</v>
      </c>
      <c r="L51" s="53"/>
    </row>
    <row r="52" spans="1:12" ht="12.75">
      <c r="A52" s="77" t="s">
        <v>125</v>
      </c>
      <c r="B52" s="279"/>
      <c r="C52" s="279"/>
      <c r="D52" s="279"/>
      <c r="E52" s="279"/>
      <c r="F52" s="279">
        <v>296760</v>
      </c>
      <c r="G52" s="279">
        <v>197965</v>
      </c>
      <c r="H52" s="279">
        <v>864240</v>
      </c>
      <c r="I52" s="279">
        <v>174240</v>
      </c>
      <c r="J52" s="279"/>
      <c r="K52" s="279"/>
      <c r="L52" s="44"/>
    </row>
    <row r="53" ht="12.75">
      <c r="L53" s="44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72" r:id="rId1"/>
  <headerFooter scaleWithDoc="0" alignWithMargins="0">
    <oddFooter>&amp;L&amp;6&amp;A - Results by Program Year&amp;R&amp;6printed &amp;D at &amp;T</oddFooter>
  </headerFooter>
  <ignoredErrors>
    <ignoredError sqref="B7:C7 F7:I7 E7 J7:K7" formulaRange="1"/>
  </ignoredError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X16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6.8515625" style="3" customWidth="1"/>
    <col min="2" max="3" width="11.140625" style="6" bestFit="1" customWidth="1"/>
    <col min="4" max="4" width="11.00390625" style="6" bestFit="1" customWidth="1"/>
    <col min="5" max="5" width="11.8515625" style="6" bestFit="1" customWidth="1"/>
    <col min="6" max="7" width="12.140625" style="6" bestFit="1" customWidth="1"/>
    <col min="8" max="8" width="11.8515625" style="6" bestFit="1" customWidth="1"/>
    <col min="9" max="9" width="11.57421875" style="6" bestFit="1" customWidth="1"/>
    <col min="10" max="10" width="13.421875" style="6" bestFit="1" customWidth="1"/>
    <col min="11" max="11" width="12.7109375" style="6" customWidth="1"/>
    <col min="12" max="12" width="11.7109375" style="6" bestFit="1" customWidth="1"/>
    <col min="13" max="16384" width="10.7109375" style="6" customWidth="1"/>
  </cols>
  <sheetData>
    <row r="1" spans="1:12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</row>
    <row r="2" spans="1:12" ht="12.75">
      <c r="A2" s="458" t="s">
        <v>132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</row>
    <row r="3" spans="1:15" ht="12.75">
      <c r="A3" s="43" t="s">
        <v>305</v>
      </c>
      <c r="M3" s="3"/>
      <c r="N3" s="3"/>
      <c r="O3" s="3"/>
    </row>
    <row r="4" spans="1:15" ht="25.5">
      <c r="A4" s="43" t="s">
        <v>206</v>
      </c>
      <c r="B4" s="28">
        <v>2001</v>
      </c>
      <c r="C4" s="28">
        <v>2002</v>
      </c>
      <c r="D4" s="28">
        <v>2003</v>
      </c>
      <c r="E4" s="28">
        <v>2004</v>
      </c>
      <c r="F4" s="28">
        <v>2005</v>
      </c>
      <c r="G4" s="28">
        <v>2006</v>
      </c>
      <c r="H4" s="28">
        <v>2007</v>
      </c>
      <c r="I4" s="28">
        <v>2008</v>
      </c>
      <c r="J4" s="28">
        <v>2009</v>
      </c>
      <c r="K4" s="28">
        <v>2010</v>
      </c>
      <c r="L4" s="197" t="str">
        <f>"Total "&amp;CHAR(10)&amp;B4&amp;" - "&amp;K4</f>
        <v>Total 
2001 - 2010</v>
      </c>
      <c r="M4" s="3"/>
      <c r="N4" s="3"/>
      <c r="O4" s="3"/>
    </row>
    <row r="5" spans="1:15" ht="25.5" customHeight="1">
      <c r="A5" s="38" t="s">
        <v>97</v>
      </c>
      <c r="B5" s="274">
        <v>0</v>
      </c>
      <c r="C5" s="274">
        <v>0</v>
      </c>
      <c r="D5" s="274"/>
      <c r="E5" s="274">
        <v>6350000</v>
      </c>
      <c r="F5" s="274">
        <v>8000000</v>
      </c>
      <c r="G5" s="274">
        <v>8000000</v>
      </c>
      <c r="H5" s="274">
        <v>5000000</v>
      </c>
      <c r="I5" s="274">
        <v>1938000</v>
      </c>
      <c r="J5" s="274">
        <v>1537473.38</v>
      </c>
      <c r="K5" s="274">
        <v>250000</v>
      </c>
      <c r="L5" s="274">
        <f>SUM(B5:K5)</f>
        <v>31075473.38</v>
      </c>
      <c r="M5" s="3"/>
      <c r="N5" s="3"/>
      <c r="O5" s="3"/>
    </row>
    <row r="6" spans="1:15" ht="12.75">
      <c r="A6" s="39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3"/>
      <c r="N6" s="3"/>
      <c r="O6" s="3"/>
    </row>
    <row r="7" spans="1:15" ht="12.75">
      <c r="A7" s="30" t="s">
        <v>16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03"/>
      <c r="M7" s="3"/>
      <c r="N7" s="3"/>
      <c r="O7" s="3"/>
    </row>
    <row r="8" spans="1:12" ht="25.5">
      <c r="A8" s="38" t="s">
        <v>97</v>
      </c>
      <c r="B8" s="274">
        <v>0</v>
      </c>
      <c r="C8" s="274">
        <v>0</v>
      </c>
      <c r="D8" s="274">
        <v>1143</v>
      </c>
      <c r="E8" s="274">
        <v>1001</v>
      </c>
      <c r="F8" s="274">
        <v>2358</v>
      </c>
      <c r="G8" s="274">
        <v>162</v>
      </c>
      <c r="H8" s="274">
        <v>207</v>
      </c>
      <c r="I8" s="306">
        <v>62</v>
      </c>
      <c r="J8" s="274">
        <v>368905.18</v>
      </c>
      <c r="K8" s="274">
        <v>250000</v>
      </c>
      <c r="L8" s="274"/>
    </row>
    <row r="9" spans="1:12" ht="12.75">
      <c r="A9" s="16" t="s">
        <v>205</v>
      </c>
      <c r="B9" s="274">
        <f>B8*1000</f>
        <v>0</v>
      </c>
      <c r="C9" s="274">
        <f aca="true" t="shared" si="0" ref="C9:I9">C8*1000</f>
        <v>0</v>
      </c>
      <c r="D9" s="274">
        <f t="shared" si="0"/>
        <v>1143000</v>
      </c>
      <c r="E9" s="274">
        <f t="shared" si="0"/>
        <v>1001000</v>
      </c>
      <c r="F9" s="274">
        <f t="shared" si="0"/>
        <v>2358000</v>
      </c>
      <c r="G9" s="274">
        <f t="shared" si="0"/>
        <v>162000</v>
      </c>
      <c r="H9" s="274">
        <f t="shared" si="0"/>
        <v>207000</v>
      </c>
      <c r="I9" s="274">
        <f t="shared" si="0"/>
        <v>62000</v>
      </c>
      <c r="J9" s="274">
        <f>SUM(J8)</f>
        <v>368905.18</v>
      </c>
      <c r="K9" s="274">
        <f>SUM(K8)</f>
        <v>250000</v>
      </c>
      <c r="L9" s="274">
        <f>SUM(B9:K9)</f>
        <v>5551905.18</v>
      </c>
    </row>
    <row r="10" spans="1:24" ht="12.75">
      <c r="A10" s="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9"/>
      <c r="R10" s="9"/>
      <c r="S10" s="9"/>
      <c r="T10" s="9"/>
      <c r="U10" s="9"/>
      <c r="V10" s="9"/>
      <c r="W10" s="9"/>
      <c r="X10" s="9"/>
    </row>
    <row r="11" spans="1:24" ht="12.75">
      <c r="A11" s="3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0"/>
      <c r="M11" s="10"/>
      <c r="N11" s="10"/>
      <c r="O11" s="10"/>
      <c r="P11" s="10"/>
      <c r="Q11" s="9"/>
      <c r="R11" s="9"/>
      <c r="S11" s="9"/>
      <c r="T11" s="9"/>
      <c r="U11" s="9"/>
      <c r="V11" s="9"/>
      <c r="W11" s="9"/>
      <c r="X11" s="9"/>
    </row>
    <row r="12" spans="1:24" ht="25.5">
      <c r="A12" s="38" t="s">
        <v>97</v>
      </c>
      <c r="B12" s="317">
        <v>0</v>
      </c>
      <c r="C12" s="317">
        <v>0</v>
      </c>
      <c r="D12" s="317">
        <v>2700</v>
      </c>
      <c r="E12" s="317">
        <v>378</v>
      </c>
      <c r="F12" s="317">
        <v>81</v>
      </c>
      <c r="G12" s="317">
        <v>712</v>
      </c>
      <c r="H12" s="317">
        <v>3200</v>
      </c>
      <c r="I12" s="317">
        <v>1500</v>
      </c>
      <c r="J12" s="317">
        <v>1130889.82</v>
      </c>
      <c r="K12" s="317">
        <v>0</v>
      </c>
      <c r="L12" s="317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4" spans="1:16" ht="12.75">
      <c r="A14" s="46" t="s">
        <v>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25.5">
      <c r="A15" s="38" t="s">
        <v>97</v>
      </c>
      <c r="B15" s="252">
        <v>0</v>
      </c>
      <c r="C15" s="252"/>
      <c r="D15" s="252">
        <v>10</v>
      </c>
      <c r="E15" s="252">
        <v>0</v>
      </c>
      <c r="F15" s="252">
        <v>5</v>
      </c>
      <c r="G15" s="252">
        <v>4</v>
      </c>
      <c r="H15" s="252">
        <v>1</v>
      </c>
      <c r="I15" s="252">
        <v>1</v>
      </c>
      <c r="J15" s="252">
        <v>1</v>
      </c>
      <c r="K15" s="254">
        <v>1</v>
      </c>
      <c r="L15" s="252">
        <f>SUM(B15:K15)</f>
        <v>23</v>
      </c>
      <c r="M15" s="131"/>
      <c r="N15" s="10"/>
      <c r="O15" s="10"/>
      <c r="P15" s="10"/>
    </row>
    <row r="16" spans="1:16" ht="12.75">
      <c r="A16" s="43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</sheetData>
  <sheetProtection/>
  <mergeCells count="2">
    <mergeCell ref="A2:L2"/>
    <mergeCell ref="A1:L1"/>
  </mergeCells>
  <printOptions/>
  <pageMargins left="0.17" right="0.17" top="0.4" bottom="0.6" header="0.24" footer="0.24"/>
  <pageSetup fitToHeight="1" fitToWidth="1" horizontalDpi="600" verticalDpi="600" orientation="landscape" scale="82" r:id="rId1"/>
  <headerFooter scaleWithDoc="0" alignWithMargins="0">
    <oddFooter>&amp;L&amp;6&amp;A - Results by Program Year&amp;R&amp;6printed &amp;D at &amp;T</oddFooter>
  </headerFooter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9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4.7109375" style="137" customWidth="1"/>
    <col min="2" max="2" width="12.57421875" style="137" bestFit="1" customWidth="1"/>
    <col min="3" max="7" width="10.7109375" style="137" hidden="1" customWidth="1"/>
    <col min="8" max="15" width="12.57421875" style="137" customWidth="1"/>
    <col min="16" max="16" width="17.28125" style="137" customWidth="1"/>
    <col min="17" max="16384" width="9.140625" style="137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443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2" ht="15.75">
      <c r="A3" s="414" t="s">
        <v>402</v>
      </c>
      <c r="B3" s="329"/>
    </row>
    <row r="4" spans="1:16" ht="27.75">
      <c r="A4" s="414" t="s">
        <v>344</v>
      </c>
      <c r="B4" s="210" t="s">
        <v>289</v>
      </c>
      <c r="C4" s="148">
        <v>2001</v>
      </c>
      <c r="D4" s="148">
        <v>2002</v>
      </c>
      <c r="E4" s="148">
        <v>2003</v>
      </c>
      <c r="F4" s="148">
        <v>2004</v>
      </c>
      <c r="G4" s="148">
        <v>2005</v>
      </c>
      <c r="H4" s="148">
        <v>2006</v>
      </c>
      <c r="I4" s="148">
        <v>2007</v>
      </c>
      <c r="J4" s="148">
        <v>2008</v>
      </c>
      <c r="K4" s="148">
        <v>2009</v>
      </c>
      <c r="L4" s="148">
        <v>2010</v>
      </c>
      <c r="M4" s="148">
        <v>2011</v>
      </c>
      <c r="N4" s="210" t="s">
        <v>350</v>
      </c>
      <c r="O4" s="210" t="s">
        <v>353</v>
      </c>
      <c r="P4" s="210" t="str">
        <f>"Total "&amp;CHAR(10)&amp;C4&amp;" ~ "&amp;O4</f>
        <v>Total 
2001 ~ FY2014</v>
      </c>
    </row>
    <row r="5" spans="1:16" ht="12.75">
      <c r="A5" s="157" t="s">
        <v>395</v>
      </c>
      <c r="B5" s="149" t="s">
        <v>8</v>
      </c>
      <c r="C5" s="149" t="s">
        <v>8</v>
      </c>
      <c r="D5" s="149" t="s">
        <v>8</v>
      </c>
      <c r="E5" s="149" t="s">
        <v>8</v>
      </c>
      <c r="F5" s="149" t="s">
        <v>8</v>
      </c>
      <c r="G5" s="149" t="s">
        <v>8</v>
      </c>
      <c r="H5" s="149" t="s">
        <v>8</v>
      </c>
      <c r="I5" s="149" t="s">
        <v>8</v>
      </c>
      <c r="J5" s="149" t="s">
        <v>8</v>
      </c>
      <c r="K5" s="149" t="s">
        <v>8</v>
      </c>
      <c r="L5" s="149" t="s">
        <v>8</v>
      </c>
      <c r="M5" s="149" t="s">
        <v>8</v>
      </c>
      <c r="N5" s="149" t="s">
        <v>8</v>
      </c>
      <c r="O5" s="149" t="s">
        <v>8</v>
      </c>
      <c r="P5" s="149" t="s">
        <v>8</v>
      </c>
    </row>
    <row r="6" spans="1:16" ht="12.75">
      <c r="A6" s="232" t="s">
        <v>66</v>
      </c>
      <c r="B6" s="254">
        <f>SUM(C6:G6)</f>
        <v>73068</v>
      </c>
      <c r="C6" s="254">
        <f>'Res HVAC'!C27</f>
        <v>12224</v>
      </c>
      <c r="D6" s="254">
        <f>'Res HVAC'!D27</f>
        <v>15703</v>
      </c>
      <c r="E6" s="254">
        <f>'Res HVAC'!E27</f>
        <v>14621</v>
      </c>
      <c r="F6" s="254">
        <f>'Res HVAC'!F27</f>
        <v>15499</v>
      </c>
      <c r="G6" s="254">
        <f>'Res HVAC'!G27</f>
        <v>15021</v>
      </c>
      <c r="H6" s="254">
        <f>'Res HVAC'!H27</f>
        <v>11545</v>
      </c>
      <c r="I6" s="254">
        <f>'Res HVAC'!I27</f>
        <v>13323</v>
      </c>
      <c r="J6" s="254">
        <f>'Res HVAC'!J27</f>
        <v>4973</v>
      </c>
      <c r="K6" s="254">
        <f>'Res HVAC'!K27</f>
        <v>4771</v>
      </c>
      <c r="L6" s="254">
        <f>'Res HVAC'!L27</f>
        <v>8087</v>
      </c>
      <c r="M6" s="254">
        <f>'Res HVAC'!M27</f>
        <v>12364</v>
      </c>
      <c r="N6" s="254">
        <f>'Res HVAC'!N27</f>
        <v>13149</v>
      </c>
      <c r="O6" s="254">
        <f>'Res HVAC'!O27</f>
        <v>5353</v>
      </c>
      <c r="P6" s="254">
        <f>SUM(C6:O6)</f>
        <v>146633</v>
      </c>
    </row>
    <row r="7" spans="1:16" ht="12.75">
      <c r="A7" s="232" t="s">
        <v>67</v>
      </c>
      <c r="B7" s="254">
        <f aca="true" t="shared" si="0" ref="B7:B18">SUM(C7:G7)</f>
        <v>18828</v>
      </c>
      <c r="C7" s="254">
        <f>RNC!C25</f>
        <v>119</v>
      </c>
      <c r="D7" s="254">
        <f>RNC!D25</f>
        <v>3262</v>
      </c>
      <c r="E7" s="254">
        <f>RNC!E25</f>
        <v>4773</v>
      </c>
      <c r="F7" s="254">
        <f>RNC!F25</f>
        <v>4551</v>
      </c>
      <c r="G7" s="254">
        <f>RNC!G25</f>
        <v>6123</v>
      </c>
      <c r="H7" s="254">
        <f>RNC!H25</f>
        <v>5181</v>
      </c>
      <c r="I7" s="254">
        <f>RNC!I25</f>
        <v>5829</v>
      </c>
      <c r="J7" s="254">
        <f>RNC!J25</f>
        <v>3343</v>
      </c>
      <c r="K7" s="254">
        <f>RNC!K25</f>
        <v>2652</v>
      </c>
      <c r="L7" s="254">
        <f>RNC!L25</f>
        <v>4379</v>
      </c>
      <c r="M7" s="254">
        <f>RNC!M25</f>
        <v>4562</v>
      </c>
      <c r="N7" s="254">
        <f>RNC!N25</f>
        <v>5281</v>
      </c>
      <c r="O7" s="254">
        <f>RNC!O25</f>
        <v>4770</v>
      </c>
      <c r="P7" s="254">
        <f>SUM(C7:O7)</f>
        <v>54825</v>
      </c>
    </row>
    <row r="8" spans="1:16" ht="12.75">
      <c r="A8" s="232" t="s">
        <v>68</v>
      </c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62"/>
    </row>
    <row r="9" spans="1:16" ht="12.75">
      <c r="A9" s="330" t="s">
        <v>327</v>
      </c>
      <c r="B9" s="254">
        <f t="shared" si="0"/>
        <v>3730</v>
      </c>
      <c r="C9" s="254"/>
      <c r="D9" s="254"/>
      <c r="E9" s="254">
        <f>'Energy Star'!E51</f>
        <v>1432</v>
      </c>
      <c r="F9" s="254">
        <f>'Energy Star'!F51</f>
        <v>1377</v>
      </c>
      <c r="G9" s="254">
        <f>'Energy Star'!G51</f>
        <v>921</v>
      </c>
      <c r="H9" s="254">
        <f>'Energy Star'!H51</f>
        <v>542</v>
      </c>
      <c r="I9" s="254">
        <f>'Energy Star'!I51</f>
        <v>767</v>
      </c>
      <c r="J9" s="254">
        <f>'Energy Star'!J51</f>
        <v>772</v>
      </c>
      <c r="K9" s="254">
        <f>'Energy Star'!K51</f>
        <v>425</v>
      </c>
      <c r="L9" s="254">
        <f>'Energy Star'!L51</f>
        <v>639</v>
      </c>
      <c r="M9" s="254">
        <f>'Energy Star'!M51</f>
        <v>13</v>
      </c>
      <c r="N9" s="318"/>
      <c r="O9" s="318"/>
      <c r="P9" s="254">
        <f aca="true" t="shared" si="1" ref="P9:P18">SUM(C9:O9)</f>
        <v>6888</v>
      </c>
    </row>
    <row r="10" spans="1:16" ht="12.75">
      <c r="A10" s="330" t="s">
        <v>171</v>
      </c>
      <c r="B10" s="254">
        <f t="shared" si="0"/>
        <v>220165</v>
      </c>
      <c r="C10" s="254"/>
      <c r="D10" s="254"/>
      <c r="E10" s="254">
        <f>'Energy Star'!E50</f>
        <v>61630</v>
      </c>
      <c r="F10" s="254">
        <f>'Energy Star'!F50</f>
        <v>95947</v>
      </c>
      <c r="G10" s="254">
        <f>'Energy Star'!G50</f>
        <v>62588</v>
      </c>
      <c r="H10" s="254">
        <f>'Energy Star'!H50</f>
        <v>0</v>
      </c>
      <c r="I10" s="254">
        <f>'Energy Star'!I50</f>
        <v>106450</v>
      </c>
      <c r="J10" s="254">
        <f>'Energy Star'!J50</f>
        <v>213772</v>
      </c>
      <c r="K10" s="254">
        <f>'Energy Star'!K50</f>
        <v>338254</v>
      </c>
      <c r="L10" s="254">
        <f>'Energy Star'!L50</f>
        <v>166233.2</v>
      </c>
      <c r="M10" s="254">
        <f>'Energy Star'!M50</f>
        <v>218398</v>
      </c>
      <c r="N10" s="254">
        <f>'Energy Star'!N50</f>
        <v>324344.9</v>
      </c>
      <c r="O10" s="254">
        <f>'Energy Star'!O50</f>
        <v>268456</v>
      </c>
      <c r="P10" s="254">
        <f t="shared" si="1"/>
        <v>1856073.1</v>
      </c>
    </row>
    <row r="11" spans="1:16" ht="12.75">
      <c r="A11" s="331" t="s">
        <v>328</v>
      </c>
      <c r="B11" s="254">
        <f t="shared" si="0"/>
        <v>0</v>
      </c>
      <c r="C11" s="254"/>
      <c r="D11" s="254"/>
      <c r="E11" s="254"/>
      <c r="F11" s="254"/>
      <c r="G11" s="254"/>
      <c r="H11" s="254"/>
      <c r="I11" s="254"/>
      <c r="J11" s="254">
        <f>'Energy Star'!J52</f>
        <v>2837</v>
      </c>
      <c r="K11" s="254">
        <f>'Energy Star'!K52</f>
        <v>3248</v>
      </c>
      <c r="L11" s="254">
        <f>'Energy Star'!L52</f>
        <v>3749</v>
      </c>
      <c r="M11" s="254">
        <f>'Energy Star'!M52</f>
        <v>3758.8</v>
      </c>
      <c r="N11" s="254">
        <f>'Energy Star'!N52</f>
        <v>3476.4</v>
      </c>
      <c r="O11" s="254">
        <f>'Energy Star'!O52</f>
        <v>3149</v>
      </c>
      <c r="P11" s="254">
        <f t="shared" si="1"/>
        <v>20218.2</v>
      </c>
    </row>
    <row r="12" spans="1:16" ht="12.75">
      <c r="A12" s="331" t="s">
        <v>329</v>
      </c>
      <c r="B12" s="254">
        <f t="shared" si="0"/>
        <v>0</v>
      </c>
      <c r="C12" s="254"/>
      <c r="D12" s="254"/>
      <c r="E12" s="254"/>
      <c r="F12" s="254"/>
      <c r="G12" s="254"/>
      <c r="H12" s="254"/>
      <c r="I12" s="254"/>
      <c r="J12" s="254">
        <f>'Energy Star'!J53</f>
        <v>382</v>
      </c>
      <c r="K12" s="254">
        <f>'Energy Star'!K53</f>
        <v>569</v>
      </c>
      <c r="L12" s="254">
        <f>'Energy Star'!L53</f>
        <v>414</v>
      </c>
      <c r="M12" s="254">
        <f>'Energy Star'!M53</f>
        <v>28</v>
      </c>
      <c r="N12" s="318"/>
      <c r="O12" s="318"/>
      <c r="P12" s="254">
        <f t="shared" si="1"/>
        <v>1393</v>
      </c>
    </row>
    <row r="13" spans="1:16" ht="12.75">
      <c r="A13" s="331" t="s">
        <v>330</v>
      </c>
      <c r="B13" s="254">
        <f t="shared" si="0"/>
        <v>0</v>
      </c>
      <c r="C13" s="254"/>
      <c r="D13" s="254"/>
      <c r="E13" s="254"/>
      <c r="F13" s="254"/>
      <c r="G13" s="254"/>
      <c r="H13" s="254"/>
      <c r="I13" s="254"/>
      <c r="J13" s="254"/>
      <c r="K13" s="254">
        <f>'Energy Star'!K55</f>
        <v>5540</v>
      </c>
      <c r="L13" s="254">
        <f>'Energy Star'!L55</f>
        <v>15400.6</v>
      </c>
      <c r="M13" s="254">
        <f>'Energy Star'!M55</f>
        <v>15560.9</v>
      </c>
      <c r="N13" s="254">
        <f>'Energy Star'!N55</f>
        <v>17469.5</v>
      </c>
      <c r="O13" s="254">
        <f>'Energy Star'!O55</f>
        <v>10991</v>
      </c>
      <c r="P13" s="254">
        <f t="shared" si="1"/>
        <v>64962</v>
      </c>
    </row>
    <row r="14" spans="1:16" ht="12.75">
      <c r="A14" s="331" t="s">
        <v>331</v>
      </c>
      <c r="B14" s="254">
        <f t="shared" si="0"/>
        <v>0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>
        <f>'Energy Star'!L56</f>
        <v>4707</v>
      </c>
      <c r="M14" s="254">
        <f>'Energy Star'!M56</f>
        <v>8829.4</v>
      </c>
      <c r="N14" s="254">
        <f>'Energy Star'!N56</f>
        <v>7996.7</v>
      </c>
      <c r="O14" s="254">
        <f>'Energy Star'!O56</f>
        <v>3008</v>
      </c>
      <c r="P14" s="254">
        <f t="shared" si="1"/>
        <v>24541.1</v>
      </c>
    </row>
    <row r="15" spans="1:16" ht="12.75">
      <c r="A15" s="331" t="s">
        <v>332</v>
      </c>
      <c r="B15" s="254">
        <f t="shared" si="0"/>
        <v>0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>
        <f>'Energy Star'!M54</f>
        <v>515.9</v>
      </c>
      <c r="N15" s="254">
        <f>'Energy Star'!N54</f>
        <v>37.5</v>
      </c>
      <c r="O15" s="254">
        <f>'Energy Star'!O54</f>
        <v>722</v>
      </c>
      <c r="P15" s="254">
        <f t="shared" si="1"/>
        <v>1275.4</v>
      </c>
    </row>
    <row r="16" spans="1:16" ht="12.75">
      <c r="A16" s="331" t="s">
        <v>333</v>
      </c>
      <c r="B16" s="254">
        <f t="shared" si="0"/>
        <v>0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>
        <f>'Energy Star'!M57</f>
        <v>118.1</v>
      </c>
      <c r="N16" s="318"/>
      <c r="O16" s="318"/>
      <c r="P16" s="254">
        <f t="shared" si="1"/>
        <v>118.1</v>
      </c>
    </row>
    <row r="17" spans="1:16" ht="12.75">
      <c r="A17" s="232" t="s">
        <v>158</v>
      </c>
      <c r="B17" s="254">
        <f t="shared" si="0"/>
        <v>0</v>
      </c>
      <c r="C17" s="254"/>
      <c r="D17" s="254"/>
      <c r="E17" s="254"/>
      <c r="F17" s="254"/>
      <c r="G17" s="254"/>
      <c r="H17" s="254">
        <f>'Home Perf'!B27</f>
        <v>2</v>
      </c>
      <c r="I17" s="254">
        <f>'Home Perf'!C27</f>
        <v>22</v>
      </c>
      <c r="J17" s="254">
        <f>'Home Perf'!D27</f>
        <v>108</v>
      </c>
      <c r="K17" s="254">
        <f>'Home Perf'!E27</f>
        <v>1155</v>
      </c>
      <c r="L17" s="254">
        <f>'Home Perf'!F27</f>
        <v>939</v>
      </c>
      <c r="M17" s="254">
        <f>'Home Perf'!G27</f>
        <v>2131</v>
      </c>
      <c r="N17" s="254">
        <f>'Home Perf'!H27</f>
        <v>3479</v>
      </c>
      <c r="O17" s="254">
        <f>'Home Perf'!I27</f>
        <v>4661</v>
      </c>
      <c r="P17" s="254">
        <f t="shared" si="1"/>
        <v>12497</v>
      </c>
    </row>
    <row r="18" spans="1:16" ht="12.75">
      <c r="A18" s="29" t="s">
        <v>73</v>
      </c>
      <c r="B18" s="256">
        <f t="shared" si="0"/>
        <v>315791</v>
      </c>
      <c r="C18" s="256">
        <f>SUM(C6:C17)</f>
        <v>12343</v>
      </c>
      <c r="D18" s="256">
        <f aca="true" t="shared" si="2" ref="D18:K18">SUM(D6:D17)</f>
        <v>18965</v>
      </c>
      <c r="E18" s="256">
        <f t="shared" si="2"/>
        <v>82456</v>
      </c>
      <c r="F18" s="256">
        <f t="shared" si="2"/>
        <v>117374</v>
      </c>
      <c r="G18" s="256">
        <f t="shared" si="2"/>
        <v>84653</v>
      </c>
      <c r="H18" s="256">
        <f t="shared" si="2"/>
        <v>17270</v>
      </c>
      <c r="I18" s="256">
        <f t="shared" si="2"/>
        <v>126391</v>
      </c>
      <c r="J18" s="256">
        <f t="shared" si="2"/>
        <v>226187</v>
      </c>
      <c r="K18" s="256">
        <f t="shared" si="2"/>
        <v>356614</v>
      </c>
      <c r="L18" s="256">
        <f>SUM(L6:L17)</f>
        <v>204547.80000000002</v>
      </c>
      <c r="M18" s="256">
        <f>SUM(M6:M17)</f>
        <v>266279.1</v>
      </c>
      <c r="N18" s="256">
        <f>SUM(N6:N17)</f>
        <v>375234.00000000006</v>
      </c>
      <c r="O18" s="256">
        <f>SUM(O6:O17)</f>
        <v>301110</v>
      </c>
      <c r="P18" s="256">
        <f t="shared" si="1"/>
        <v>2189423.9</v>
      </c>
    </row>
    <row r="19" spans="1:16" ht="12.75">
      <c r="A19" s="422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423"/>
    </row>
    <row r="20" spans="1:16" ht="12.75">
      <c r="A20" s="421" t="s">
        <v>2</v>
      </c>
      <c r="B20" s="256">
        <f aca="true" t="shared" si="3" ref="B20:B34">SUM(C20:G20)</f>
        <v>30987</v>
      </c>
      <c r="C20" s="256">
        <f>'Low-income'!C33</f>
        <v>7386</v>
      </c>
      <c r="D20" s="256">
        <f>'Low-income'!D33</f>
        <v>5196</v>
      </c>
      <c r="E20" s="256">
        <f>'Low-income'!E33</f>
        <v>5774</v>
      </c>
      <c r="F20" s="256">
        <f>'Low-income'!F33</f>
        <v>6995</v>
      </c>
      <c r="G20" s="256">
        <f>'Low-income'!G33</f>
        <v>5636</v>
      </c>
      <c r="H20" s="256">
        <f>'Low-income'!H33</f>
        <v>10708</v>
      </c>
      <c r="I20" s="256">
        <f>'Low-income'!I33</f>
        <v>10614</v>
      </c>
      <c r="J20" s="256">
        <f>'Low-income'!J33</f>
        <v>8778</v>
      </c>
      <c r="K20" s="256">
        <f>'Low-income'!K33</f>
        <v>9302</v>
      </c>
      <c r="L20" s="256">
        <f>'Low-income'!L33</f>
        <v>8994</v>
      </c>
      <c r="M20" s="256">
        <f>'Low-income'!M33</f>
        <v>10069</v>
      </c>
      <c r="N20" s="256">
        <f>'Low-income'!N33</f>
        <v>12048</v>
      </c>
      <c r="O20" s="256">
        <f>'Low-income'!O33</f>
        <v>5082</v>
      </c>
      <c r="P20" s="256">
        <f>SUM(C20:O20)</f>
        <v>106582</v>
      </c>
    </row>
    <row r="21" spans="1:16" ht="12.75">
      <c r="A21" s="424"/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363"/>
    </row>
    <row r="22" spans="1:16" ht="12.75">
      <c r="A22" s="332" t="s">
        <v>49</v>
      </c>
      <c r="B22" s="254">
        <f t="shared" si="3"/>
        <v>45389</v>
      </c>
      <c r="C22" s="254"/>
      <c r="D22" s="254"/>
      <c r="E22" s="254"/>
      <c r="F22" s="254">
        <f>'C&amp;I'!F49</f>
        <v>31538</v>
      </c>
      <c r="G22" s="254">
        <f>'C&amp;I'!G49</f>
        <v>13851</v>
      </c>
      <c r="H22" s="254">
        <f>'C&amp;I'!H49</f>
        <v>17351</v>
      </c>
      <c r="I22" s="254">
        <f>'C&amp;I'!I49</f>
        <v>6572</v>
      </c>
      <c r="J22" s="254">
        <f>'C&amp;I'!J49</f>
        <v>21782</v>
      </c>
      <c r="K22" s="254">
        <f>'C&amp;I'!K49</f>
        <v>14993</v>
      </c>
      <c r="L22" s="254">
        <f>'C&amp;I'!L49</f>
        <v>7062</v>
      </c>
      <c r="M22" s="254">
        <f>'C&amp;I'!M49</f>
        <v>16912</v>
      </c>
      <c r="N22" s="254">
        <f>'C&amp;I'!N49</f>
        <v>7693</v>
      </c>
      <c r="O22" s="254">
        <f>'C&amp;I'!O49</f>
        <v>1509</v>
      </c>
      <c r="P22" s="255">
        <f aca="true" t="shared" si="4" ref="P22:P34">SUM(C22:O22)</f>
        <v>139263</v>
      </c>
    </row>
    <row r="23" spans="1:16" ht="12.75">
      <c r="A23" s="333" t="s">
        <v>52</v>
      </c>
      <c r="B23" s="254">
        <f t="shared" si="3"/>
        <v>284449</v>
      </c>
      <c r="C23" s="254"/>
      <c r="D23" s="254"/>
      <c r="E23" s="254"/>
      <c r="F23" s="254">
        <f>'C&amp;I'!F50</f>
        <v>163631</v>
      </c>
      <c r="G23" s="254">
        <f>'C&amp;I'!G50</f>
        <v>120818</v>
      </c>
      <c r="H23" s="254">
        <f>'C&amp;I'!H50</f>
        <v>78194</v>
      </c>
      <c r="I23" s="254">
        <f>'C&amp;I'!I50</f>
        <v>81933</v>
      </c>
      <c r="J23" s="254">
        <f>'C&amp;I'!J50</f>
        <v>74430</v>
      </c>
      <c r="K23" s="254">
        <f>'C&amp;I'!K50</f>
        <v>75806</v>
      </c>
      <c r="L23" s="254">
        <f>'C&amp;I'!L50</f>
        <v>119500</v>
      </c>
      <c r="M23" s="254">
        <f>'C&amp;I'!M50</f>
        <v>103360</v>
      </c>
      <c r="N23" s="254">
        <f>'C&amp;I'!N50</f>
        <v>153265</v>
      </c>
      <c r="O23" s="254">
        <f>'C&amp;I'!O50</f>
        <v>110650</v>
      </c>
      <c r="P23" s="255">
        <f t="shared" si="4"/>
        <v>1081587</v>
      </c>
    </row>
    <row r="24" spans="1:16" ht="12.75">
      <c r="A24" s="333" t="s">
        <v>317</v>
      </c>
      <c r="B24" s="254">
        <f t="shared" si="3"/>
        <v>22558</v>
      </c>
      <c r="C24" s="254"/>
      <c r="D24" s="254"/>
      <c r="E24" s="254"/>
      <c r="F24" s="254">
        <f>'C&amp;I'!F51</f>
        <v>8975</v>
      </c>
      <c r="G24" s="254">
        <f>'C&amp;I'!G51</f>
        <v>13583</v>
      </c>
      <c r="H24" s="254">
        <f>'C&amp;I'!H51</f>
        <v>2832</v>
      </c>
      <c r="I24" s="254">
        <f>'C&amp;I'!I51</f>
        <v>2084</v>
      </c>
      <c r="J24" s="254">
        <f>'C&amp;I'!J51</f>
        <v>3310</v>
      </c>
      <c r="K24" s="254">
        <f>'C&amp;I'!K51</f>
        <v>4992</v>
      </c>
      <c r="L24" s="318"/>
      <c r="M24" s="318"/>
      <c r="N24" s="318"/>
      <c r="O24" s="318"/>
      <c r="P24" s="255">
        <f t="shared" si="4"/>
        <v>35776</v>
      </c>
    </row>
    <row r="25" spans="1:16" ht="12.75">
      <c r="A25" s="181" t="s">
        <v>236</v>
      </c>
      <c r="B25" s="254">
        <f t="shared" si="3"/>
        <v>0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>
        <f>'P4P '!I27</f>
        <v>796</v>
      </c>
      <c r="M25" s="254">
        <f>'P4P '!J27</f>
        <v>15422</v>
      </c>
      <c r="N25" s="254">
        <f>'P4P '!K25</f>
        <v>29077</v>
      </c>
      <c r="O25" s="254">
        <f>'P4P '!L25</f>
        <v>32400</v>
      </c>
      <c r="P25" s="255">
        <f t="shared" si="4"/>
        <v>77695</v>
      </c>
    </row>
    <row r="26" spans="1:16" ht="12.75">
      <c r="A26" s="181" t="s">
        <v>341</v>
      </c>
      <c r="B26" s="254">
        <f t="shared" si="3"/>
        <v>0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>
        <f>'P4P '!K26</f>
        <v>0</v>
      </c>
      <c r="O26" s="254">
        <f>'P4P '!L26</f>
        <v>0</v>
      </c>
      <c r="P26" s="255">
        <f t="shared" si="4"/>
        <v>0</v>
      </c>
    </row>
    <row r="27" spans="1:16" ht="12.75">
      <c r="A27" s="181" t="s">
        <v>237</v>
      </c>
      <c r="B27" s="254">
        <f t="shared" si="3"/>
        <v>0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>
        <f>'P4P NC'!B26</f>
        <v>0</v>
      </c>
      <c r="M27" s="254">
        <f>'P4P NC'!C26</f>
        <v>0</v>
      </c>
      <c r="N27" s="254">
        <f>'P4P NC'!D26</f>
        <v>0</v>
      </c>
      <c r="O27" s="254">
        <f>'P4P NC'!E26</f>
        <v>1313</v>
      </c>
      <c r="P27" s="255">
        <f t="shared" si="4"/>
        <v>1313</v>
      </c>
    </row>
    <row r="28" spans="1:16" ht="12.75">
      <c r="A28" s="181" t="s">
        <v>183</v>
      </c>
      <c r="B28" s="254">
        <f t="shared" si="3"/>
        <v>0</v>
      </c>
      <c r="C28" s="254"/>
      <c r="D28" s="254"/>
      <c r="E28" s="254"/>
      <c r="F28" s="254"/>
      <c r="G28" s="254"/>
      <c r="H28" s="254"/>
      <c r="I28" s="254"/>
      <c r="J28" s="254"/>
      <c r="K28" s="254"/>
      <c r="L28" s="254">
        <f>'Direct Install'!D22</f>
        <v>5007</v>
      </c>
      <c r="M28" s="254">
        <f>'Direct Install'!E22</f>
        <v>41640</v>
      </c>
      <c r="N28" s="254">
        <f>'Direct Install'!F22</f>
        <v>61416</v>
      </c>
      <c r="O28" s="254">
        <f>'Direct Install'!G22</f>
        <v>38040</v>
      </c>
      <c r="P28" s="255">
        <f t="shared" si="4"/>
        <v>146103</v>
      </c>
    </row>
    <row r="29" spans="1:16" ht="12.75">
      <c r="A29" s="181" t="s">
        <v>365</v>
      </c>
      <c r="B29" s="254">
        <f t="shared" si="3"/>
        <v>0</v>
      </c>
      <c r="C29" s="254"/>
      <c r="D29" s="254"/>
      <c r="E29" s="254"/>
      <c r="F29" s="254"/>
      <c r="G29" s="254"/>
      <c r="H29" s="254"/>
      <c r="I29" s="254"/>
      <c r="J29" s="254">
        <f>'CHP-FuelCell_Lrg-Small'!J29</f>
        <v>141</v>
      </c>
      <c r="K29" s="254">
        <f>'CHP-FuelCell_Lrg-Small'!K29</f>
        <v>0</v>
      </c>
      <c r="L29" s="254">
        <f>'CHP-FuelCell_Lrg-Small'!L29</f>
        <v>2000</v>
      </c>
      <c r="M29" s="254">
        <f>'CHP-FuelCell_Lrg-Small'!M29</f>
        <v>0</v>
      </c>
      <c r="N29" s="254">
        <f>'CHP-FuelCell_Lrg-Small'!N29</f>
        <v>0</v>
      </c>
      <c r="O29" s="254">
        <f>'CHP-FuelCell_Lrg-Small'!O29</f>
        <v>0</v>
      </c>
      <c r="P29" s="255">
        <f t="shared" si="4"/>
        <v>2141</v>
      </c>
    </row>
    <row r="30" spans="1:16" ht="12.75">
      <c r="A30" s="181" t="s">
        <v>342</v>
      </c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>
        <f>LEUP!C22</f>
        <v>69</v>
      </c>
      <c r="O30" s="254">
        <f>LEUP!D22</f>
        <v>28710</v>
      </c>
      <c r="P30" s="255">
        <f t="shared" si="4"/>
        <v>28779</v>
      </c>
    </row>
    <row r="31" spans="1:16" ht="12.75">
      <c r="A31" s="29" t="s">
        <v>314</v>
      </c>
      <c r="B31" s="256">
        <f t="shared" si="3"/>
        <v>725321</v>
      </c>
      <c r="C31" s="256">
        <f>'C&amp;I'!C52</f>
        <v>30943</v>
      </c>
      <c r="D31" s="256">
        <f>'C&amp;I'!D52</f>
        <v>144635</v>
      </c>
      <c r="E31" s="256">
        <f>'C&amp;I'!E52</f>
        <v>197347</v>
      </c>
      <c r="F31" s="256">
        <f>'C&amp;I'!F52</f>
        <v>204144</v>
      </c>
      <c r="G31" s="256">
        <f aca="true" t="shared" si="5" ref="G31:N31">SUM(G22:G30)</f>
        <v>148252</v>
      </c>
      <c r="H31" s="256">
        <f t="shared" si="5"/>
        <v>98377</v>
      </c>
      <c r="I31" s="256">
        <f t="shared" si="5"/>
        <v>90589</v>
      </c>
      <c r="J31" s="256">
        <f t="shared" si="5"/>
        <v>99663</v>
      </c>
      <c r="K31" s="256">
        <f t="shared" si="5"/>
        <v>95791</v>
      </c>
      <c r="L31" s="256">
        <f t="shared" si="5"/>
        <v>134365</v>
      </c>
      <c r="M31" s="256">
        <f t="shared" si="5"/>
        <v>177334</v>
      </c>
      <c r="N31" s="256">
        <f t="shared" si="5"/>
        <v>251520</v>
      </c>
      <c r="O31" s="256">
        <f>SUM(O22:O30)</f>
        <v>212622</v>
      </c>
      <c r="P31" s="256">
        <f t="shared" si="4"/>
        <v>1885582</v>
      </c>
    </row>
    <row r="32" spans="1:16" ht="12.75">
      <c r="A32" s="232" t="s">
        <v>101</v>
      </c>
      <c r="B32" s="254">
        <f t="shared" si="3"/>
        <v>4118</v>
      </c>
      <c r="C32" s="254"/>
      <c r="D32" s="254"/>
      <c r="E32" s="254"/>
      <c r="F32" s="254"/>
      <c r="G32" s="254">
        <f>'Cool Cities'!D19</f>
        <v>4118</v>
      </c>
      <c r="H32" s="254">
        <f>'Cool Cities'!E19</f>
        <v>1897</v>
      </c>
      <c r="I32" s="254">
        <f>'Cool Cities'!F19</f>
        <v>1127</v>
      </c>
      <c r="J32" s="254">
        <f>'Cool Cities'!G19</f>
        <v>373</v>
      </c>
      <c r="K32" s="254">
        <f>'Cool Cities'!H19</f>
        <v>455</v>
      </c>
      <c r="L32" s="318"/>
      <c r="M32" s="318"/>
      <c r="N32" s="318"/>
      <c r="O32" s="318"/>
      <c r="P32" s="255">
        <f t="shared" si="4"/>
        <v>7970</v>
      </c>
    </row>
    <row r="33" spans="1:16" ht="12.75">
      <c r="A33" s="29" t="s">
        <v>126</v>
      </c>
      <c r="B33" s="256">
        <f t="shared" si="3"/>
        <v>729439</v>
      </c>
      <c r="C33" s="256">
        <f aca="true" t="shared" si="6" ref="C33:H33">SUM(C31:C32)</f>
        <v>30943</v>
      </c>
      <c r="D33" s="256">
        <f t="shared" si="6"/>
        <v>144635</v>
      </c>
      <c r="E33" s="256">
        <f t="shared" si="6"/>
        <v>197347</v>
      </c>
      <c r="F33" s="256">
        <f t="shared" si="6"/>
        <v>204144</v>
      </c>
      <c r="G33" s="256">
        <f t="shared" si="6"/>
        <v>152370</v>
      </c>
      <c r="H33" s="256">
        <f t="shared" si="6"/>
        <v>100274</v>
      </c>
      <c r="I33" s="256">
        <f aca="true" t="shared" si="7" ref="I33:O33">SUM(I31:I32)</f>
        <v>91716</v>
      </c>
      <c r="J33" s="256">
        <f t="shared" si="7"/>
        <v>100036</v>
      </c>
      <c r="K33" s="256">
        <f t="shared" si="7"/>
        <v>96246</v>
      </c>
      <c r="L33" s="256">
        <f t="shared" si="7"/>
        <v>134365</v>
      </c>
      <c r="M33" s="256">
        <f t="shared" si="7"/>
        <v>177334</v>
      </c>
      <c r="N33" s="256">
        <f t="shared" si="7"/>
        <v>251520</v>
      </c>
      <c r="O33" s="256">
        <f t="shared" si="7"/>
        <v>212622</v>
      </c>
      <c r="P33" s="256">
        <f t="shared" si="4"/>
        <v>1893552</v>
      </c>
    </row>
    <row r="34" spans="1:16" ht="12.75">
      <c r="A34" s="29" t="s">
        <v>404</v>
      </c>
      <c r="B34" s="256">
        <f t="shared" si="3"/>
        <v>1076217</v>
      </c>
      <c r="C34" s="256">
        <f aca="true" t="shared" si="8" ref="C34:N34">SUM(C33+C20+C18)</f>
        <v>50672</v>
      </c>
      <c r="D34" s="256">
        <f t="shared" si="8"/>
        <v>168796</v>
      </c>
      <c r="E34" s="256">
        <f t="shared" si="8"/>
        <v>285577</v>
      </c>
      <c r="F34" s="256">
        <f t="shared" si="8"/>
        <v>328513</v>
      </c>
      <c r="G34" s="256">
        <f t="shared" si="8"/>
        <v>242659</v>
      </c>
      <c r="H34" s="256">
        <f t="shared" si="8"/>
        <v>128252</v>
      </c>
      <c r="I34" s="256">
        <f t="shared" si="8"/>
        <v>228721</v>
      </c>
      <c r="J34" s="256">
        <f t="shared" si="8"/>
        <v>335001</v>
      </c>
      <c r="K34" s="256">
        <f t="shared" si="8"/>
        <v>462162</v>
      </c>
      <c r="L34" s="256">
        <f t="shared" si="8"/>
        <v>347906.80000000005</v>
      </c>
      <c r="M34" s="256">
        <f t="shared" si="8"/>
        <v>453682.1</v>
      </c>
      <c r="N34" s="256">
        <f t="shared" si="8"/>
        <v>638802</v>
      </c>
      <c r="O34" s="256">
        <f>SUM(O33+O20+O18)</f>
        <v>518814</v>
      </c>
      <c r="P34" s="256">
        <f t="shared" si="4"/>
        <v>4189557.9</v>
      </c>
    </row>
    <row r="35" spans="1:16" ht="12.75">
      <c r="A35" s="34"/>
      <c r="B35" s="327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7"/>
    </row>
    <row r="36" spans="1:16" ht="12.75">
      <c r="A36" s="67" t="s">
        <v>166</v>
      </c>
      <c r="B36" s="327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</row>
    <row r="37" spans="1:16" ht="12.75">
      <c r="A37" s="181" t="s">
        <v>341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>
        <f>'P4P '!K41</f>
        <v>17520</v>
      </c>
      <c r="O37" s="255">
        <f>'P4P '!L41</f>
        <v>8255</v>
      </c>
      <c r="P37" s="256">
        <f>SUM(C37:O37)</f>
        <v>25775</v>
      </c>
    </row>
    <row r="38" spans="1:16" ht="12.75">
      <c r="A38" s="181" t="s">
        <v>365</v>
      </c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>
        <f>'CHP-FuelCell_Lrg-Small'!O45</f>
        <v>1154</v>
      </c>
      <c r="P38" s="256">
        <f>SUM(C38:O38)</f>
        <v>1154</v>
      </c>
    </row>
    <row r="39" spans="1:16" ht="12.75">
      <c r="A39" s="48" t="s">
        <v>1</v>
      </c>
      <c r="B39" s="256">
        <f>SUM(C39:G39)</f>
        <v>767</v>
      </c>
      <c r="C39" s="256"/>
      <c r="D39" s="256"/>
      <c r="E39" s="256"/>
      <c r="F39" s="256"/>
      <c r="G39" s="256">
        <f>'CHP-FuelCell_Lrg-Small'!G45</f>
        <v>767</v>
      </c>
      <c r="H39" s="256">
        <f>'CHP-FuelCell_Lrg-Small'!H45</f>
        <v>12575</v>
      </c>
      <c r="I39" s="256">
        <f>'CHP-FuelCell_Lrg-Small'!I45</f>
        <v>102125</v>
      </c>
      <c r="J39" s="256">
        <f>'CHP-FuelCell_Lrg-Small'!J45</f>
        <v>9114</v>
      </c>
      <c r="K39" s="256">
        <f>'CHP-FuelCell_Lrg-Small'!K45</f>
        <v>35317</v>
      </c>
      <c r="L39" s="256">
        <f>'CHP-FuelCell_Lrg-Small'!L45</f>
        <v>47743</v>
      </c>
      <c r="M39" s="256">
        <f>'CHP-FuelCell_Lrg-Small'!M45</f>
        <v>0</v>
      </c>
      <c r="N39" s="256">
        <f>SUM(N37:N38)</f>
        <v>17520</v>
      </c>
      <c r="O39" s="256">
        <f>SUM(O37:O38)</f>
        <v>9409</v>
      </c>
      <c r="P39" s="256">
        <f>SUM(C39:O39)</f>
        <v>234570</v>
      </c>
    </row>
    <row r="40" spans="1:16" ht="12.75">
      <c r="A40" s="75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</row>
    <row r="41" spans="1:16" ht="12.75">
      <c r="A41" s="67" t="s">
        <v>61</v>
      </c>
      <c r="B41" s="88"/>
      <c r="C41" s="88"/>
      <c r="D41" s="88"/>
      <c r="E41" s="88"/>
      <c r="F41" s="88"/>
      <c r="G41" s="88"/>
      <c r="H41" s="88"/>
      <c r="I41" s="149"/>
      <c r="J41" s="149"/>
      <c r="K41" s="149"/>
      <c r="L41" s="149"/>
      <c r="M41" s="149"/>
      <c r="N41" s="149"/>
      <c r="O41" s="149"/>
      <c r="P41" s="88"/>
    </row>
    <row r="42" spans="1:16" ht="12.75">
      <c r="A42" s="84" t="s">
        <v>76</v>
      </c>
      <c r="B42" s="254">
        <f aca="true" t="shared" si="9" ref="B42:B48">SUM(C42:G42)</f>
        <v>33281</v>
      </c>
      <c r="C42" s="254">
        <f>CORE!C23</f>
        <v>11</v>
      </c>
      <c r="D42" s="254">
        <f>CORE!D23</f>
        <v>2896</v>
      </c>
      <c r="E42" s="254">
        <f>CORE!E23</f>
        <v>7239</v>
      </c>
      <c r="F42" s="254">
        <f>CORE!F23</f>
        <v>6515</v>
      </c>
      <c r="G42" s="254">
        <f>CORE!G23</f>
        <v>16620</v>
      </c>
      <c r="H42" s="254">
        <f>CORE!H23</f>
        <v>22470</v>
      </c>
      <c r="I42" s="254">
        <f>CORE!I23</f>
        <v>24369</v>
      </c>
      <c r="J42" s="254">
        <f>CORE!J23</f>
        <v>17726</v>
      </c>
      <c r="K42" s="254">
        <f>CORE!K23</f>
        <v>15432</v>
      </c>
      <c r="L42" s="254">
        <f>CORE!L23</f>
        <v>18181</v>
      </c>
      <c r="M42" s="254">
        <f>CORE!M23</f>
        <v>6961</v>
      </c>
      <c r="N42" s="254">
        <f>CORE!N23</f>
        <v>3632</v>
      </c>
      <c r="O42" s="254">
        <f>CORE!O23</f>
        <v>0</v>
      </c>
      <c r="P42" s="254">
        <f aca="true" t="shared" si="10" ref="P42:P48">SUM(C42:O42)</f>
        <v>142052</v>
      </c>
    </row>
    <row r="43" spans="1:16" ht="12.75">
      <c r="A43" s="84" t="s">
        <v>151</v>
      </c>
      <c r="B43" s="254">
        <f t="shared" si="9"/>
        <v>0</v>
      </c>
      <c r="C43" s="254"/>
      <c r="D43" s="254"/>
      <c r="E43" s="254"/>
      <c r="F43" s="254"/>
      <c r="G43" s="254"/>
      <c r="H43" s="254">
        <f>'Clean Power Choice'!C12</f>
        <v>22189</v>
      </c>
      <c r="I43" s="254">
        <f>'Clean Power Choice'!D12</f>
        <v>74091</v>
      </c>
      <c r="J43" s="254">
        <f>'Clean Power Choice'!E12</f>
        <v>89220.72</v>
      </c>
      <c r="K43" s="254">
        <f>'Clean Power Choice'!F12</f>
        <v>101256</v>
      </c>
      <c r="L43" s="254">
        <f>'Clean Power Choice'!G12</f>
        <v>74988</v>
      </c>
      <c r="M43" s="254">
        <f>'Clean Power Choice'!H12</f>
        <v>0</v>
      </c>
      <c r="N43" s="254">
        <f>'Clean Power Choice'!I12</f>
        <v>0</v>
      </c>
      <c r="O43" s="254">
        <f>'Clean Power Choice'!J12</f>
        <v>0</v>
      </c>
      <c r="P43" s="254">
        <f t="shared" si="10"/>
        <v>361744.72</v>
      </c>
    </row>
    <row r="44" spans="1:16" ht="12.75">
      <c r="A44" s="55" t="s">
        <v>199</v>
      </c>
      <c r="B44" s="254">
        <f t="shared" si="9"/>
        <v>0</v>
      </c>
      <c r="C44" s="254"/>
      <c r="D44" s="254"/>
      <c r="E44" s="254"/>
      <c r="F44" s="254"/>
      <c r="G44" s="254"/>
      <c r="H44" s="254"/>
      <c r="I44" s="254"/>
      <c r="J44" s="254"/>
      <c r="K44" s="254">
        <f>REIP!B22</f>
        <v>2578</v>
      </c>
      <c r="L44" s="254">
        <f>REIP!C22</f>
        <v>19353</v>
      </c>
      <c r="M44" s="254">
        <f>REIP!D22</f>
        <v>21411</v>
      </c>
      <c r="N44" s="254">
        <f>REIP!E22</f>
        <v>2702</v>
      </c>
      <c r="O44" s="254">
        <f>REIP!F22</f>
        <v>1635</v>
      </c>
      <c r="P44" s="254">
        <f t="shared" si="10"/>
        <v>47679</v>
      </c>
    </row>
    <row r="45" spans="1:16" ht="12.75">
      <c r="A45" s="55" t="s">
        <v>251</v>
      </c>
      <c r="B45" s="254">
        <f t="shared" si="9"/>
        <v>0</v>
      </c>
      <c r="C45" s="254"/>
      <c r="D45" s="254"/>
      <c r="E45" s="254"/>
      <c r="F45" s="254"/>
      <c r="G45" s="254"/>
      <c r="H45" s="254"/>
      <c r="I45" s="254"/>
      <c r="J45" s="254"/>
      <c r="K45" s="254">
        <f>'RE Grid Connected'!B19</f>
        <v>0</v>
      </c>
      <c r="L45" s="254">
        <f>'RE Grid Connected'!C19</f>
        <v>0</v>
      </c>
      <c r="M45" s="254">
        <f>'RE Grid Connected'!D19</f>
        <v>0</v>
      </c>
      <c r="N45" s="254">
        <f>'RE Grid Connected'!E19</f>
        <v>0</v>
      </c>
      <c r="O45" s="254">
        <f>'RE Grid Connected'!F19</f>
        <v>13924</v>
      </c>
      <c r="P45" s="254">
        <f t="shared" si="10"/>
        <v>13924</v>
      </c>
    </row>
    <row r="46" spans="1:16" ht="12.75">
      <c r="A46" s="84" t="s">
        <v>116</v>
      </c>
      <c r="B46" s="254">
        <f t="shared" si="9"/>
        <v>12516</v>
      </c>
      <c r="C46" s="254"/>
      <c r="D46" s="254"/>
      <c r="E46" s="254"/>
      <c r="F46" s="254"/>
      <c r="G46" s="254">
        <f>'RE Grants and Financing'!F30</f>
        <v>12516</v>
      </c>
      <c r="H46" s="254">
        <f>'RE Grants and Financing'!G30</f>
        <v>0</v>
      </c>
      <c r="I46" s="254">
        <f>'RE Grants and Financing'!H30</f>
        <v>41753</v>
      </c>
      <c r="J46" s="254">
        <f>'RE Grants and Financing'!I30</f>
        <v>71902</v>
      </c>
      <c r="K46" s="254">
        <f>'RE Grants and Financing'!J30</f>
        <v>8712</v>
      </c>
      <c r="L46" s="254">
        <f>'RE Grants and Financing'!K30</f>
        <v>40137</v>
      </c>
      <c r="M46" s="318"/>
      <c r="N46" s="318"/>
      <c r="O46" s="318"/>
      <c r="P46" s="254">
        <f t="shared" si="10"/>
        <v>175020</v>
      </c>
    </row>
    <row r="47" spans="1:16" ht="12.75">
      <c r="A47" s="84" t="s">
        <v>164</v>
      </c>
      <c r="B47" s="254">
        <f t="shared" si="9"/>
        <v>0</v>
      </c>
      <c r="C47" s="254"/>
      <c r="D47" s="254"/>
      <c r="E47" s="254"/>
      <c r="F47" s="254"/>
      <c r="G47" s="254"/>
      <c r="H47" s="254"/>
      <c r="I47" s="254">
        <f>REC!B18</f>
        <v>16</v>
      </c>
      <c r="J47" s="254">
        <f>REC!C18</f>
        <v>10120</v>
      </c>
      <c r="K47" s="254">
        <f>REC!D18</f>
        <v>41123</v>
      </c>
      <c r="L47" s="254">
        <f>REC!E18</f>
        <v>174920</v>
      </c>
      <c r="M47" s="254">
        <f>REC!F18</f>
        <v>353694</v>
      </c>
      <c r="N47" s="254">
        <f>REC!G18</f>
        <v>634302</v>
      </c>
      <c r="O47" s="254">
        <f>REC!H18</f>
        <v>246101</v>
      </c>
      <c r="P47" s="254">
        <f t="shared" si="10"/>
        <v>1460276</v>
      </c>
    </row>
    <row r="48" spans="1:16" ht="12.75">
      <c r="A48" s="73" t="s">
        <v>1</v>
      </c>
      <c r="B48" s="256">
        <f t="shared" si="9"/>
        <v>45797</v>
      </c>
      <c r="C48" s="256">
        <f aca="true" t="shared" si="11" ref="C48:H48">SUM(C42:C46)</f>
        <v>11</v>
      </c>
      <c r="D48" s="256">
        <f t="shared" si="11"/>
        <v>2896</v>
      </c>
      <c r="E48" s="256">
        <f t="shared" si="11"/>
        <v>7239</v>
      </c>
      <c r="F48" s="256">
        <f t="shared" si="11"/>
        <v>6515</v>
      </c>
      <c r="G48" s="256">
        <f t="shared" si="11"/>
        <v>29136</v>
      </c>
      <c r="H48" s="256">
        <f t="shared" si="11"/>
        <v>44659</v>
      </c>
      <c r="I48" s="256">
        <f aca="true" t="shared" si="12" ref="I48:N48">SUM(I42:I47)</f>
        <v>140229</v>
      </c>
      <c r="J48" s="256">
        <f t="shared" si="12"/>
        <v>188968.72</v>
      </c>
      <c r="K48" s="256">
        <f t="shared" si="12"/>
        <v>169101</v>
      </c>
      <c r="L48" s="256">
        <f t="shared" si="12"/>
        <v>327579</v>
      </c>
      <c r="M48" s="256">
        <f t="shared" si="12"/>
        <v>382066</v>
      </c>
      <c r="N48" s="256">
        <f t="shared" si="12"/>
        <v>640636</v>
      </c>
      <c r="O48" s="256">
        <f>SUM(O42:O47)</f>
        <v>261660</v>
      </c>
      <c r="P48" s="256">
        <f t="shared" si="10"/>
        <v>2200695.7199999997</v>
      </c>
    </row>
    <row r="49" spans="1:16" ht="12.75">
      <c r="A49" s="334" t="s">
        <v>291</v>
      </c>
      <c r="B49" s="327"/>
      <c r="C49" s="327"/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</row>
    <row r="51" ht="15">
      <c r="A51" s="414" t="s">
        <v>402</v>
      </c>
    </row>
    <row r="52" spans="1:16" ht="26.25">
      <c r="A52" s="414" t="s">
        <v>344</v>
      </c>
      <c r="B52" s="215" t="str">
        <f>B4</f>
        <v>Summary 
2001 to 2005*</v>
      </c>
      <c r="C52" s="106">
        <v>2001</v>
      </c>
      <c r="D52" s="106">
        <v>2002</v>
      </c>
      <c r="E52" s="106">
        <v>2003</v>
      </c>
      <c r="F52" s="106">
        <v>2004</v>
      </c>
      <c r="G52" s="106">
        <v>2005</v>
      </c>
      <c r="H52" s="106">
        <v>2006</v>
      </c>
      <c r="I52" s="106">
        <v>2007</v>
      </c>
      <c r="J52" s="106">
        <v>2008</v>
      </c>
      <c r="K52" s="106">
        <v>2009</v>
      </c>
      <c r="L52" s="106">
        <v>2010</v>
      </c>
      <c r="M52" s="106">
        <v>2011</v>
      </c>
      <c r="N52" s="215" t="str">
        <f>N4</f>
        <v>(18 month)1
2012-2013</v>
      </c>
      <c r="O52" s="215" t="str">
        <f>O4</f>
        <v>FY2014</v>
      </c>
      <c r="P52" s="215" t="str">
        <f>P4</f>
        <v>Total 
2001 ~ FY2014</v>
      </c>
    </row>
    <row r="53" spans="1:16" ht="12.75">
      <c r="A53" s="67" t="s">
        <v>403</v>
      </c>
      <c r="B53" s="149" t="s">
        <v>411</v>
      </c>
      <c r="C53" s="149" t="s">
        <v>411</v>
      </c>
      <c r="D53" s="149" t="s">
        <v>411</v>
      </c>
      <c r="E53" s="149" t="s">
        <v>411</v>
      </c>
      <c r="F53" s="149" t="s">
        <v>411</v>
      </c>
      <c r="G53" s="149" t="s">
        <v>411</v>
      </c>
      <c r="H53" s="149" t="s">
        <v>411</v>
      </c>
      <c r="I53" s="88" t="s">
        <v>411</v>
      </c>
      <c r="J53" s="88" t="s">
        <v>411</v>
      </c>
      <c r="K53" s="88" t="s">
        <v>411</v>
      </c>
      <c r="L53" s="88" t="s">
        <v>411</v>
      </c>
      <c r="M53" s="88" t="s">
        <v>411</v>
      </c>
      <c r="N53" s="88" t="s">
        <v>411</v>
      </c>
      <c r="O53" s="88" t="s">
        <v>411</v>
      </c>
      <c r="P53" s="149" t="s">
        <v>411</v>
      </c>
    </row>
    <row r="54" spans="1:16" ht="12.75">
      <c r="A54" s="232" t="s">
        <v>66</v>
      </c>
      <c r="B54" s="254">
        <f aca="true" t="shared" si="13" ref="B54:B66">SUM(C54:G54)</f>
        <v>62634</v>
      </c>
      <c r="C54" s="254">
        <f>'Res HVAC'!C31</f>
        <v>10761</v>
      </c>
      <c r="D54" s="254">
        <f>'Res HVAC'!D31</f>
        <v>13825</v>
      </c>
      <c r="E54" s="254">
        <f>'Res HVAC'!E31</f>
        <v>12254</v>
      </c>
      <c r="F54" s="254">
        <f>'Res HVAC'!F31</f>
        <v>13065</v>
      </c>
      <c r="G54" s="254">
        <f>'Res HVAC'!G31</f>
        <v>12729</v>
      </c>
      <c r="H54" s="254">
        <f>'Res HVAC'!H31</f>
        <v>9651</v>
      </c>
      <c r="I54" s="254">
        <f>'Res HVAC'!I31</f>
        <v>10666</v>
      </c>
      <c r="J54" s="254">
        <f>'Res HVAC'!J31</f>
        <v>2710</v>
      </c>
      <c r="K54" s="254">
        <f>'Res HVAC'!K31</f>
        <v>1804</v>
      </c>
      <c r="L54" s="254">
        <f>'Res HVAC'!L31</f>
        <v>4825</v>
      </c>
      <c r="M54" s="254">
        <f>'Res HVAC'!M31</f>
        <v>6845</v>
      </c>
      <c r="N54" s="254">
        <f>'Res HVAC'!N31</f>
        <v>6715</v>
      </c>
      <c r="O54" s="254">
        <f>'Res HVAC'!O31</f>
        <v>1307</v>
      </c>
      <c r="P54" s="254">
        <f aca="true" t="shared" si="14" ref="P54:P66">SUM(C54:O54)</f>
        <v>107157</v>
      </c>
    </row>
    <row r="55" spans="1:16" ht="12.75">
      <c r="A55" s="232" t="s">
        <v>67</v>
      </c>
      <c r="B55" s="254">
        <f t="shared" si="13"/>
        <v>48393</v>
      </c>
      <c r="C55" s="254">
        <f>RNC!C29</f>
        <v>11</v>
      </c>
      <c r="D55" s="254">
        <f>RNC!D29</f>
        <v>3415</v>
      </c>
      <c r="E55" s="254">
        <f>RNC!E29</f>
        <v>11201</v>
      </c>
      <c r="F55" s="254">
        <f>RNC!F29</f>
        <v>14869</v>
      </c>
      <c r="G55" s="254">
        <f>RNC!G29</f>
        <v>18897</v>
      </c>
      <c r="H55" s="254">
        <f>RNC!H29</f>
        <v>13285</v>
      </c>
      <c r="I55" s="254">
        <f>RNC!I29</f>
        <v>12497</v>
      </c>
      <c r="J55" s="254">
        <f>RNC!J29</f>
        <v>8179</v>
      </c>
      <c r="K55" s="254">
        <f>RNC!K29</f>
        <v>5736</v>
      </c>
      <c r="L55" s="254">
        <f>RNC!L29</f>
        <v>6841</v>
      </c>
      <c r="M55" s="254">
        <f>RNC!M29</f>
        <v>4616</v>
      </c>
      <c r="N55" s="254">
        <f>RNC!N29</f>
        <v>7298</v>
      </c>
      <c r="O55" s="254">
        <f>RNC!O29</f>
        <v>3836</v>
      </c>
      <c r="P55" s="254">
        <f t="shared" si="14"/>
        <v>110681</v>
      </c>
    </row>
    <row r="56" spans="1:16" ht="12.75">
      <c r="A56" s="232" t="s">
        <v>68</v>
      </c>
      <c r="B56" s="287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</row>
    <row r="57" spans="1:16" ht="12.75">
      <c r="A57" s="330" t="s">
        <v>327</v>
      </c>
      <c r="B57" s="254">
        <f t="shared" si="13"/>
        <v>4602</v>
      </c>
      <c r="C57" s="254">
        <f>'Energy Star'!C73</f>
        <v>0</v>
      </c>
      <c r="D57" s="254">
        <f>'Energy Star'!D73</f>
        <v>0</v>
      </c>
      <c r="E57" s="254">
        <f>'Energy Star'!E73</f>
        <v>1499</v>
      </c>
      <c r="F57" s="254">
        <f>'Energy Star'!F73</f>
        <v>1441</v>
      </c>
      <c r="G57" s="254">
        <f>'Energy Star'!G73</f>
        <v>1662</v>
      </c>
      <c r="H57" s="254">
        <f>'Energy Star'!H73</f>
        <v>567</v>
      </c>
      <c r="I57" s="254">
        <f>'Energy Star'!I73</f>
        <v>803</v>
      </c>
      <c r="J57" s="254">
        <f>'Energy Star'!J73</f>
        <v>808</v>
      </c>
      <c r="K57" s="254">
        <f>'Energy Star'!K73</f>
        <v>444</v>
      </c>
      <c r="L57" s="254">
        <f>'Energy Star'!L73</f>
        <v>668</v>
      </c>
      <c r="M57" s="254">
        <f>'Energy Star'!M73</f>
        <v>13.6</v>
      </c>
      <c r="N57" s="318"/>
      <c r="O57" s="318"/>
      <c r="P57" s="254">
        <f t="shared" si="14"/>
        <v>7905.6</v>
      </c>
    </row>
    <row r="58" spans="1:16" ht="12.75">
      <c r="A58" s="330" t="s">
        <v>171</v>
      </c>
      <c r="B58" s="254">
        <f t="shared" si="13"/>
        <v>11898</v>
      </c>
      <c r="C58" s="254">
        <f>'Energy Star'!C72</f>
        <v>0</v>
      </c>
      <c r="D58" s="254">
        <f>'Energy Star'!D72</f>
        <v>0</v>
      </c>
      <c r="E58" s="254">
        <f>'Energy Star'!E72</f>
        <v>3587</v>
      </c>
      <c r="F58" s="254">
        <f>'Energy Star'!F72</f>
        <v>5089</v>
      </c>
      <c r="G58" s="254">
        <f>'Energy Star'!G72</f>
        <v>3222</v>
      </c>
      <c r="H58" s="254">
        <f>'Energy Star'!H72</f>
        <v>0</v>
      </c>
      <c r="I58" s="254">
        <f>'Energy Star'!I72</f>
        <v>5792</v>
      </c>
      <c r="J58" s="254">
        <f>'Energy Star'!J72</f>
        <v>10752</v>
      </c>
      <c r="K58" s="254">
        <f>'Energy Star'!K72</f>
        <v>16252</v>
      </c>
      <c r="L58" s="254">
        <f>'Energy Star'!L72</f>
        <v>19190.4</v>
      </c>
      <c r="M58" s="254">
        <f>'Energy Star'!M72</f>
        <v>25435.7</v>
      </c>
      <c r="N58" s="254">
        <f>'Energy Star'!N72</f>
        <v>45156.8</v>
      </c>
      <c r="O58" s="254">
        <f>'Energy Star'!O72</f>
        <v>26146</v>
      </c>
      <c r="P58" s="254">
        <f t="shared" si="14"/>
        <v>160622.90000000002</v>
      </c>
    </row>
    <row r="59" spans="1:16" ht="12.75">
      <c r="A59" s="331" t="s">
        <v>328</v>
      </c>
      <c r="B59" s="254">
        <f t="shared" si="13"/>
        <v>0</v>
      </c>
      <c r="C59" s="254"/>
      <c r="D59" s="254"/>
      <c r="E59" s="254"/>
      <c r="F59" s="254"/>
      <c r="G59" s="254"/>
      <c r="H59" s="254"/>
      <c r="I59" s="254"/>
      <c r="J59" s="254">
        <f>'Energy Star'!J74</f>
        <v>377</v>
      </c>
      <c r="K59" s="254">
        <f>'Energy Star'!K74</f>
        <v>431</v>
      </c>
      <c r="L59" s="254">
        <f>'Energy Star'!L74</f>
        <v>497</v>
      </c>
      <c r="M59" s="254">
        <f>'Energy Star'!M74</f>
        <v>498.4</v>
      </c>
      <c r="N59" s="254">
        <f>'Energy Star'!N74</f>
        <v>1415.8</v>
      </c>
      <c r="O59" s="254">
        <f>'Energy Star'!O74</f>
        <v>418</v>
      </c>
      <c r="P59" s="254">
        <f t="shared" si="14"/>
        <v>3637.2</v>
      </c>
    </row>
    <row r="60" spans="1:16" ht="12.75">
      <c r="A60" s="331" t="s">
        <v>329</v>
      </c>
      <c r="B60" s="254">
        <f t="shared" si="13"/>
        <v>0</v>
      </c>
      <c r="C60" s="254"/>
      <c r="D60" s="254"/>
      <c r="E60" s="254"/>
      <c r="F60" s="254"/>
      <c r="G60" s="254"/>
      <c r="H60" s="254"/>
      <c r="I60" s="254"/>
      <c r="J60" s="254">
        <f>'Energy Star'!J75</f>
        <v>53</v>
      </c>
      <c r="K60" s="254">
        <f>'Energy Star'!K75</f>
        <v>79</v>
      </c>
      <c r="L60" s="254">
        <f>'Energy Star'!L75</f>
        <v>57</v>
      </c>
      <c r="M60" s="254">
        <f>'Energy Star'!M75</f>
        <v>3.9</v>
      </c>
      <c r="N60" s="318"/>
      <c r="O60" s="318"/>
      <c r="P60" s="254">
        <f t="shared" si="14"/>
        <v>192.9</v>
      </c>
    </row>
    <row r="61" spans="1:16" ht="12.75">
      <c r="A61" s="331" t="s">
        <v>330</v>
      </c>
      <c r="B61" s="254">
        <f t="shared" si="13"/>
        <v>0</v>
      </c>
      <c r="C61" s="254"/>
      <c r="D61" s="254"/>
      <c r="E61" s="254"/>
      <c r="F61" s="254"/>
      <c r="G61" s="254"/>
      <c r="H61" s="254"/>
      <c r="I61" s="254"/>
      <c r="J61" s="254"/>
      <c r="K61" s="254">
        <f>'Energy Star'!K77</f>
        <v>1385</v>
      </c>
      <c r="L61" s="254">
        <f>'Energy Star'!L77</f>
        <v>3748.3</v>
      </c>
      <c r="M61" s="254">
        <f>'Energy Star'!M77</f>
        <v>3765.8</v>
      </c>
      <c r="N61" s="254">
        <f>'Energy Star'!N77</f>
        <v>2846.1</v>
      </c>
      <c r="O61" s="254">
        <f>'Energy Star'!O77</f>
        <v>2660</v>
      </c>
      <c r="P61" s="254">
        <f t="shared" si="14"/>
        <v>14405.2</v>
      </c>
    </row>
    <row r="62" spans="1:16" ht="12.75">
      <c r="A62" s="331" t="s">
        <v>331</v>
      </c>
      <c r="B62" s="254">
        <f t="shared" si="13"/>
        <v>0</v>
      </c>
      <c r="C62" s="254"/>
      <c r="D62" s="254"/>
      <c r="E62" s="254"/>
      <c r="F62" s="254"/>
      <c r="G62" s="254"/>
      <c r="H62" s="254"/>
      <c r="I62" s="254"/>
      <c r="J62" s="254"/>
      <c r="K62" s="254"/>
      <c r="L62" s="254">
        <f>'Energy Star'!L78</f>
        <v>526.9</v>
      </c>
      <c r="M62" s="254">
        <f>'Energy Star'!M78</f>
        <v>1005.1</v>
      </c>
      <c r="N62" s="254">
        <f>'Energy Star'!N78</f>
        <v>651.3</v>
      </c>
      <c r="O62" s="254">
        <f>'Energy Star'!O78</f>
        <v>342</v>
      </c>
      <c r="P62" s="254">
        <f t="shared" si="14"/>
        <v>2525.3</v>
      </c>
    </row>
    <row r="63" spans="1:16" ht="12.75">
      <c r="A63" s="331" t="s">
        <v>332</v>
      </c>
      <c r="B63" s="254">
        <f t="shared" si="13"/>
        <v>0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>
        <f>'Energy Star'!M76</f>
        <v>60.2</v>
      </c>
      <c r="N63" s="254">
        <f>'Energy Star'!N76</f>
        <v>12.9</v>
      </c>
      <c r="O63" s="254">
        <f>'Energy Star'!O76</f>
        <v>83</v>
      </c>
      <c r="P63" s="254">
        <f t="shared" si="14"/>
        <v>156.10000000000002</v>
      </c>
    </row>
    <row r="64" spans="1:16" ht="12.75">
      <c r="A64" s="331" t="s">
        <v>333</v>
      </c>
      <c r="B64" s="254">
        <f t="shared" si="13"/>
        <v>0</v>
      </c>
      <c r="C64" s="254"/>
      <c r="D64" s="254"/>
      <c r="E64" s="254"/>
      <c r="F64" s="254"/>
      <c r="G64" s="254"/>
      <c r="H64" s="254"/>
      <c r="I64" s="254"/>
      <c r="J64" s="254"/>
      <c r="K64" s="254"/>
      <c r="L64" s="254"/>
      <c r="M64" s="254">
        <f>'Energy Star'!M79</f>
        <v>32.1</v>
      </c>
      <c r="N64" s="318"/>
      <c r="O64" s="318"/>
      <c r="P64" s="254">
        <f t="shared" si="14"/>
        <v>32.1</v>
      </c>
    </row>
    <row r="65" spans="1:16" ht="12.75">
      <c r="A65" s="232" t="s">
        <v>158</v>
      </c>
      <c r="B65" s="254">
        <f t="shared" si="13"/>
        <v>0</v>
      </c>
      <c r="C65" s="254">
        <f>'Energy Star'!C83</f>
        <v>0</v>
      </c>
      <c r="D65" s="254">
        <f>'Energy Star'!D83</f>
        <v>0</v>
      </c>
      <c r="E65" s="254">
        <f>'Energy Star'!E83</f>
        <v>0</v>
      </c>
      <c r="F65" s="254">
        <f>'Energy Star'!F83</f>
        <v>0</v>
      </c>
      <c r="G65" s="254">
        <f>'Energy Star'!G83</f>
        <v>0</v>
      </c>
      <c r="H65" s="254">
        <f>'Energy Star'!H83</f>
        <v>0</v>
      </c>
      <c r="I65" s="254">
        <f>'Home Perf'!C31</f>
        <v>0</v>
      </c>
      <c r="J65" s="254">
        <f>'Home Perf'!D31</f>
        <v>51</v>
      </c>
      <c r="K65" s="254">
        <f>'Home Perf'!E31</f>
        <v>366</v>
      </c>
      <c r="L65" s="254">
        <f>'Home Perf'!F31</f>
        <v>815</v>
      </c>
      <c r="M65" s="254">
        <f>'Home Perf'!G31</f>
        <v>894</v>
      </c>
      <c r="N65" s="254">
        <f>'Home Perf'!H31</f>
        <v>1081</v>
      </c>
      <c r="O65" s="254">
        <f>'Home Perf'!I31</f>
        <v>1551</v>
      </c>
      <c r="P65" s="254">
        <f t="shared" si="14"/>
        <v>4758</v>
      </c>
    </row>
    <row r="66" spans="1:16" ht="12.75">
      <c r="A66" s="29" t="s">
        <v>73</v>
      </c>
      <c r="B66" s="256">
        <f t="shared" si="13"/>
        <v>127527</v>
      </c>
      <c r="C66" s="256">
        <f>SUM(C54:C65)</f>
        <v>10772</v>
      </c>
      <c r="D66" s="256">
        <f aca="true" t="shared" si="15" ref="D66:K66">SUM(D54:D65)</f>
        <v>17240</v>
      </c>
      <c r="E66" s="256">
        <f t="shared" si="15"/>
        <v>28541</v>
      </c>
      <c r="F66" s="256">
        <f t="shared" si="15"/>
        <v>34464</v>
      </c>
      <c r="G66" s="256">
        <f t="shared" si="15"/>
        <v>36510</v>
      </c>
      <c r="H66" s="256">
        <f t="shared" si="15"/>
        <v>23503</v>
      </c>
      <c r="I66" s="256">
        <f t="shared" si="15"/>
        <v>29758</v>
      </c>
      <c r="J66" s="256">
        <f t="shared" si="15"/>
        <v>22930</v>
      </c>
      <c r="K66" s="256">
        <f t="shared" si="15"/>
        <v>26497</v>
      </c>
      <c r="L66" s="256">
        <f>SUM(L54:L65)</f>
        <v>37168.600000000006</v>
      </c>
      <c r="M66" s="256">
        <f>SUM(M54:M65)</f>
        <v>43169.8</v>
      </c>
      <c r="N66" s="256">
        <f>SUM(N54:N65)</f>
        <v>65176.90000000001</v>
      </c>
      <c r="O66" s="256">
        <f>SUM(O54:O65)</f>
        <v>36343</v>
      </c>
      <c r="P66" s="256">
        <f t="shared" si="14"/>
        <v>412073.3</v>
      </c>
    </row>
    <row r="67" spans="1:16" ht="12.75">
      <c r="A67" s="34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  <c r="M67" s="327"/>
      <c r="N67" s="327"/>
      <c r="O67" s="327"/>
      <c r="P67" s="327"/>
    </row>
    <row r="68" spans="1:16" ht="12.75">
      <c r="A68" s="421" t="s">
        <v>2</v>
      </c>
      <c r="B68" s="256">
        <f aca="true" t="shared" si="16" ref="B68:B79">SUM(C68:G68)</f>
        <v>3916</v>
      </c>
      <c r="C68" s="256">
        <f>'Low-income'!C37</f>
        <v>1032</v>
      </c>
      <c r="D68" s="256">
        <f>'Low-income'!D37</f>
        <v>627</v>
      </c>
      <c r="E68" s="256">
        <f>'Low-income'!E37</f>
        <v>868</v>
      </c>
      <c r="F68" s="256">
        <f>'Low-income'!F37</f>
        <v>820</v>
      </c>
      <c r="G68" s="256">
        <f>'Low-income'!G37</f>
        <v>569</v>
      </c>
      <c r="H68" s="256">
        <f>'Low-income'!H37</f>
        <v>1645</v>
      </c>
      <c r="I68" s="256">
        <f>'Low-income'!I37</f>
        <v>1600</v>
      </c>
      <c r="J68" s="256">
        <f>'Low-income'!J37</f>
        <v>1268</v>
      </c>
      <c r="K68" s="256">
        <f>'Low-income'!K37</f>
        <v>1071</v>
      </c>
      <c r="L68" s="256">
        <f>'Low-income'!L37</f>
        <v>937</v>
      </c>
      <c r="M68" s="256">
        <f>'Low-income'!M37</f>
        <v>1072</v>
      </c>
      <c r="N68" s="256">
        <f>'Low-income'!N37</f>
        <v>1368</v>
      </c>
      <c r="O68" s="256">
        <f>'Low-income'!O37</f>
        <v>601</v>
      </c>
      <c r="P68" s="254">
        <f>SUM(C68:O68)</f>
        <v>13478</v>
      </c>
    </row>
    <row r="69" spans="1:16" ht="12.75">
      <c r="A69" s="233"/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</row>
    <row r="70" spans="1:16" ht="12.75">
      <c r="A70" s="332" t="s">
        <v>49</v>
      </c>
      <c r="B70" s="254">
        <f t="shared" si="16"/>
        <v>9928</v>
      </c>
      <c r="C70" s="254"/>
      <c r="D70" s="254"/>
      <c r="E70" s="254"/>
      <c r="F70" s="254">
        <f>'C&amp;I'!F62</f>
        <v>6380</v>
      </c>
      <c r="G70" s="254">
        <f>'C&amp;I'!G62</f>
        <v>3548</v>
      </c>
      <c r="H70" s="254">
        <f>'C&amp;I'!H62</f>
        <v>3861</v>
      </c>
      <c r="I70" s="254">
        <f>'C&amp;I'!I62</f>
        <v>1796</v>
      </c>
      <c r="J70" s="254">
        <f>'C&amp;I'!J62</f>
        <v>1399</v>
      </c>
      <c r="K70" s="254">
        <f>'C&amp;I'!K62</f>
        <v>2935</v>
      </c>
      <c r="L70" s="254">
        <f>'C&amp;I'!L62</f>
        <v>1915</v>
      </c>
      <c r="M70" s="254">
        <f>'C&amp;I'!M62</f>
        <v>4650</v>
      </c>
      <c r="N70" s="254">
        <f>'C&amp;I'!N62</f>
        <v>1736</v>
      </c>
      <c r="O70" s="254">
        <f>'C&amp;I'!O62</f>
        <v>678</v>
      </c>
      <c r="P70" s="254">
        <f>SUM(C70:O70)</f>
        <v>28898</v>
      </c>
    </row>
    <row r="71" spans="1:16" ht="12.75">
      <c r="A71" s="333" t="s">
        <v>52</v>
      </c>
      <c r="B71" s="254">
        <f t="shared" si="16"/>
        <v>62229</v>
      </c>
      <c r="C71" s="254"/>
      <c r="D71" s="254"/>
      <c r="E71" s="254"/>
      <c r="F71" s="254">
        <f>'C&amp;I'!F63</f>
        <v>33751</v>
      </c>
      <c r="G71" s="254">
        <f>'C&amp;I'!G63</f>
        <v>28478</v>
      </c>
      <c r="H71" s="254">
        <f>'C&amp;I'!H63</f>
        <v>21539</v>
      </c>
      <c r="I71" s="254">
        <f>'C&amp;I'!I63</f>
        <v>15252</v>
      </c>
      <c r="J71" s="254">
        <f>'C&amp;I'!J63</f>
        <v>14186</v>
      </c>
      <c r="K71" s="254">
        <f>'C&amp;I'!K63</f>
        <v>15312</v>
      </c>
      <c r="L71" s="254">
        <f>'C&amp;I'!L63</f>
        <v>20887</v>
      </c>
      <c r="M71" s="254">
        <f>'C&amp;I'!M63</f>
        <v>69567</v>
      </c>
      <c r="N71" s="254">
        <f>'C&amp;I'!N63</f>
        <v>28158</v>
      </c>
      <c r="O71" s="254">
        <f>'C&amp;I'!O63</f>
        <v>20492</v>
      </c>
      <c r="P71" s="254">
        <f>SUM(C71:O71)</f>
        <v>267622</v>
      </c>
    </row>
    <row r="72" spans="1:16" ht="12.75">
      <c r="A72" s="333" t="s">
        <v>317</v>
      </c>
      <c r="B72" s="254">
        <f t="shared" si="16"/>
        <v>7555</v>
      </c>
      <c r="C72" s="254"/>
      <c r="D72" s="254"/>
      <c r="E72" s="254"/>
      <c r="F72" s="254">
        <f>'C&amp;I'!F64</f>
        <v>3199</v>
      </c>
      <c r="G72" s="254">
        <f>'C&amp;I'!G64</f>
        <v>4356</v>
      </c>
      <c r="H72" s="254">
        <f>'C&amp;I'!H64</f>
        <v>901</v>
      </c>
      <c r="I72" s="254">
        <f>'C&amp;I'!I64</f>
        <v>454</v>
      </c>
      <c r="J72" s="254">
        <f>'C&amp;I'!J64</f>
        <v>853</v>
      </c>
      <c r="K72" s="254">
        <f>'C&amp;I'!K64</f>
        <v>534</v>
      </c>
      <c r="L72" s="318"/>
      <c r="M72" s="318"/>
      <c r="N72" s="318"/>
      <c r="O72" s="318"/>
      <c r="P72" s="254">
        <f>SUM(C72:O72)</f>
        <v>10297</v>
      </c>
    </row>
    <row r="73" spans="1:16" ht="12.75">
      <c r="A73" s="181" t="s">
        <v>236</v>
      </c>
      <c r="B73" s="254">
        <f t="shared" si="16"/>
        <v>0</v>
      </c>
      <c r="C73" s="254"/>
      <c r="D73" s="254"/>
      <c r="E73" s="254"/>
      <c r="F73" s="254"/>
      <c r="G73" s="254"/>
      <c r="H73" s="254"/>
      <c r="I73" s="254"/>
      <c r="J73" s="254"/>
      <c r="K73" s="254"/>
      <c r="L73" s="254">
        <f>'P4P '!I37</f>
        <v>62</v>
      </c>
      <c r="M73" s="254">
        <f>'P4P '!J37</f>
        <v>2514</v>
      </c>
      <c r="N73" s="254">
        <f>'P4P '!K35</f>
        <v>7626</v>
      </c>
      <c r="O73" s="254">
        <f>'P4P '!L35</f>
        <v>5847</v>
      </c>
      <c r="P73" s="254">
        <f>SUM(C73:O73)</f>
        <v>16049</v>
      </c>
    </row>
    <row r="74" spans="1:16" ht="12.75">
      <c r="A74" s="181" t="s">
        <v>341</v>
      </c>
      <c r="B74" s="254">
        <f t="shared" si="16"/>
        <v>0</v>
      </c>
      <c r="C74" s="254"/>
      <c r="D74" s="254"/>
      <c r="E74" s="254"/>
      <c r="F74" s="254"/>
      <c r="G74" s="254"/>
      <c r="H74" s="254"/>
      <c r="I74" s="254"/>
      <c r="J74" s="254"/>
      <c r="K74" s="254"/>
      <c r="L74" s="254"/>
      <c r="M74" s="254"/>
      <c r="N74" s="254">
        <f>'P4P '!K36</f>
        <v>0</v>
      </c>
      <c r="O74" s="254">
        <f>'P4P '!L36</f>
        <v>0</v>
      </c>
      <c r="P74" s="254"/>
    </row>
    <row r="75" spans="1:16" ht="12.75">
      <c r="A75" s="181" t="s">
        <v>237</v>
      </c>
      <c r="B75" s="254">
        <f t="shared" si="16"/>
        <v>0</v>
      </c>
      <c r="C75" s="254"/>
      <c r="D75" s="254"/>
      <c r="E75" s="254"/>
      <c r="F75" s="254"/>
      <c r="G75" s="254"/>
      <c r="H75" s="254"/>
      <c r="I75" s="254"/>
      <c r="J75" s="254"/>
      <c r="K75" s="254"/>
      <c r="L75" s="254">
        <f>'P4P NC'!B30</f>
        <v>0</v>
      </c>
      <c r="M75" s="254">
        <f>'P4P NC'!C30</f>
        <v>0</v>
      </c>
      <c r="N75" s="254">
        <f>'P4P NC'!D30</f>
        <v>0</v>
      </c>
      <c r="O75" s="254">
        <f>'P4P NC'!E30</f>
        <v>990</v>
      </c>
      <c r="P75" s="254">
        <f aca="true" t="shared" si="17" ref="P75:P80">SUM(C75:O75)</f>
        <v>990</v>
      </c>
    </row>
    <row r="76" spans="1:16" ht="12.75">
      <c r="A76" s="181" t="s">
        <v>183</v>
      </c>
      <c r="B76" s="254">
        <f t="shared" si="16"/>
        <v>0</v>
      </c>
      <c r="C76" s="254"/>
      <c r="D76" s="254"/>
      <c r="E76" s="254"/>
      <c r="F76" s="254"/>
      <c r="G76" s="254"/>
      <c r="H76" s="254"/>
      <c r="I76" s="254"/>
      <c r="J76" s="254"/>
      <c r="K76" s="254"/>
      <c r="L76" s="254">
        <f>'Direct Install'!D26</f>
        <v>1276</v>
      </c>
      <c r="M76" s="254">
        <f>'Direct Install'!E26</f>
        <v>8693</v>
      </c>
      <c r="N76" s="254">
        <f>'Direct Install'!F26</f>
        <v>14288</v>
      </c>
      <c r="O76" s="254">
        <f>'Direct Install'!G26</f>
        <v>9390</v>
      </c>
      <c r="P76" s="254">
        <f t="shared" si="17"/>
        <v>33647</v>
      </c>
    </row>
    <row r="77" spans="1:16" ht="12.75">
      <c r="A77" s="181" t="s">
        <v>342</v>
      </c>
      <c r="B77" s="254"/>
      <c r="C77" s="254"/>
      <c r="D77" s="254"/>
      <c r="E77" s="254"/>
      <c r="F77" s="254"/>
      <c r="G77" s="254"/>
      <c r="H77" s="254"/>
      <c r="I77" s="254"/>
      <c r="J77" s="254"/>
      <c r="K77" s="254"/>
      <c r="L77" s="254"/>
      <c r="M77" s="254"/>
      <c r="N77" s="254">
        <f>LEUP!C26</f>
        <v>440</v>
      </c>
      <c r="O77" s="254">
        <f>LEUP!D26</f>
        <v>5904</v>
      </c>
      <c r="P77" s="254">
        <f t="shared" si="17"/>
        <v>6344</v>
      </c>
    </row>
    <row r="78" spans="1:16" ht="12.75">
      <c r="A78" s="181" t="s">
        <v>365</v>
      </c>
      <c r="B78" s="254">
        <f t="shared" si="16"/>
        <v>0</v>
      </c>
      <c r="C78" s="254"/>
      <c r="D78" s="254"/>
      <c r="E78" s="254"/>
      <c r="F78" s="254"/>
      <c r="G78" s="254"/>
      <c r="H78" s="254"/>
      <c r="I78" s="254"/>
      <c r="J78" s="254">
        <f>'CHP-FuelCell_Lrg-Small'!J39</f>
        <v>30</v>
      </c>
      <c r="K78" s="254">
        <f>'CHP-FuelCell_Lrg-Small'!K39</f>
        <v>0</v>
      </c>
      <c r="L78" s="254">
        <f>'CHP-FuelCell_Lrg-Small'!L39</f>
        <v>275</v>
      </c>
      <c r="M78" s="254">
        <f>'CHP-FuelCell_Lrg-Small'!M39</f>
        <v>0</v>
      </c>
      <c r="N78" s="254">
        <f>'CHP-FuelCell_Lrg-Small'!N39</f>
        <v>0</v>
      </c>
      <c r="O78" s="254">
        <f>'CHP-FuelCell_Lrg-Small'!O39</f>
        <v>0</v>
      </c>
      <c r="P78" s="254">
        <f t="shared" si="17"/>
        <v>305</v>
      </c>
    </row>
    <row r="79" spans="1:16" ht="12.75">
      <c r="A79" s="29" t="s">
        <v>203</v>
      </c>
      <c r="B79" s="256">
        <f t="shared" si="16"/>
        <v>151121</v>
      </c>
      <c r="C79" s="256">
        <f>'C&amp;I'!C65</f>
        <v>6364</v>
      </c>
      <c r="D79" s="256">
        <f>'C&amp;I'!D65</f>
        <v>26750</v>
      </c>
      <c r="E79" s="256">
        <f>'C&amp;I'!E65</f>
        <v>38155</v>
      </c>
      <c r="F79" s="256">
        <f>'C&amp;I'!F65</f>
        <v>43470</v>
      </c>
      <c r="G79" s="256">
        <f aca="true" t="shared" si="18" ref="G79:L79">SUM(G70:G78)</f>
        <v>36382</v>
      </c>
      <c r="H79" s="256">
        <f t="shared" si="18"/>
        <v>26301</v>
      </c>
      <c r="I79" s="256">
        <f t="shared" si="18"/>
        <v>17502</v>
      </c>
      <c r="J79" s="256">
        <f t="shared" si="18"/>
        <v>16468</v>
      </c>
      <c r="K79" s="256">
        <f t="shared" si="18"/>
        <v>18781</v>
      </c>
      <c r="L79" s="256">
        <f t="shared" si="18"/>
        <v>24415</v>
      </c>
      <c r="M79" s="256">
        <f>SUM(M70:M78)</f>
        <v>85424</v>
      </c>
      <c r="N79" s="256">
        <f>SUM(N70:N78)</f>
        <v>52248</v>
      </c>
      <c r="O79" s="256">
        <f>SUM(O70:O78)</f>
        <v>43301</v>
      </c>
      <c r="P79" s="256">
        <f t="shared" si="17"/>
        <v>435561</v>
      </c>
    </row>
    <row r="80" spans="1:16" ht="12.75">
      <c r="A80" s="29" t="s">
        <v>406</v>
      </c>
      <c r="B80" s="256">
        <f>SUM(C80:G80)</f>
        <v>282564</v>
      </c>
      <c r="C80" s="256">
        <f aca="true" t="shared" si="19" ref="C80:O80">C79+C68+C66</f>
        <v>18168</v>
      </c>
      <c r="D80" s="256">
        <f t="shared" si="19"/>
        <v>44617</v>
      </c>
      <c r="E80" s="256">
        <f t="shared" si="19"/>
        <v>67564</v>
      </c>
      <c r="F80" s="256">
        <f t="shared" si="19"/>
        <v>78754</v>
      </c>
      <c r="G80" s="256">
        <f t="shared" si="19"/>
        <v>73461</v>
      </c>
      <c r="H80" s="256">
        <f t="shared" si="19"/>
        <v>51449</v>
      </c>
      <c r="I80" s="256">
        <f t="shared" si="19"/>
        <v>48860</v>
      </c>
      <c r="J80" s="256">
        <f t="shared" si="19"/>
        <v>40666</v>
      </c>
      <c r="K80" s="256">
        <f t="shared" si="19"/>
        <v>46349</v>
      </c>
      <c r="L80" s="256">
        <f t="shared" si="19"/>
        <v>62520.600000000006</v>
      </c>
      <c r="M80" s="256">
        <f t="shared" si="19"/>
        <v>129665.8</v>
      </c>
      <c r="N80" s="256">
        <f t="shared" si="19"/>
        <v>118792.90000000001</v>
      </c>
      <c r="O80" s="256">
        <f t="shared" si="19"/>
        <v>80245</v>
      </c>
      <c r="P80" s="256">
        <f t="shared" si="17"/>
        <v>861112.3</v>
      </c>
    </row>
    <row r="81" spans="1:16" ht="12.75">
      <c r="A81" s="67"/>
      <c r="B81" s="327"/>
      <c r="C81" s="327"/>
      <c r="D81" s="327"/>
      <c r="E81" s="327"/>
      <c r="F81" s="327"/>
      <c r="G81" s="327"/>
      <c r="H81" s="327"/>
      <c r="I81" s="327"/>
      <c r="J81" s="327"/>
      <c r="K81" s="327"/>
      <c r="L81" s="327"/>
      <c r="M81" s="327"/>
      <c r="N81" s="327"/>
      <c r="O81" s="327"/>
      <c r="P81" s="313"/>
    </row>
    <row r="82" spans="1:16" ht="12.75">
      <c r="A82" s="67" t="s">
        <v>445</v>
      </c>
      <c r="B82" s="327"/>
      <c r="C82" s="327"/>
      <c r="D82" s="327"/>
      <c r="E82" s="327"/>
      <c r="F82" s="327"/>
      <c r="G82" s="327"/>
      <c r="H82" s="327"/>
      <c r="I82" s="327"/>
      <c r="J82" s="327"/>
      <c r="K82" s="327"/>
      <c r="L82" s="327"/>
      <c r="M82" s="327"/>
      <c r="N82" s="327"/>
      <c r="O82" s="327"/>
      <c r="P82" s="313"/>
    </row>
    <row r="83" spans="1:16" ht="12.75">
      <c r="A83" s="181" t="s">
        <v>341</v>
      </c>
      <c r="B83" s="255"/>
      <c r="C83" s="255"/>
      <c r="D83" s="255"/>
      <c r="E83" s="255"/>
      <c r="F83" s="255"/>
      <c r="G83" s="255"/>
      <c r="H83" s="255"/>
      <c r="I83" s="255"/>
      <c r="J83" s="255"/>
      <c r="K83" s="255"/>
      <c r="L83" s="255"/>
      <c r="M83" s="255"/>
      <c r="N83" s="255">
        <f>'P4P '!K45</f>
        <v>2000</v>
      </c>
      <c r="O83" s="255">
        <f>'P4P '!L45</f>
        <v>1795</v>
      </c>
      <c r="P83" s="255"/>
    </row>
    <row r="84" spans="1:16" ht="12.75">
      <c r="A84" s="181" t="s">
        <v>365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>
        <f>'CHP-FuelCell_Lrg-Small'!N55</f>
        <v>0</v>
      </c>
      <c r="O84" s="255">
        <f>'CHP-FuelCell_Lrg-Small'!O55</f>
        <v>410</v>
      </c>
      <c r="P84" s="255"/>
    </row>
    <row r="85" spans="1:16" ht="12.75">
      <c r="A85" s="48" t="s">
        <v>1</v>
      </c>
      <c r="B85" s="256">
        <f>SUM(C85:G85)</f>
        <v>140</v>
      </c>
      <c r="C85" s="256">
        <f>'CHP-FuelCell_Lrg-Small'!C55</f>
        <v>0</v>
      </c>
      <c r="D85" s="256">
        <f>'CHP-FuelCell_Lrg-Small'!D55</f>
        <v>0</v>
      </c>
      <c r="E85" s="256">
        <f>'CHP-FuelCell_Lrg-Small'!E55</f>
        <v>0</v>
      </c>
      <c r="F85" s="256">
        <f>'CHP-FuelCell_Lrg-Small'!F55</f>
        <v>0</v>
      </c>
      <c r="G85" s="256">
        <f>'CHP-FuelCell_Lrg-Small'!G55</f>
        <v>140</v>
      </c>
      <c r="H85" s="256">
        <f>'CHP-FuelCell_Lrg-Small'!H55</f>
        <v>3175</v>
      </c>
      <c r="I85" s="256">
        <f>'CHP-FuelCell_Lrg-Small'!I55</f>
        <v>4925</v>
      </c>
      <c r="J85" s="256">
        <f>'CHP-FuelCell_Lrg-Small'!J55</f>
        <v>1276</v>
      </c>
      <c r="K85" s="256">
        <f>'CHP-FuelCell_Lrg-Small'!K55</f>
        <v>4700</v>
      </c>
      <c r="L85" s="256">
        <f>'CHP-FuelCell_Lrg-Small'!L55</f>
        <v>5535</v>
      </c>
      <c r="M85" s="256">
        <f>'CHP-FuelCell_Lrg-Small'!M55</f>
        <v>0</v>
      </c>
      <c r="N85" s="256">
        <f>SUM(N83:N84)</f>
        <v>2000</v>
      </c>
      <c r="O85" s="256">
        <f>SUM(O83:O84)</f>
        <v>2205</v>
      </c>
      <c r="P85" s="256">
        <f>SUM(C85:O85)</f>
        <v>23956</v>
      </c>
    </row>
    <row r="87" spans="1:16" ht="12.75">
      <c r="A87" s="75" t="s">
        <v>446</v>
      </c>
      <c r="B87" s="88"/>
      <c r="C87" s="88" t="s">
        <v>411</v>
      </c>
      <c r="D87" s="88" t="s">
        <v>411</v>
      </c>
      <c r="E87" s="88" t="s">
        <v>411</v>
      </c>
      <c r="F87" s="88" t="s">
        <v>411</v>
      </c>
      <c r="G87" s="88" t="s">
        <v>411</v>
      </c>
      <c r="H87" s="88"/>
      <c r="I87" s="88"/>
      <c r="J87" s="88"/>
      <c r="K87" s="88"/>
      <c r="L87" s="88"/>
      <c r="M87" s="88"/>
      <c r="N87" s="88"/>
      <c r="O87" s="88"/>
      <c r="P87" s="88"/>
    </row>
    <row r="88" spans="1:16" ht="12.75">
      <c r="A88" s="84" t="s">
        <v>76</v>
      </c>
      <c r="B88" s="254">
        <f aca="true" t="shared" si="20" ref="B88:B94">SUM(C88:G88)</f>
        <v>12923</v>
      </c>
      <c r="C88" s="254">
        <f>CORE!C27</f>
        <v>8</v>
      </c>
      <c r="D88" s="254">
        <f>CORE!D27</f>
        <v>1142</v>
      </c>
      <c r="E88" s="254">
        <f>CORE!E27</f>
        <v>1743</v>
      </c>
      <c r="F88" s="254">
        <f>CORE!F27</f>
        <v>2644</v>
      </c>
      <c r="G88" s="254">
        <f>CORE!G27</f>
        <v>7386</v>
      </c>
      <c r="H88" s="254">
        <f>CORE!H27</f>
        <v>18725</v>
      </c>
      <c r="I88" s="254">
        <f>CORE!I27</f>
        <v>20307</v>
      </c>
      <c r="J88" s="254">
        <f>CORE!J27</f>
        <v>14772</v>
      </c>
      <c r="K88" s="254">
        <f>CORE!K27</f>
        <v>12860</v>
      </c>
      <c r="L88" s="254">
        <f>CORE!L27</f>
        <v>15151</v>
      </c>
      <c r="M88" s="254">
        <f>CORE!M27</f>
        <v>5800</v>
      </c>
      <c r="N88" s="254">
        <f>CORE!N27</f>
        <v>2314</v>
      </c>
      <c r="O88" s="254">
        <f>CORE!O27</f>
        <v>0</v>
      </c>
      <c r="P88" s="254">
        <f aca="true" t="shared" si="21" ref="P88:P94">SUM(C88:O88)</f>
        <v>102852</v>
      </c>
    </row>
    <row r="89" spans="1:16" ht="12.75">
      <c r="A89" s="84" t="s">
        <v>151</v>
      </c>
      <c r="B89" s="254">
        <f t="shared" si="20"/>
        <v>0</v>
      </c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>
        <f t="shared" si="21"/>
        <v>0</v>
      </c>
    </row>
    <row r="90" spans="1:16" ht="12.75">
      <c r="A90" s="84" t="s">
        <v>199</v>
      </c>
      <c r="B90" s="254">
        <f t="shared" si="20"/>
        <v>0</v>
      </c>
      <c r="C90" s="254"/>
      <c r="D90" s="254"/>
      <c r="E90" s="254"/>
      <c r="F90" s="254"/>
      <c r="G90" s="254"/>
      <c r="H90" s="254"/>
      <c r="I90" s="254"/>
      <c r="J90" s="254"/>
      <c r="K90" s="254">
        <f>REIP!B26</f>
        <v>2149</v>
      </c>
      <c r="L90" s="254">
        <f>REIP!C26</f>
        <v>16127</v>
      </c>
      <c r="M90" s="254">
        <f>REIP!D26</f>
        <v>17842</v>
      </c>
      <c r="N90" s="254">
        <f>REIP!E26</f>
        <v>2251</v>
      </c>
      <c r="O90" s="254">
        <f>REIP!F26</f>
        <v>312</v>
      </c>
      <c r="P90" s="254">
        <f t="shared" si="21"/>
        <v>38681</v>
      </c>
    </row>
    <row r="91" spans="1:16" ht="12.75">
      <c r="A91" s="55" t="s">
        <v>251</v>
      </c>
      <c r="B91" s="254">
        <f t="shared" si="20"/>
        <v>0</v>
      </c>
      <c r="C91" s="254"/>
      <c r="D91" s="254"/>
      <c r="E91" s="254"/>
      <c r="F91" s="254"/>
      <c r="G91" s="254"/>
      <c r="H91" s="254"/>
      <c r="I91" s="254"/>
      <c r="J91" s="254"/>
      <c r="K91" s="254">
        <f>'RE Grid Connected'!B23</f>
        <v>0</v>
      </c>
      <c r="L91" s="254">
        <f>'RE Grid Connected'!C23</f>
        <v>0</v>
      </c>
      <c r="M91" s="254">
        <f>'RE Grid Connected'!D23</f>
        <v>0</v>
      </c>
      <c r="N91" s="254">
        <f>'RE Grid Connected'!E23</f>
        <v>0</v>
      </c>
      <c r="O91" s="254">
        <f>'RE Grid Connected'!F23</f>
        <v>2000</v>
      </c>
      <c r="P91" s="254">
        <f t="shared" si="21"/>
        <v>2000</v>
      </c>
    </row>
    <row r="92" spans="1:16" ht="12.75">
      <c r="A92" s="84" t="s">
        <v>116</v>
      </c>
      <c r="B92" s="254">
        <f t="shared" si="20"/>
        <v>1600</v>
      </c>
      <c r="C92" s="254">
        <v>0</v>
      </c>
      <c r="D92" s="254">
        <v>0</v>
      </c>
      <c r="E92" s="254">
        <v>0</v>
      </c>
      <c r="F92" s="254">
        <v>0</v>
      </c>
      <c r="G92" s="254">
        <f>'RE Grants and Financing'!F42</f>
        <v>1600</v>
      </c>
      <c r="H92" s="254">
        <f>'RE Grants and Financing'!G42</f>
        <v>0</v>
      </c>
      <c r="I92" s="254">
        <f>'RE Grants and Financing'!H42</f>
        <v>8600</v>
      </c>
      <c r="J92" s="254">
        <f>'RE Grants and Financing'!I42</f>
        <v>9600</v>
      </c>
      <c r="K92" s="254">
        <f>'RE Grants and Financing'!J42</f>
        <v>1500</v>
      </c>
      <c r="L92" s="254">
        <f>'RE Grants and Financing'!K42</f>
        <v>6200</v>
      </c>
      <c r="M92" s="318"/>
      <c r="N92" s="318"/>
      <c r="O92" s="318"/>
      <c r="P92" s="254">
        <f t="shared" si="21"/>
        <v>27500</v>
      </c>
    </row>
    <row r="93" spans="1:16" ht="12.75">
      <c r="A93" s="84" t="s">
        <v>164</v>
      </c>
      <c r="B93" s="254">
        <f t="shared" si="20"/>
        <v>0</v>
      </c>
      <c r="C93" s="254"/>
      <c r="D93" s="254"/>
      <c r="E93" s="254"/>
      <c r="F93" s="254"/>
      <c r="G93" s="254"/>
      <c r="H93" s="254"/>
      <c r="I93" s="254">
        <f>REC!B22</f>
        <v>13</v>
      </c>
      <c r="J93" s="254">
        <f>REC!C22</f>
        <v>8433</v>
      </c>
      <c r="K93" s="254">
        <f>REC!D22</f>
        <v>34269</v>
      </c>
      <c r="L93" s="254">
        <f>REC!E22</f>
        <v>145766</v>
      </c>
      <c r="M93" s="254">
        <f>REC!F22</f>
        <v>294745</v>
      </c>
      <c r="N93" s="254">
        <f>REC!G22</f>
        <v>528585</v>
      </c>
      <c r="O93" s="254">
        <f>REC!H22</f>
        <v>205085</v>
      </c>
      <c r="P93" s="254">
        <f t="shared" si="21"/>
        <v>1216896</v>
      </c>
    </row>
    <row r="94" spans="1:16" ht="12.75">
      <c r="A94" s="73" t="s">
        <v>1</v>
      </c>
      <c r="B94" s="256">
        <f t="shared" si="20"/>
        <v>14523</v>
      </c>
      <c r="C94" s="256">
        <f>SUM(C88:C93)</f>
        <v>8</v>
      </c>
      <c r="D94" s="256">
        <f aca="true" t="shared" si="22" ref="D94:I94">SUM(D88:D93)</f>
        <v>1142</v>
      </c>
      <c r="E94" s="256">
        <f t="shared" si="22"/>
        <v>1743</v>
      </c>
      <c r="F94" s="256">
        <f t="shared" si="22"/>
        <v>2644</v>
      </c>
      <c r="G94" s="256">
        <f t="shared" si="22"/>
        <v>8986</v>
      </c>
      <c r="H94" s="256">
        <f t="shared" si="22"/>
        <v>18725</v>
      </c>
      <c r="I94" s="256">
        <f t="shared" si="22"/>
        <v>28920</v>
      </c>
      <c r="J94" s="256">
        <f aca="true" t="shared" si="23" ref="J94:O94">SUM(J88:J93)</f>
        <v>32805</v>
      </c>
      <c r="K94" s="256">
        <f t="shared" si="23"/>
        <v>50778</v>
      </c>
      <c r="L94" s="256">
        <f t="shared" si="23"/>
        <v>183244</v>
      </c>
      <c r="M94" s="256">
        <f t="shared" si="23"/>
        <v>318387</v>
      </c>
      <c r="N94" s="256">
        <f t="shared" si="23"/>
        <v>533150</v>
      </c>
      <c r="O94" s="256">
        <f t="shared" si="23"/>
        <v>207397</v>
      </c>
      <c r="P94" s="256">
        <f t="shared" si="21"/>
        <v>1387929</v>
      </c>
    </row>
    <row r="95" spans="1:16" ht="12.75">
      <c r="A95" s="67" t="s">
        <v>88</v>
      </c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ht="12.75">
      <c r="A96" s="48" t="s">
        <v>110</v>
      </c>
      <c r="B96" s="256">
        <f>SUM(C96:G96)</f>
        <v>768888</v>
      </c>
      <c r="C96" s="150">
        <f>'Appliance Cycling'!B15</f>
        <v>204971</v>
      </c>
      <c r="D96" s="150">
        <f>'Appliance Cycling'!C15</f>
        <v>196222</v>
      </c>
      <c r="E96" s="150">
        <f>'Appliance Cycling'!D15</f>
        <v>194531</v>
      </c>
      <c r="F96" s="150">
        <f>'Appliance Cycling'!E15</f>
        <v>173164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ht="12.75">
      <c r="A97" s="334" t="s">
        <v>291</v>
      </c>
      <c r="B97" s="327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 ht="12.7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ht="15">
      <c r="A99" s="414" t="s">
        <v>402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ht="26.25">
      <c r="A100" s="414" t="s">
        <v>344</v>
      </c>
      <c r="B100" s="210" t="str">
        <f aca="true" t="shared" si="24" ref="B100:P100">B4</f>
        <v>Summary 
2001 to 2005*</v>
      </c>
      <c r="C100" s="148">
        <f t="shared" si="24"/>
        <v>2001</v>
      </c>
      <c r="D100" s="148">
        <f t="shared" si="24"/>
        <v>2002</v>
      </c>
      <c r="E100" s="148">
        <f t="shared" si="24"/>
        <v>2003</v>
      </c>
      <c r="F100" s="148">
        <f t="shared" si="24"/>
        <v>2004</v>
      </c>
      <c r="G100" s="148">
        <f t="shared" si="24"/>
        <v>2005</v>
      </c>
      <c r="H100" s="148">
        <f t="shared" si="24"/>
        <v>2006</v>
      </c>
      <c r="I100" s="148">
        <f t="shared" si="24"/>
        <v>2007</v>
      </c>
      <c r="J100" s="148">
        <f t="shared" si="24"/>
        <v>2008</v>
      </c>
      <c r="K100" s="148">
        <f t="shared" si="24"/>
        <v>2009</v>
      </c>
      <c r="L100" s="148">
        <f t="shared" si="24"/>
        <v>2010</v>
      </c>
      <c r="M100" s="148">
        <f t="shared" si="24"/>
        <v>2011</v>
      </c>
      <c r="N100" s="210" t="str">
        <f t="shared" si="24"/>
        <v>(18 month)1
2012-2013</v>
      </c>
      <c r="O100" s="210" t="str">
        <f t="shared" si="24"/>
        <v>FY2014</v>
      </c>
      <c r="P100" s="210" t="str">
        <f t="shared" si="24"/>
        <v>Total 
2001 ~ FY2014</v>
      </c>
    </row>
    <row r="101" spans="1:16" ht="12.75">
      <c r="A101" s="157" t="s">
        <v>62</v>
      </c>
      <c r="B101" s="149" t="s">
        <v>11</v>
      </c>
      <c r="C101" s="149" t="s">
        <v>11</v>
      </c>
      <c r="D101" s="149" t="s">
        <v>11</v>
      </c>
      <c r="E101" s="149" t="s">
        <v>11</v>
      </c>
      <c r="F101" s="149" t="s">
        <v>11</v>
      </c>
      <c r="G101" s="149" t="s">
        <v>11</v>
      </c>
      <c r="H101" s="149" t="s">
        <v>11</v>
      </c>
      <c r="I101" s="149" t="s">
        <v>11</v>
      </c>
      <c r="J101" s="149" t="s">
        <v>11</v>
      </c>
      <c r="K101" s="149" t="s">
        <v>11</v>
      </c>
      <c r="L101" s="149" t="s">
        <v>11</v>
      </c>
      <c r="M101" s="149" t="s">
        <v>11</v>
      </c>
      <c r="N101" s="149" t="s">
        <v>11</v>
      </c>
      <c r="O101" s="149" t="s">
        <v>11</v>
      </c>
      <c r="P101" s="149" t="s">
        <v>11</v>
      </c>
    </row>
    <row r="102" spans="1:16" ht="12.75">
      <c r="A102" s="232" t="s">
        <v>66</v>
      </c>
      <c r="B102" s="254">
        <f aca="true" t="shared" si="25" ref="B102:B107">SUM(C102:G102)</f>
        <v>654419</v>
      </c>
      <c r="C102" s="254">
        <f>'Res HVAC'!C34</f>
        <v>117212</v>
      </c>
      <c r="D102" s="254">
        <f>'Res HVAC'!D34</f>
        <v>144346</v>
      </c>
      <c r="E102" s="254">
        <f>'Res HVAC'!E34</f>
        <v>118900</v>
      </c>
      <c r="F102" s="254">
        <f>'Res HVAC'!F34</f>
        <v>135002</v>
      </c>
      <c r="G102" s="254">
        <f>'Res HVAC'!G34</f>
        <v>138959</v>
      </c>
      <c r="H102" s="254">
        <f>'Res HVAC'!H34</f>
        <v>231174</v>
      </c>
      <c r="I102" s="254">
        <f>'Res HVAC'!I34</f>
        <v>205199</v>
      </c>
      <c r="J102" s="254">
        <f>'Res HVAC'!J34</f>
        <v>167668</v>
      </c>
      <c r="K102" s="254">
        <f>'Res HVAC'!K34</f>
        <v>202257</v>
      </c>
      <c r="L102" s="254">
        <f>'Res HVAC'!L34</f>
        <v>259633</v>
      </c>
      <c r="M102" s="254">
        <f>'Res HVAC'!M34</f>
        <v>343759</v>
      </c>
      <c r="N102" s="254">
        <f>'Res HVAC'!N34</f>
        <v>343517</v>
      </c>
      <c r="O102" s="254">
        <f>'Res HVAC'!O34</f>
        <v>118229</v>
      </c>
      <c r="P102" s="254">
        <f aca="true" t="shared" si="26" ref="P102:P107">SUM(C102:O102)</f>
        <v>2525855</v>
      </c>
    </row>
    <row r="103" spans="1:16" ht="12.75">
      <c r="A103" s="232" t="s">
        <v>67</v>
      </c>
      <c r="B103" s="254">
        <f t="shared" si="25"/>
        <v>644169</v>
      </c>
      <c r="C103" s="254">
        <f>RNC!C32</f>
        <v>356</v>
      </c>
      <c r="D103" s="254">
        <f>RNC!D32</f>
        <v>83638</v>
      </c>
      <c r="E103" s="254">
        <f>RNC!E32</f>
        <v>136914</v>
      </c>
      <c r="F103" s="254">
        <f>RNC!F32</f>
        <v>183693</v>
      </c>
      <c r="G103" s="254">
        <f>RNC!G32</f>
        <v>239568</v>
      </c>
      <c r="H103" s="254">
        <f>RNC!H32</f>
        <v>164504</v>
      </c>
      <c r="I103" s="254">
        <f>RNC!I32</f>
        <v>156698</v>
      </c>
      <c r="J103" s="254">
        <f>RNC!J32</f>
        <v>109223</v>
      </c>
      <c r="K103" s="254">
        <f>RNC!K32</f>
        <v>76797</v>
      </c>
      <c r="L103" s="254">
        <f>RNC!L32</f>
        <v>79178</v>
      </c>
      <c r="M103" s="254">
        <f>RNC!M32</f>
        <v>60733</v>
      </c>
      <c r="N103" s="254">
        <f>RNC!N32</f>
        <v>74397</v>
      </c>
      <c r="O103" s="254">
        <f>RNC!O32</f>
        <v>49991</v>
      </c>
      <c r="P103" s="254">
        <f t="shared" si="26"/>
        <v>1415690</v>
      </c>
    </row>
    <row r="104" spans="1:16" ht="12.75">
      <c r="A104" s="232" t="s">
        <v>68</v>
      </c>
      <c r="B104" s="254">
        <f t="shared" si="25"/>
        <v>0</v>
      </c>
      <c r="C104" s="254"/>
      <c r="D104" s="254"/>
      <c r="E104" s="254"/>
      <c r="F104" s="254"/>
      <c r="G104" s="254"/>
      <c r="H104" s="254"/>
      <c r="I104" s="254">
        <f>'Energy Star'!I86</f>
        <v>1943</v>
      </c>
      <c r="J104" s="254">
        <f>'Energy Star'!J86</f>
        <v>20006</v>
      </c>
      <c r="K104" s="254">
        <f>'Energy Star'!K86</f>
        <v>22843</v>
      </c>
      <c r="L104" s="254">
        <f>'Energy Star'!L86</f>
        <v>26540</v>
      </c>
      <c r="M104" s="254">
        <f>'Energy Star'!M86</f>
        <v>27055.6</v>
      </c>
      <c r="N104" s="254">
        <f>'Energy Star'!N86</f>
        <v>24756</v>
      </c>
      <c r="O104" s="254">
        <f>'Energy Star'!O86</f>
        <v>22143</v>
      </c>
      <c r="P104" s="254">
        <f t="shared" si="26"/>
        <v>145286.6</v>
      </c>
    </row>
    <row r="105" spans="1:16" ht="12.75">
      <c r="A105" s="232" t="s">
        <v>158</v>
      </c>
      <c r="B105" s="254">
        <f t="shared" si="25"/>
        <v>0</v>
      </c>
      <c r="C105" s="254"/>
      <c r="D105" s="254"/>
      <c r="E105" s="254"/>
      <c r="F105" s="254"/>
      <c r="G105" s="254"/>
      <c r="H105" s="254">
        <f>'Home Perf'!B34</f>
        <v>108</v>
      </c>
      <c r="I105" s="254">
        <f>'Home Perf'!C34</f>
        <v>803</v>
      </c>
      <c r="J105" s="254">
        <f>'Home Perf'!D34</f>
        <v>3835</v>
      </c>
      <c r="K105" s="254">
        <f>'Home Perf'!E34</f>
        <v>23909</v>
      </c>
      <c r="L105" s="254">
        <f>'Home Perf'!F34</f>
        <v>73438</v>
      </c>
      <c r="M105" s="254">
        <f>'Home Perf'!G34</f>
        <v>95298.35</v>
      </c>
      <c r="N105" s="254">
        <f>'Home Perf'!H34</f>
        <v>136412</v>
      </c>
      <c r="O105" s="254">
        <f>'Home Perf'!I34</f>
        <v>82585</v>
      </c>
      <c r="P105" s="254">
        <f t="shared" si="26"/>
        <v>416388.35</v>
      </c>
    </row>
    <row r="106" spans="1:16" ht="12.75">
      <c r="A106" s="232" t="s">
        <v>142</v>
      </c>
      <c r="B106" s="254">
        <f t="shared" si="25"/>
        <v>0</v>
      </c>
      <c r="C106" s="254"/>
      <c r="D106" s="254"/>
      <c r="E106" s="254"/>
      <c r="F106" s="254"/>
      <c r="G106" s="254"/>
      <c r="H106" s="254">
        <v>37</v>
      </c>
      <c r="I106" s="318"/>
      <c r="J106" s="318"/>
      <c r="K106" s="318"/>
      <c r="L106" s="318"/>
      <c r="M106" s="318"/>
      <c r="N106" s="318"/>
      <c r="O106" s="318"/>
      <c r="P106" s="254">
        <f t="shared" si="26"/>
        <v>37</v>
      </c>
    </row>
    <row r="107" spans="1:16" ht="12.75">
      <c r="A107" s="29" t="s">
        <v>73</v>
      </c>
      <c r="B107" s="256">
        <f t="shared" si="25"/>
        <v>1298588</v>
      </c>
      <c r="C107" s="256">
        <f aca="true" t="shared" si="27" ref="C107:K107">SUM(C102:C106)</f>
        <v>117568</v>
      </c>
      <c r="D107" s="256">
        <f t="shared" si="27"/>
        <v>227984</v>
      </c>
      <c r="E107" s="256">
        <f t="shared" si="27"/>
        <v>255814</v>
      </c>
      <c r="F107" s="256">
        <f t="shared" si="27"/>
        <v>318695</v>
      </c>
      <c r="G107" s="256">
        <f t="shared" si="27"/>
        <v>378527</v>
      </c>
      <c r="H107" s="256">
        <f t="shared" si="27"/>
        <v>395823</v>
      </c>
      <c r="I107" s="256">
        <f t="shared" si="27"/>
        <v>364643</v>
      </c>
      <c r="J107" s="256">
        <f t="shared" si="27"/>
        <v>300732</v>
      </c>
      <c r="K107" s="256">
        <f t="shared" si="27"/>
        <v>325806</v>
      </c>
      <c r="L107" s="256">
        <f>SUM(L102:L106)</f>
        <v>438789</v>
      </c>
      <c r="M107" s="256">
        <f>SUM(M102:M106)</f>
        <v>526845.95</v>
      </c>
      <c r="N107" s="256">
        <f>SUM(N102:N106)</f>
        <v>579082</v>
      </c>
      <c r="O107" s="256">
        <f>SUM(O102:O106)</f>
        <v>272948</v>
      </c>
      <c r="P107" s="256">
        <f t="shared" si="26"/>
        <v>4503256.95</v>
      </c>
    </row>
    <row r="108" spans="1:16" ht="12.75">
      <c r="A108" s="34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ht="12.75">
      <c r="A109" s="421" t="s">
        <v>2</v>
      </c>
      <c r="B109" s="256">
        <f aca="true" t="shared" si="28" ref="B109:B122">SUM(C109:G109)</f>
        <v>338487</v>
      </c>
      <c r="C109" s="256">
        <f>'Low-income'!C40</f>
        <v>91776</v>
      </c>
      <c r="D109" s="256">
        <f>'Low-income'!D40</f>
        <v>73523</v>
      </c>
      <c r="E109" s="256">
        <f>'Low-income'!E40</f>
        <v>65035</v>
      </c>
      <c r="F109" s="256">
        <f>'Low-income'!F40</f>
        <v>59420</v>
      </c>
      <c r="G109" s="256">
        <f>'Low-income'!G40</f>
        <v>48733</v>
      </c>
      <c r="H109" s="256">
        <f>'Low-income'!H40</f>
        <v>42526</v>
      </c>
      <c r="I109" s="256">
        <f>'Low-income'!I40</f>
        <v>48101</v>
      </c>
      <c r="J109" s="256">
        <f>'Low-income'!J40</f>
        <v>73535</v>
      </c>
      <c r="K109" s="256">
        <f>'Low-income'!K40</f>
        <v>80504</v>
      </c>
      <c r="L109" s="256">
        <f>'Low-income'!L40</f>
        <v>65642</v>
      </c>
      <c r="M109" s="256">
        <f>'Low-income'!M40</f>
        <v>88278</v>
      </c>
      <c r="N109" s="256">
        <f>'Low-income'!N40</f>
        <v>87348</v>
      </c>
      <c r="O109" s="256">
        <f>'Low-income'!O40</f>
        <v>60794</v>
      </c>
      <c r="P109" s="256">
        <f>SUM(C109:O109)</f>
        <v>885215</v>
      </c>
    </row>
    <row r="110" spans="1:16" ht="12.75">
      <c r="A110" s="234"/>
      <c r="B110" s="327"/>
      <c r="C110" s="327"/>
      <c r="D110" s="327"/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</row>
    <row r="111" spans="1:16" ht="12.75">
      <c r="A111" s="332" t="s">
        <v>49</v>
      </c>
      <c r="B111" s="254">
        <f t="shared" si="28"/>
        <v>16911</v>
      </c>
      <c r="C111" s="254"/>
      <c r="D111" s="254"/>
      <c r="E111" s="254"/>
      <c r="F111" s="254">
        <f>'C&amp;I'!F68</f>
        <v>4576</v>
      </c>
      <c r="G111" s="254">
        <f>'C&amp;I'!G68</f>
        <v>12335</v>
      </c>
      <c r="H111" s="254">
        <f>'C&amp;I'!H68</f>
        <v>2855</v>
      </c>
      <c r="I111" s="254">
        <f>'C&amp;I'!I68</f>
        <v>6303</v>
      </c>
      <c r="J111" s="254">
        <f>'C&amp;I'!J68</f>
        <v>18311</v>
      </c>
      <c r="K111" s="254">
        <f>'C&amp;I'!K68</f>
        <v>1368</v>
      </c>
      <c r="L111" s="254">
        <f>'C&amp;I'!L68</f>
        <v>104998</v>
      </c>
      <c r="M111" s="254">
        <f>'C&amp;I'!M68</f>
        <v>4361</v>
      </c>
      <c r="N111" s="254">
        <f>'C&amp;I'!N68</f>
        <v>3407</v>
      </c>
      <c r="O111" s="254">
        <f>'C&amp;I'!O68</f>
        <v>19</v>
      </c>
      <c r="P111" s="254">
        <f aca="true" t="shared" si="29" ref="P111:P122">SUM(C111:O111)</f>
        <v>158533</v>
      </c>
    </row>
    <row r="112" spans="1:16" ht="12.75">
      <c r="A112" s="333" t="s">
        <v>52</v>
      </c>
      <c r="B112" s="254">
        <f t="shared" si="28"/>
        <v>216052</v>
      </c>
      <c r="C112" s="254"/>
      <c r="D112" s="254"/>
      <c r="E112" s="254"/>
      <c r="F112" s="254">
        <f>'C&amp;I'!F69</f>
        <v>40439</v>
      </c>
      <c r="G112" s="254">
        <f>'C&amp;I'!G69</f>
        <v>175613</v>
      </c>
      <c r="H112" s="254">
        <f>'C&amp;I'!H69</f>
        <v>171062</v>
      </c>
      <c r="I112" s="254">
        <f>'C&amp;I'!I69</f>
        <v>32282</v>
      </c>
      <c r="J112" s="254">
        <f>'C&amp;I'!J69</f>
        <v>38647</v>
      </c>
      <c r="K112" s="254">
        <f>'C&amp;I'!K69</f>
        <v>42012</v>
      </c>
      <c r="L112" s="254">
        <f>'C&amp;I'!L69</f>
        <v>148987</v>
      </c>
      <c r="M112" s="254">
        <f>'C&amp;I'!M69</f>
        <v>56381</v>
      </c>
      <c r="N112" s="254">
        <f>'C&amp;I'!N69</f>
        <v>138155</v>
      </c>
      <c r="O112" s="254">
        <f>'C&amp;I'!O69</f>
        <v>30487</v>
      </c>
      <c r="P112" s="254">
        <f t="shared" si="29"/>
        <v>874065</v>
      </c>
    </row>
    <row r="113" spans="1:16" ht="12.75">
      <c r="A113" s="333" t="s">
        <v>317</v>
      </c>
      <c r="B113" s="254">
        <f t="shared" si="28"/>
        <v>11682</v>
      </c>
      <c r="C113" s="254"/>
      <c r="D113" s="254"/>
      <c r="E113" s="254"/>
      <c r="F113" s="254">
        <f>'C&amp;I'!F70</f>
        <v>9629</v>
      </c>
      <c r="G113" s="254">
        <f>'C&amp;I'!G70</f>
        <v>2053</v>
      </c>
      <c r="H113" s="254">
        <f>'C&amp;I'!H70</f>
        <v>27913</v>
      </c>
      <c r="I113" s="254">
        <f>'C&amp;I'!I70</f>
        <v>2228</v>
      </c>
      <c r="J113" s="254">
        <f>'C&amp;I'!J70</f>
        <v>6396</v>
      </c>
      <c r="K113" s="254">
        <f>'C&amp;I'!K70</f>
        <v>10132</v>
      </c>
      <c r="L113" s="318"/>
      <c r="M113" s="318"/>
      <c r="N113" s="318"/>
      <c r="O113" s="318"/>
      <c r="P113" s="254">
        <f t="shared" si="29"/>
        <v>58351</v>
      </c>
    </row>
    <row r="114" spans="1:16" ht="12.75">
      <c r="A114" s="181" t="s">
        <v>236</v>
      </c>
      <c r="B114" s="254">
        <f t="shared" si="28"/>
        <v>0</v>
      </c>
      <c r="C114" s="254"/>
      <c r="D114" s="254"/>
      <c r="E114" s="254"/>
      <c r="F114" s="254"/>
      <c r="G114" s="254"/>
      <c r="H114" s="254"/>
      <c r="I114" s="254"/>
      <c r="J114" s="254"/>
      <c r="K114" s="254"/>
      <c r="L114" s="254"/>
      <c r="M114" s="254">
        <f>'P4P '!J51</f>
        <v>45344</v>
      </c>
      <c r="N114" s="254">
        <f>'P4P '!K49</f>
        <v>116964</v>
      </c>
      <c r="O114" s="254">
        <f>'P4P '!L49</f>
        <v>242120</v>
      </c>
      <c r="P114" s="254">
        <f t="shared" si="29"/>
        <v>404428</v>
      </c>
    </row>
    <row r="115" spans="1:16" ht="12.75">
      <c r="A115" s="181" t="s">
        <v>341</v>
      </c>
      <c r="B115" s="254">
        <f t="shared" si="28"/>
        <v>0</v>
      </c>
      <c r="C115" s="254"/>
      <c r="D115" s="254"/>
      <c r="E115" s="254"/>
      <c r="F115" s="254"/>
      <c r="G115" s="254"/>
      <c r="H115" s="254"/>
      <c r="I115" s="254"/>
      <c r="J115" s="254"/>
      <c r="K115" s="254"/>
      <c r="L115" s="254"/>
      <c r="M115" s="254"/>
      <c r="N115" s="254">
        <f>'P4P '!K50</f>
        <v>83277</v>
      </c>
      <c r="O115" s="254">
        <f>'P4P '!L50</f>
        <v>37431</v>
      </c>
      <c r="P115" s="254">
        <f t="shared" si="29"/>
        <v>120708</v>
      </c>
    </row>
    <row r="116" spans="1:16" ht="12.75">
      <c r="A116" s="181" t="s">
        <v>237</v>
      </c>
      <c r="B116" s="254">
        <f t="shared" si="28"/>
        <v>0</v>
      </c>
      <c r="C116" s="254"/>
      <c r="D116" s="254"/>
      <c r="E116" s="254"/>
      <c r="F116" s="254"/>
      <c r="G116" s="254"/>
      <c r="H116" s="254"/>
      <c r="I116" s="254"/>
      <c r="J116" s="254"/>
      <c r="K116" s="254"/>
      <c r="L116" s="254"/>
      <c r="M116" s="254"/>
      <c r="N116" s="254"/>
      <c r="O116" s="254">
        <f>'P4P NC'!E34</f>
        <v>963</v>
      </c>
      <c r="P116" s="254">
        <f t="shared" si="29"/>
        <v>963</v>
      </c>
    </row>
    <row r="117" spans="1:16" ht="12.75">
      <c r="A117" s="181" t="s">
        <v>183</v>
      </c>
      <c r="B117" s="254">
        <f t="shared" si="28"/>
        <v>0</v>
      </c>
      <c r="C117" s="254"/>
      <c r="D117" s="254"/>
      <c r="E117" s="254"/>
      <c r="F117" s="254"/>
      <c r="G117" s="254"/>
      <c r="H117" s="254"/>
      <c r="I117" s="254"/>
      <c r="J117" s="254"/>
      <c r="K117" s="254"/>
      <c r="L117" s="254">
        <f>'Direct Install'!D30</f>
        <v>4487</v>
      </c>
      <c r="M117" s="254">
        <f>'Direct Install'!E30</f>
        <v>61347</v>
      </c>
      <c r="N117" s="254">
        <f>'Direct Install'!F30</f>
        <v>75657</v>
      </c>
      <c r="O117" s="254">
        <f>'Direct Install'!G30</f>
        <v>99959</v>
      </c>
      <c r="P117" s="254">
        <f t="shared" si="29"/>
        <v>241450</v>
      </c>
    </row>
    <row r="118" spans="1:16" ht="12.75">
      <c r="A118" s="232" t="s">
        <v>365</v>
      </c>
      <c r="B118" s="320">
        <f t="shared" si="28"/>
        <v>0</v>
      </c>
      <c r="C118" s="258"/>
      <c r="D118" s="258"/>
      <c r="E118" s="258"/>
      <c r="F118" s="258"/>
      <c r="G118" s="258"/>
      <c r="H118" s="258"/>
      <c r="I118" s="320">
        <f>'CHP-FuelCell_Lrg-Small'!I63</f>
        <v>526105</v>
      </c>
      <c r="J118" s="320">
        <f>'CHP-FuelCell_Lrg-Small'!J63</f>
        <v>52103</v>
      </c>
      <c r="K118" s="320">
        <f>'CHP-FuelCell_Lrg-Small'!K63</f>
        <v>176521</v>
      </c>
      <c r="L118" s="320">
        <f>'CHP-FuelCell_Lrg-Small'!L63</f>
        <v>171923</v>
      </c>
      <c r="M118" s="320">
        <f>'CHP-FuelCell_Lrg-Small'!M63</f>
        <v>0</v>
      </c>
      <c r="N118" s="320">
        <f>'CHP-FuelCell_Lrg-Small'!N63</f>
        <v>0</v>
      </c>
      <c r="O118" s="320">
        <f>'CHP-FuelCell_Lrg-Small'!O63</f>
        <v>8358</v>
      </c>
      <c r="P118" s="254">
        <f t="shared" si="29"/>
        <v>935010</v>
      </c>
    </row>
    <row r="119" spans="1:16" ht="12.75">
      <c r="A119" s="181" t="s">
        <v>342</v>
      </c>
      <c r="B119" s="320"/>
      <c r="C119" s="258"/>
      <c r="D119" s="258"/>
      <c r="E119" s="258"/>
      <c r="F119" s="258"/>
      <c r="G119" s="258"/>
      <c r="H119" s="258"/>
      <c r="I119" s="320"/>
      <c r="J119" s="320"/>
      <c r="K119" s="320"/>
      <c r="L119" s="320"/>
      <c r="M119" s="320"/>
      <c r="N119" s="320">
        <f>LEUP!C30</f>
        <v>145315</v>
      </c>
      <c r="O119" s="320">
        <f>LEUP!D30</f>
        <v>168712</v>
      </c>
      <c r="P119" s="254">
        <f t="shared" si="29"/>
        <v>314027</v>
      </c>
    </row>
    <row r="120" spans="1:16" ht="12.75">
      <c r="A120" s="181" t="s">
        <v>335</v>
      </c>
      <c r="B120" s="254">
        <f t="shared" si="28"/>
        <v>5825</v>
      </c>
      <c r="C120" s="254">
        <f>CORE!C31</f>
        <v>0</v>
      </c>
      <c r="D120" s="254">
        <f>CORE!D31</f>
        <v>4161</v>
      </c>
      <c r="E120" s="254">
        <f>CORE!E31</f>
        <v>1664</v>
      </c>
      <c r="F120" s="254">
        <f>CORE!F31</f>
        <v>0</v>
      </c>
      <c r="G120" s="254">
        <f>CORE!G31</f>
        <v>0</v>
      </c>
      <c r="H120" s="254">
        <f>CORE!H31</f>
        <v>0</v>
      </c>
      <c r="I120" s="254">
        <f>CORE!I31</f>
        <v>0</v>
      </c>
      <c r="J120" s="254">
        <f>CORE!J31</f>
        <v>0</v>
      </c>
      <c r="K120" s="254">
        <f>CORE!K31</f>
        <v>0</v>
      </c>
      <c r="L120" s="254">
        <f>CORE!L31</f>
        <v>0</v>
      </c>
      <c r="M120" s="254">
        <f>CORE!M31</f>
        <v>0</v>
      </c>
      <c r="N120" s="254">
        <f>CORE!N31</f>
        <v>0</v>
      </c>
      <c r="O120" s="254">
        <f>CORE!O31</f>
        <v>0</v>
      </c>
      <c r="P120" s="254">
        <f t="shared" si="29"/>
        <v>5825</v>
      </c>
    </row>
    <row r="121" spans="1:16" ht="12.75">
      <c r="A121" s="29" t="s">
        <v>203</v>
      </c>
      <c r="B121" s="256">
        <f t="shared" si="28"/>
        <v>406081</v>
      </c>
      <c r="C121" s="256">
        <f>'C&amp;I'!C71</f>
        <v>33802</v>
      </c>
      <c r="D121" s="256">
        <f>'C&amp;I'!D71+D120</f>
        <v>37665</v>
      </c>
      <c r="E121" s="256">
        <f>'C&amp;I'!E71+E120</f>
        <v>89969</v>
      </c>
      <c r="F121" s="256">
        <f>'C&amp;I'!F71</f>
        <v>54644</v>
      </c>
      <c r="G121" s="256">
        <f aca="true" t="shared" si="30" ref="G121:L121">SUM(G111:G120)</f>
        <v>190001</v>
      </c>
      <c r="H121" s="256">
        <f t="shared" si="30"/>
        <v>201830</v>
      </c>
      <c r="I121" s="256">
        <f t="shared" si="30"/>
        <v>566918</v>
      </c>
      <c r="J121" s="256">
        <f t="shared" si="30"/>
        <v>115457</v>
      </c>
      <c r="K121" s="256">
        <f t="shared" si="30"/>
        <v>230033</v>
      </c>
      <c r="L121" s="256">
        <f t="shared" si="30"/>
        <v>430395</v>
      </c>
      <c r="M121" s="256">
        <f>SUM(M111:M120)</f>
        <v>167433</v>
      </c>
      <c r="N121" s="256">
        <f>SUM(N111:N120)</f>
        <v>562775</v>
      </c>
      <c r="O121" s="256">
        <f>SUM(O111:O120)</f>
        <v>588049</v>
      </c>
      <c r="P121" s="256">
        <f t="shared" si="29"/>
        <v>3268971</v>
      </c>
    </row>
    <row r="122" spans="1:16" ht="12.75">
      <c r="A122" s="29" t="s">
        <v>405</v>
      </c>
      <c r="B122" s="256">
        <f t="shared" si="28"/>
        <v>2043156</v>
      </c>
      <c r="C122" s="256">
        <f aca="true" t="shared" si="31" ref="C122:O122">C121+C109+C107</f>
        <v>243146</v>
      </c>
      <c r="D122" s="256">
        <f t="shared" si="31"/>
        <v>339172</v>
      </c>
      <c r="E122" s="256">
        <f t="shared" si="31"/>
        <v>410818</v>
      </c>
      <c r="F122" s="256">
        <f t="shared" si="31"/>
        <v>432759</v>
      </c>
      <c r="G122" s="256">
        <f t="shared" si="31"/>
        <v>617261</v>
      </c>
      <c r="H122" s="256">
        <f t="shared" si="31"/>
        <v>640179</v>
      </c>
      <c r="I122" s="256">
        <f t="shared" si="31"/>
        <v>979662</v>
      </c>
      <c r="J122" s="256">
        <f t="shared" si="31"/>
        <v>489724</v>
      </c>
      <c r="K122" s="256">
        <f t="shared" si="31"/>
        <v>636343</v>
      </c>
      <c r="L122" s="256">
        <f t="shared" si="31"/>
        <v>934826</v>
      </c>
      <c r="M122" s="256">
        <f t="shared" si="31"/>
        <v>782556.95</v>
      </c>
      <c r="N122" s="256">
        <f t="shared" si="31"/>
        <v>1229205</v>
      </c>
      <c r="O122" s="256">
        <f t="shared" si="31"/>
        <v>921791</v>
      </c>
      <c r="P122" s="256">
        <f t="shared" si="29"/>
        <v>8657442.95</v>
      </c>
    </row>
    <row r="123" spans="1:16" ht="12.75">
      <c r="A123" s="334" t="s">
        <v>291</v>
      </c>
      <c r="B123" s="154"/>
      <c r="C123" s="74"/>
      <c r="D123" s="74"/>
      <c r="E123" s="74"/>
      <c r="F123" s="74"/>
      <c r="G123" s="74"/>
      <c r="H123" s="74"/>
      <c r="I123" s="154"/>
      <c r="J123" s="154"/>
      <c r="K123" s="154"/>
      <c r="L123" s="154"/>
      <c r="M123" s="154"/>
      <c r="N123" s="154"/>
      <c r="O123" s="154"/>
      <c r="P123" s="154"/>
    </row>
    <row r="125" spans="1:16" ht="15">
      <c r="A125" s="414" t="s">
        <v>19</v>
      </c>
      <c r="P125" s="106"/>
    </row>
    <row r="126" spans="1:16" ht="26.25">
      <c r="A126" s="414" t="s">
        <v>344</v>
      </c>
      <c r="B126" s="215" t="str">
        <f>B4</f>
        <v>Summary 
2001 to 2005*</v>
      </c>
      <c r="C126" s="106">
        <v>2001</v>
      </c>
      <c r="D126" s="106">
        <v>2002</v>
      </c>
      <c r="E126" s="106">
        <v>2003</v>
      </c>
      <c r="F126" s="106">
        <v>2004</v>
      </c>
      <c r="G126" s="106">
        <v>2005</v>
      </c>
      <c r="H126" s="106">
        <v>2006</v>
      </c>
      <c r="I126" s="106">
        <v>2007</v>
      </c>
      <c r="J126" s="106">
        <v>2008</v>
      </c>
      <c r="K126" s="106">
        <v>2009</v>
      </c>
      <c r="L126" s="106">
        <v>2010</v>
      </c>
      <c r="M126" s="106">
        <v>2011</v>
      </c>
      <c r="N126" s="215" t="str">
        <f>N4</f>
        <v>(18 month)1
2012-2013</v>
      </c>
      <c r="O126" s="215" t="str">
        <f>O4</f>
        <v>FY2014</v>
      </c>
      <c r="P126" s="106"/>
    </row>
    <row r="127" spans="1:16" ht="12.75">
      <c r="A127" s="157" t="s">
        <v>395</v>
      </c>
      <c r="B127" s="149" t="s">
        <v>24</v>
      </c>
      <c r="C127" s="149" t="s">
        <v>24</v>
      </c>
      <c r="D127" s="149" t="s">
        <v>24</v>
      </c>
      <c r="E127" s="149" t="s">
        <v>24</v>
      </c>
      <c r="F127" s="149" t="s">
        <v>24</v>
      </c>
      <c r="G127" s="149" t="s">
        <v>24</v>
      </c>
      <c r="H127" s="149" t="s">
        <v>24</v>
      </c>
      <c r="I127" s="149" t="s">
        <v>24</v>
      </c>
      <c r="J127" s="149" t="s">
        <v>24</v>
      </c>
      <c r="K127" s="149" t="s">
        <v>24</v>
      </c>
      <c r="L127" s="149" t="s">
        <v>24</v>
      </c>
      <c r="M127" s="149" t="s">
        <v>24</v>
      </c>
      <c r="N127" s="149" t="s">
        <v>24</v>
      </c>
      <c r="O127" s="149" t="s">
        <v>24</v>
      </c>
      <c r="P127" s="88"/>
    </row>
    <row r="128" spans="1:16" ht="12.75">
      <c r="A128" s="232" t="s">
        <v>67</v>
      </c>
      <c r="B128" s="254">
        <f aca="true" t="shared" si="32" ref="B128:B136">SUM(C128:G128)</f>
        <v>81601</v>
      </c>
      <c r="C128" s="254">
        <f>RNC!C40</f>
        <v>6574</v>
      </c>
      <c r="D128" s="254">
        <f>RNC!D40</f>
        <v>30773</v>
      </c>
      <c r="E128" s="254">
        <f>RNC!E40</f>
        <v>22039</v>
      </c>
      <c r="F128" s="254">
        <f>RNC!F40</f>
        <v>3954</v>
      </c>
      <c r="G128" s="254">
        <f>RNC!G40</f>
        <v>18261</v>
      </c>
      <c r="H128" s="254">
        <f>RNC!H40</f>
        <v>19356</v>
      </c>
      <c r="I128" s="254">
        <f>RNC!I40</f>
        <v>8253</v>
      </c>
      <c r="J128" s="254">
        <f>RNC!J40</f>
        <v>11187</v>
      </c>
      <c r="K128" s="254">
        <f>RNC!K40</f>
        <v>4608</v>
      </c>
      <c r="L128" s="254">
        <f>RNC!L40</f>
        <v>3884</v>
      </c>
      <c r="M128" s="254">
        <f>RNC!M40</f>
        <v>2082</v>
      </c>
      <c r="N128" s="254">
        <f>RNC!N40</f>
        <v>12799</v>
      </c>
      <c r="O128" s="254">
        <f>RNC!O40</f>
        <v>8955</v>
      </c>
      <c r="P128" s="140"/>
    </row>
    <row r="129" spans="1:16" ht="12.75">
      <c r="A129" s="232" t="s">
        <v>158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>
        <f>'Home Perf'!I41</f>
        <v>240</v>
      </c>
      <c r="P129" s="140"/>
    </row>
    <row r="130" spans="1:16" ht="12.75">
      <c r="A130" s="232" t="s">
        <v>296</v>
      </c>
      <c r="B130" s="254">
        <f t="shared" si="32"/>
        <v>484514</v>
      </c>
      <c r="C130" s="254">
        <f>'C&amp;I'!C87</f>
        <v>62505</v>
      </c>
      <c r="D130" s="254">
        <f>'C&amp;I'!D87</f>
        <v>51226</v>
      </c>
      <c r="E130" s="254">
        <f>'C&amp;I'!E87</f>
        <v>162510</v>
      </c>
      <c r="F130" s="254">
        <f>'C&amp;I'!F87</f>
        <v>112183</v>
      </c>
      <c r="G130" s="254">
        <f>'C&amp;I'!G87</f>
        <v>96090</v>
      </c>
      <c r="H130" s="254">
        <f>'C&amp;I'!H87</f>
        <v>45739</v>
      </c>
      <c r="I130" s="254">
        <f>'C&amp;I'!I87</f>
        <v>171585</v>
      </c>
      <c r="J130" s="254">
        <f>'C&amp;I'!J87</f>
        <v>59275</v>
      </c>
      <c r="K130" s="254">
        <f>'C&amp;I'!K87</f>
        <v>122090</v>
      </c>
      <c r="L130" s="254">
        <f>'C&amp;I'!L87</f>
        <v>98440</v>
      </c>
      <c r="M130" s="254">
        <f>'C&amp;I'!M87</f>
        <v>143696</v>
      </c>
      <c r="N130" s="254">
        <f>'C&amp;I'!N87</f>
        <v>130457</v>
      </c>
      <c r="O130" s="254">
        <f>'C&amp;I'!O87</f>
        <v>167250</v>
      </c>
      <c r="P130" s="140"/>
    </row>
    <row r="131" spans="1:16" ht="12.75">
      <c r="A131" s="181" t="s">
        <v>236</v>
      </c>
      <c r="B131" s="254">
        <f t="shared" si="32"/>
        <v>0</v>
      </c>
      <c r="C131" s="254"/>
      <c r="D131" s="254"/>
      <c r="E131" s="254"/>
      <c r="F131" s="254"/>
      <c r="G131" s="254"/>
      <c r="H131" s="254"/>
      <c r="I131" s="254"/>
      <c r="J131" s="254"/>
      <c r="K131" s="254"/>
      <c r="L131" s="254">
        <f>'P4P '!I65</f>
        <v>0</v>
      </c>
      <c r="M131" s="254">
        <f>'P4P '!J65</f>
        <v>50830</v>
      </c>
      <c r="N131" s="254">
        <f>'P4P '!K63</f>
        <v>48001</v>
      </c>
      <c r="O131" s="254">
        <f>'P4P '!L63</f>
        <v>26141</v>
      </c>
      <c r="P131" s="140"/>
    </row>
    <row r="132" spans="1:16" ht="12.75">
      <c r="A132" s="181" t="s">
        <v>341</v>
      </c>
      <c r="B132" s="254">
        <f t="shared" si="32"/>
        <v>0</v>
      </c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>
        <f>'P4P '!K64</f>
        <v>0</v>
      </c>
      <c r="O132" s="254">
        <f>'P4P '!L64</f>
        <v>0</v>
      </c>
      <c r="P132" s="140"/>
    </row>
    <row r="133" spans="1:16" ht="12.75">
      <c r="A133" s="181" t="s">
        <v>237</v>
      </c>
      <c r="B133" s="254">
        <f t="shared" si="32"/>
        <v>0</v>
      </c>
      <c r="C133" s="254"/>
      <c r="D133" s="254"/>
      <c r="E133" s="254"/>
      <c r="F133" s="254"/>
      <c r="G133" s="254"/>
      <c r="H133" s="254"/>
      <c r="I133" s="254"/>
      <c r="J133" s="254"/>
      <c r="K133" s="254"/>
      <c r="L133" s="254">
        <f>'P4P NC'!B42</f>
        <v>0</v>
      </c>
      <c r="M133" s="254">
        <f>'P4P NC'!C42</f>
        <v>6352</v>
      </c>
      <c r="N133" s="254">
        <f>'P4P NC'!D42</f>
        <v>2147</v>
      </c>
      <c r="O133" s="254">
        <f>'P4P NC'!E42</f>
        <v>449</v>
      </c>
      <c r="P133" s="140"/>
    </row>
    <row r="134" spans="1:16" ht="12.75">
      <c r="A134" s="181" t="s">
        <v>183</v>
      </c>
      <c r="B134" s="254">
        <f t="shared" si="32"/>
        <v>0</v>
      </c>
      <c r="C134" s="254"/>
      <c r="D134" s="254"/>
      <c r="E134" s="254"/>
      <c r="F134" s="254"/>
      <c r="G134" s="254"/>
      <c r="H134" s="254"/>
      <c r="I134" s="254"/>
      <c r="J134" s="254"/>
      <c r="K134" s="254"/>
      <c r="L134" s="254">
        <f>'Direct Install'!D38</f>
        <v>15949</v>
      </c>
      <c r="M134" s="254">
        <f>'Direct Install'!E38</f>
        <v>27009</v>
      </c>
      <c r="N134" s="254">
        <f>'Direct Install'!F38</f>
        <v>21602</v>
      </c>
      <c r="O134" s="254">
        <f>'Direct Install'!G38</f>
        <v>17893</v>
      </c>
      <c r="P134" s="140"/>
    </row>
    <row r="135" spans="1:16" ht="12.75">
      <c r="A135" s="181" t="s">
        <v>342</v>
      </c>
      <c r="B135" s="254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>
        <f>LEUP!C38</f>
        <v>17110</v>
      </c>
      <c r="O135" s="254">
        <f>LEUP!D38</f>
        <v>10500</v>
      </c>
      <c r="P135" s="140"/>
    </row>
    <row r="136" spans="1:16" ht="12.75">
      <c r="A136" s="29" t="s">
        <v>404</v>
      </c>
      <c r="B136" s="256">
        <f t="shared" si="32"/>
        <v>566115</v>
      </c>
      <c r="C136" s="256">
        <f>SUM(C128:C134)</f>
        <v>69079</v>
      </c>
      <c r="D136" s="256">
        <f>SUM(D128:D134)</f>
        <v>81999</v>
      </c>
      <c r="E136" s="256">
        <f>SUM(E128:E134)</f>
        <v>184549</v>
      </c>
      <c r="F136" s="256">
        <f>SUM(F128:F134)</f>
        <v>116137</v>
      </c>
      <c r="G136" s="256">
        <f>SUM(G128:G134)</f>
        <v>114351</v>
      </c>
      <c r="H136" s="256">
        <f aca="true" t="shared" si="33" ref="H136:N136">SUM(H128:H135)</f>
        <v>65095</v>
      </c>
      <c r="I136" s="256">
        <f t="shared" si="33"/>
        <v>179838</v>
      </c>
      <c r="J136" s="256">
        <f t="shared" si="33"/>
        <v>70462</v>
      </c>
      <c r="K136" s="256">
        <f t="shared" si="33"/>
        <v>126698</v>
      </c>
      <c r="L136" s="256">
        <f t="shared" si="33"/>
        <v>118273</v>
      </c>
      <c r="M136" s="256">
        <f t="shared" si="33"/>
        <v>229969</v>
      </c>
      <c r="N136" s="256">
        <f t="shared" si="33"/>
        <v>232116</v>
      </c>
      <c r="O136" s="256">
        <f>SUM(O128:O135)</f>
        <v>231428</v>
      </c>
      <c r="P136" s="140"/>
    </row>
    <row r="137" spans="1:16" ht="12.75">
      <c r="A137" s="74"/>
      <c r="B137" s="74"/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</row>
    <row r="138" spans="1:16" ht="12.75">
      <c r="A138" s="67" t="s">
        <v>166</v>
      </c>
      <c r="B138" s="149"/>
      <c r="C138" s="149" t="s">
        <v>24</v>
      </c>
      <c r="D138" s="149" t="s">
        <v>24</v>
      </c>
      <c r="E138" s="149" t="s">
        <v>24</v>
      </c>
      <c r="F138" s="149" t="s">
        <v>24</v>
      </c>
      <c r="G138" s="149" t="s">
        <v>24</v>
      </c>
      <c r="H138" s="149"/>
      <c r="I138" s="149"/>
      <c r="J138" s="149"/>
      <c r="K138" s="149"/>
      <c r="L138" s="149"/>
      <c r="M138" s="149"/>
      <c r="N138" s="149"/>
      <c r="O138" s="149"/>
      <c r="P138" s="74"/>
    </row>
    <row r="139" spans="1:16" ht="12.75">
      <c r="A139" s="181" t="s">
        <v>341</v>
      </c>
      <c r="B139" s="255"/>
      <c r="C139" s="255"/>
      <c r="D139" s="255"/>
      <c r="E139" s="255"/>
      <c r="F139" s="255"/>
      <c r="G139" s="255"/>
      <c r="H139" s="255"/>
      <c r="I139" s="255"/>
      <c r="J139" s="255"/>
      <c r="K139" s="255"/>
      <c r="L139" s="255"/>
      <c r="M139" s="255"/>
      <c r="N139" s="255">
        <f>'P4P '!K79</f>
        <v>7952</v>
      </c>
      <c r="O139" s="255">
        <f>'P4P '!L79</f>
        <v>0</v>
      </c>
      <c r="P139" s="303"/>
    </row>
    <row r="140" spans="1:16" ht="12.75">
      <c r="A140" s="181" t="s">
        <v>365</v>
      </c>
      <c r="B140" s="255"/>
      <c r="C140" s="255"/>
      <c r="D140" s="255"/>
      <c r="E140" s="255"/>
      <c r="F140" s="255"/>
      <c r="G140" s="255"/>
      <c r="H140" s="255"/>
      <c r="I140" s="255"/>
      <c r="J140" s="255"/>
      <c r="K140" s="255"/>
      <c r="L140" s="255"/>
      <c r="M140" s="255"/>
      <c r="N140" s="255">
        <f>'CHP-FuelCell_Lrg-Small'!N88</f>
        <v>135618</v>
      </c>
      <c r="O140" s="255">
        <f>'CHP-FuelCell_Lrg-Small'!O88</f>
        <v>33222</v>
      </c>
      <c r="P140" s="303"/>
    </row>
    <row r="141" spans="1:16" ht="12.75">
      <c r="A141" s="48" t="s">
        <v>1</v>
      </c>
      <c r="B141" s="269">
        <f>SUM(C141:G141)</f>
        <v>0</v>
      </c>
      <c r="C141" s="269"/>
      <c r="D141" s="269"/>
      <c r="E141" s="269"/>
      <c r="F141" s="269"/>
      <c r="G141" s="269"/>
      <c r="H141" s="269">
        <f>'CHP-FuelCell_Lrg-Small'!H88</f>
        <v>729628</v>
      </c>
      <c r="I141" s="269">
        <f>'CHP-FuelCell_Lrg-Small'!I88</f>
        <v>105252</v>
      </c>
      <c r="J141" s="269">
        <f>'CHP-FuelCell_Lrg-Small'!J88</f>
        <v>90800</v>
      </c>
      <c r="K141" s="269">
        <f>'CHP-FuelCell_Lrg-Small'!K88</f>
        <v>123895</v>
      </c>
      <c r="L141" s="269">
        <f>'CHP-FuelCell_Lrg-Small'!L88</f>
        <v>41718</v>
      </c>
      <c r="M141" s="269">
        <f>'CHP-FuelCell_Lrg-Small'!M88</f>
        <v>2455</v>
      </c>
      <c r="N141" s="269">
        <f>SUM(N139:N140)</f>
        <v>143570</v>
      </c>
      <c r="O141" s="269">
        <f>SUM(O139:O140)</f>
        <v>33222</v>
      </c>
      <c r="P141" s="74"/>
    </row>
    <row r="142" spans="1:16" ht="12.75">
      <c r="A142" s="74"/>
      <c r="B142" s="74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</row>
    <row r="143" spans="1:16" ht="12.75">
      <c r="A143" s="67" t="s">
        <v>61</v>
      </c>
      <c r="B143" s="149"/>
      <c r="C143" s="149" t="s">
        <v>24</v>
      </c>
      <c r="D143" s="149" t="s">
        <v>24</v>
      </c>
      <c r="E143" s="149" t="s">
        <v>24</v>
      </c>
      <c r="F143" s="149" t="s">
        <v>24</v>
      </c>
      <c r="G143" s="149" t="s">
        <v>24</v>
      </c>
      <c r="H143" s="149"/>
      <c r="I143" s="149"/>
      <c r="J143" s="149"/>
      <c r="K143" s="149"/>
      <c r="L143" s="149"/>
      <c r="M143" s="149"/>
      <c r="N143" s="149"/>
      <c r="O143" s="149"/>
      <c r="P143" s="88"/>
    </row>
    <row r="144" spans="1:16" ht="12.75">
      <c r="A144" s="84" t="s">
        <v>76</v>
      </c>
      <c r="B144" s="258">
        <f aca="true" t="shared" si="34" ref="B144:B150">SUM(C144:G144)</f>
        <v>83601</v>
      </c>
      <c r="C144" s="258"/>
      <c r="D144" s="258"/>
      <c r="E144" s="258"/>
      <c r="F144" s="258"/>
      <c r="G144" s="258">
        <f>CORE!G39</f>
        <v>83601</v>
      </c>
      <c r="H144" s="258">
        <f>CORE!H39</f>
        <v>35316</v>
      </c>
      <c r="I144" s="258">
        <f>CORE!I39</f>
        <v>25757</v>
      </c>
      <c r="J144" s="258">
        <f>CORE!J39</f>
        <v>64262</v>
      </c>
      <c r="K144" s="258">
        <f>CORE!K39</f>
        <v>48452</v>
      </c>
      <c r="L144" s="258">
        <f>CORE!L39</f>
        <v>16435</v>
      </c>
      <c r="M144" s="258">
        <f>CORE!M39</f>
        <v>5239</v>
      </c>
      <c r="N144" s="258">
        <f>CORE!N39</f>
        <v>0</v>
      </c>
      <c r="O144" s="258">
        <f>CORE!O39</f>
        <v>0</v>
      </c>
      <c r="P144" s="74"/>
    </row>
    <row r="145" spans="1:16" ht="12.75">
      <c r="A145" s="84" t="s">
        <v>199</v>
      </c>
      <c r="B145" s="258">
        <f t="shared" si="34"/>
        <v>0</v>
      </c>
      <c r="C145" s="258"/>
      <c r="D145" s="258"/>
      <c r="E145" s="258"/>
      <c r="F145" s="258"/>
      <c r="G145" s="258"/>
      <c r="H145" s="258"/>
      <c r="I145" s="258"/>
      <c r="J145" s="258"/>
      <c r="K145" s="258">
        <f>REIP!B38</f>
        <v>25440</v>
      </c>
      <c r="L145" s="258">
        <f>REIP!C38</f>
        <v>33278</v>
      </c>
      <c r="M145" s="258">
        <f>REIP!D38</f>
        <v>7043</v>
      </c>
      <c r="N145" s="258">
        <f>REIP!E38</f>
        <v>24821</v>
      </c>
      <c r="O145" s="258">
        <f>REIP!F38</f>
        <v>24896</v>
      </c>
      <c r="P145" s="74"/>
    </row>
    <row r="146" spans="1:16" ht="12.75">
      <c r="A146" s="84" t="s">
        <v>164</v>
      </c>
      <c r="B146" s="258">
        <f t="shared" si="34"/>
        <v>0</v>
      </c>
      <c r="C146" s="258"/>
      <c r="D146" s="258"/>
      <c r="E146" s="258"/>
      <c r="F146" s="258"/>
      <c r="G146" s="258"/>
      <c r="H146" s="258"/>
      <c r="I146" s="258"/>
      <c r="J146" s="258"/>
      <c r="K146" s="258">
        <f>REC!D29</f>
        <v>65002</v>
      </c>
      <c r="L146" s="258">
        <f>REC!E29</f>
        <v>212449</v>
      </c>
      <c r="M146" s="258">
        <f>REC!F29</f>
        <v>694020</v>
      </c>
      <c r="N146" s="258">
        <f>REC!G29</f>
        <v>695273</v>
      </c>
      <c r="O146" s="258">
        <f>REC!H29</f>
        <v>413854</v>
      </c>
      <c r="P146" s="74"/>
    </row>
    <row r="147" spans="1:16" ht="12.75">
      <c r="A147" s="84" t="s">
        <v>200</v>
      </c>
      <c r="B147" s="258">
        <f t="shared" si="34"/>
        <v>0</v>
      </c>
      <c r="C147" s="258"/>
      <c r="D147" s="258"/>
      <c r="E147" s="258"/>
      <c r="F147" s="258"/>
      <c r="G147" s="258"/>
      <c r="H147" s="258"/>
      <c r="I147" s="258"/>
      <c r="J147" s="258"/>
      <c r="K147" s="258">
        <v>0</v>
      </c>
      <c r="L147" s="258">
        <v>0</v>
      </c>
      <c r="M147" s="258">
        <v>0</v>
      </c>
      <c r="N147" s="258">
        <v>0</v>
      </c>
      <c r="O147" s="258">
        <v>1</v>
      </c>
      <c r="P147" s="74"/>
    </row>
    <row r="148" spans="1:16" ht="12.75">
      <c r="A148" s="55" t="s">
        <v>251</v>
      </c>
      <c r="B148" s="258">
        <f t="shared" si="34"/>
        <v>0</v>
      </c>
      <c r="C148" s="258"/>
      <c r="D148" s="258"/>
      <c r="E148" s="258"/>
      <c r="F148" s="258"/>
      <c r="G148" s="258"/>
      <c r="H148" s="258"/>
      <c r="I148" s="258"/>
      <c r="J148" s="258"/>
      <c r="K148" s="258">
        <f>'RE Grid Connected'!B28</f>
        <v>0</v>
      </c>
      <c r="L148" s="258">
        <f>'RE Grid Connected'!C28</f>
        <v>34156</v>
      </c>
      <c r="M148" s="258">
        <f>'RE Grid Connected'!D28</f>
        <v>23926</v>
      </c>
      <c r="N148" s="258">
        <f>'RE Grid Connected'!E28</f>
        <v>13924</v>
      </c>
      <c r="O148" s="258">
        <f>'RE Grid Connected'!F28</f>
        <v>0</v>
      </c>
      <c r="P148" s="74"/>
    </row>
    <row r="149" spans="1:16" ht="12.75">
      <c r="A149" s="84" t="s">
        <v>116</v>
      </c>
      <c r="B149" s="258">
        <f t="shared" si="34"/>
        <v>12516</v>
      </c>
      <c r="C149" s="258"/>
      <c r="D149" s="258"/>
      <c r="E149" s="258"/>
      <c r="F149" s="258"/>
      <c r="G149" s="258">
        <f>'RE Grants and Financing'!F30</f>
        <v>12516</v>
      </c>
      <c r="H149" s="258">
        <f>'RE Grants and Financing'!G46</f>
        <v>39593</v>
      </c>
      <c r="I149" s="258">
        <f>'RE Grants and Financing'!H46</f>
        <v>54712</v>
      </c>
      <c r="J149" s="258">
        <f>'RE Grants and Financing'!I46</f>
        <v>8712</v>
      </c>
      <c r="K149" s="258">
        <v>0</v>
      </c>
      <c r="L149" s="258">
        <v>0</v>
      </c>
      <c r="M149" s="258">
        <v>0</v>
      </c>
      <c r="N149" s="258">
        <v>0</v>
      </c>
      <c r="O149" s="258">
        <v>1</v>
      </c>
      <c r="P149" s="74"/>
    </row>
    <row r="150" spans="1:16" ht="12.75">
      <c r="A150" s="73" t="s">
        <v>1</v>
      </c>
      <c r="B150" s="269">
        <f t="shared" si="34"/>
        <v>96117</v>
      </c>
      <c r="C150" s="269"/>
      <c r="D150" s="269"/>
      <c r="E150" s="269"/>
      <c r="F150" s="269"/>
      <c r="G150" s="269">
        <f aca="true" t="shared" si="35" ref="G150:L150">SUM(G144:G149)</f>
        <v>96117</v>
      </c>
      <c r="H150" s="269">
        <f t="shared" si="35"/>
        <v>74909</v>
      </c>
      <c r="I150" s="269">
        <f t="shared" si="35"/>
        <v>80469</v>
      </c>
      <c r="J150" s="269">
        <f t="shared" si="35"/>
        <v>72974</v>
      </c>
      <c r="K150" s="269">
        <f t="shared" si="35"/>
        <v>138894</v>
      </c>
      <c r="L150" s="269">
        <f t="shared" si="35"/>
        <v>296318</v>
      </c>
      <c r="M150" s="269">
        <f>SUM(M144:M149)</f>
        <v>730228</v>
      </c>
      <c r="N150" s="269">
        <f>SUM(N144:N149)</f>
        <v>734018</v>
      </c>
      <c r="O150" s="269">
        <f>SUM(O144:O149)</f>
        <v>438752</v>
      </c>
      <c r="P150" s="74"/>
    </row>
    <row r="151" spans="1:16" ht="12.75">
      <c r="A151" s="34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</row>
    <row r="152" spans="1:16" ht="12.75">
      <c r="A152" s="67" t="s">
        <v>444</v>
      </c>
      <c r="B152" s="88"/>
      <c r="C152" s="88" t="s">
        <v>411</v>
      </c>
      <c r="D152" s="88" t="s">
        <v>411</v>
      </c>
      <c r="E152" s="88" t="s">
        <v>411</v>
      </c>
      <c r="F152" s="88" t="s">
        <v>411</v>
      </c>
      <c r="G152" s="88" t="s">
        <v>411</v>
      </c>
      <c r="H152" s="88" t="s">
        <v>411</v>
      </c>
      <c r="I152" s="88" t="s">
        <v>411</v>
      </c>
      <c r="J152" s="88" t="s">
        <v>411</v>
      </c>
      <c r="K152" s="88" t="s">
        <v>411</v>
      </c>
      <c r="L152" s="88" t="s">
        <v>411</v>
      </c>
      <c r="M152" s="88" t="s">
        <v>411</v>
      </c>
      <c r="N152" s="88" t="s">
        <v>411</v>
      </c>
      <c r="O152" s="88" t="s">
        <v>411</v>
      </c>
      <c r="P152" s="98"/>
    </row>
    <row r="153" spans="1:16" ht="12.75">
      <c r="A153" s="232" t="s">
        <v>67</v>
      </c>
      <c r="B153" s="258">
        <f aca="true" t="shared" si="36" ref="B153:B161">SUM(C153:G153)</f>
        <v>130568</v>
      </c>
      <c r="C153" s="258">
        <f>RNC!C44</f>
        <v>6547</v>
      </c>
      <c r="D153" s="258">
        <f>RNC!D44</f>
        <v>31455</v>
      </c>
      <c r="E153" s="258">
        <f>RNC!E44</f>
        <v>39030</v>
      </c>
      <c r="F153" s="258">
        <f>RNC!F44</f>
        <v>10985</v>
      </c>
      <c r="G153" s="258">
        <f>RNC!G44</f>
        <v>42551</v>
      </c>
      <c r="H153" s="258">
        <f>RNC!H44</f>
        <v>54027</v>
      </c>
      <c r="I153" s="258">
        <f>RNC!I44</f>
        <v>18869</v>
      </c>
      <c r="J153" s="258">
        <f>RNC!J44</f>
        <v>24815</v>
      </c>
      <c r="K153" s="258">
        <f>RNC!K44</f>
        <v>10221</v>
      </c>
      <c r="L153" s="258">
        <f>RNC!L44</f>
        <v>8616</v>
      </c>
      <c r="M153" s="258">
        <f>RNC!M44</f>
        <v>4619</v>
      </c>
      <c r="N153" s="258">
        <f>RNC!N44</f>
        <v>13715</v>
      </c>
      <c r="O153" s="258">
        <f>RNC!O44</f>
        <v>7202</v>
      </c>
      <c r="P153" s="98"/>
    </row>
    <row r="154" spans="1:16" ht="12.75">
      <c r="A154" s="232" t="s">
        <v>158</v>
      </c>
      <c r="B154" s="258"/>
      <c r="C154" s="258"/>
      <c r="D154" s="258"/>
      <c r="E154" s="258"/>
      <c r="F154" s="258"/>
      <c r="G154" s="258"/>
      <c r="H154" s="258"/>
      <c r="I154" s="258"/>
      <c r="J154" s="258"/>
      <c r="K154" s="258"/>
      <c r="L154" s="258"/>
      <c r="M154" s="258"/>
      <c r="N154" s="258"/>
      <c r="O154" s="258">
        <f>'Home Perf'!I45</f>
        <v>80</v>
      </c>
      <c r="P154" s="98"/>
    </row>
    <row r="155" spans="1:16" ht="12.75">
      <c r="A155" s="232" t="s">
        <v>74</v>
      </c>
      <c r="B155" s="258">
        <f t="shared" si="36"/>
        <v>22225</v>
      </c>
      <c r="C155" s="258">
        <f>'C&amp;I'!C99</f>
        <v>0</v>
      </c>
      <c r="D155" s="258">
        <f>'C&amp;I'!D99</f>
        <v>0</v>
      </c>
      <c r="E155" s="258">
        <f>'C&amp;I'!E99</f>
        <v>0</v>
      </c>
      <c r="F155" s="258">
        <f>'C&amp;I'!F99</f>
        <v>0</v>
      </c>
      <c r="G155" s="258">
        <f>'C&amp;I'!G99</f>
        <v>22225</v>
      </c>
      <c r="H155" s="258">
        <f>'C&amp;I'!H99</f>
        <v>10038</v>
      </c>
      <c r="I155" s="258">
        <f>'C&amp;I'!I99</f>
        <v>24173</v>
      </c>
      <c r="J155" s="258">
        <f>'C&amp;I'!J99</f>
        <v>18996</v>
      </c>
      <c r="K155" s="258">
        <f>'C&amp;I'!K99</f>
        <v>25536</v>
      </c>
      <c r="L155" s="258">
        <f>'C&amp;I'!L99</f>
        <v>19714</v>
      </c>
      <c r="M155" s="258">
        <f>'C&amp;I'!M99</f>
        <v>121819</v>
      </c>
      <c r="N155" s="258">
        <f>'C&amp;I'!N99</f>
        <v>32583</v>
      </c>
      <c r="O155" s="258">
        <f>'C&amp;I'!O99</f>
        <v>28654</v>
      </c>
      <c r="P155" s="98"/>
    </row>
    <row r="156" spans="1:16" ht="12.75">
      <c r="A156" s="181" t="s">
        <v>236</v>
      </c>
      <c r="B156" s="258">
        <f t="shared" si="36"/>
        <v>0</v>
      </c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>
        <f>'P4P '!J75</f>
        <v>10469</v>
      </c>
      <c r="N156" s="258">
        <f>'P4P '!K73</f>
        <v>9585</v>
      </c>
      <c r="O156" s="258">
        <f>'P4P '!L73</f>
        <v>6525</v>
      </c>
      <c r="P156" s="98"/>
    </row>
    <row r="157" spans="1:16" ht="12.75">
      <c r="A157" s="181" t="s">
        <v>341</v>
      </c>
      <c r="B157" s="258">
        <f t="shared" si="36"/>
        <v>0</v>
      </c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8">
        <f>'P4P '!K74</f>
        <v>1795</v>
      </c>
      <c r="O157" s="258">
        <f>'P4P '!L74</f>
        <v>0</v>
      </c>
      <c r="P157" s="98"/>
    </row>
    <row r="158" spans="1:16" ht="12.75">
      <c r="A158" s="181" t="s">
        <v>237</v>
      </c>
      <c r="B158" s="258">
        <f t="shared" si="36"/>
        <v>0</v>
      </c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>
        <f>'P4P NC'!C46</f>
        <v>1288</v>
      </c>
      <c r="N158" s="258">
        <f>'P4P NC'!D46</f>
        <v>200</v>
      </c>
      <c r="O158" s="258">
        <f>'P4P NC'!E46</f>
        <v>7</v>
      </c>
      <c r="P158" s="98"/>
    </row>
    <row r="159" spans="1:16" ht="12.75">
      <c r="A159" s="181" t="s">
        <v>183</v>
      </c>
      <c r="B159" s="258">
        <f t="shared" si="36"/>
        <v>0</v>
      </c>
      <c r="C159" s="258"/>
      <c r="D159" s="258"/>
      <c r="E159" s="258"/>
      <c r="F159" s="258"/>
      <c r="G159" s="258"/>
      <c r="H159" s="258"/>
      <c r="I159" s="258"/>
      <c r="J159" s="258"/>
      <c r="K159" s="258"/>
      <c r="L159" s="258">
        <f>'Direct Install'!D42</f>
        <v>3753</v>
      </c>
      <c r="M159" s="258">
        <f>'Direct Install'!E42</f>
        <v>6497</v>
      </c>
      <c r="N159" s="258">
        <f>'Direct Install'!F42</f>
        <v>5416</v>
      </c>
      <c r="O159" s="258">
        <f>'Direct Install'!G42</f>
        <v>4825</v>
      </c>
      <c r="P159" s="98"/>
    </row>
    <row r="160" spans="1:16" ht="12.75">
      <c r="A160" s="181" t="s">
        <v>342</v>
      </c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8">
        <f>LEUP!C42</f>
        <v>4418</v>
      </c>
      <c r="O160" s="258">
        <f>LEUP!D42</f>
        <v>862</v>
      </c>
      <c r="P160" s="98"/>
    </row>
    <row r="161" spans="1:16" ht="12.75">
      <c r="A161" s="29" t="s">
        <v>406</v>
      </c>
      <c r="B161" s="269">
        <f t="shared" si="36"/>
        <v>152793</v>
      </c>
      <c r="C161" s="269">
        <f>SUM(C153:C159)</f>
        <v>6547</v>
      </c>
      <c r="D161" s="269">
        <f>SUM(D153:D159)</f>
        <v>31455</v>
      </c>
      <c r="E161" s="269">
        <f>SUM(E153:E159)</f>
        <v>39030</v>
      </c>
      <c r="F161" s="269">
        <f>SUM(F153:F159)</f>
        <v>10985</v>
      </c>
      <c r="G161" s="269">
        <f>SUM(G153:G159)</f>
        <v>64776</v>
      </c>
      <c r="H161" s="269">
        <f aca="true" t="shared" si="37" ref="H161:N161">SUM(H153:H160)</f>
        <v>64065</v>
      </c>
      <c r="I161" s="269">
        <f t="shared" si="37"/>
        <v>43042</v>
      </c>
      <c r="J161" s="269">
        <f t="shared" si="37"/>
        <v>43811</v>
      </c>
      <c r="K161" s="269">
        <f t="shared" si="37"/>
        <v>35757</v>
      </c>
      <c r="L161" s="269">
        <f t="shared" si="37"/>
        <v>32083</v>
      </c>
      <c r="M161" s="269">
        <f t="shared" si="37"/>
        <v>144692</v>
      </c>
      <c r="N161" s="269">
        <f t="shared" si="37"/>
        <v>67712</v>
      </c>
      <c r="O161" s="269">
        <f>SUM(O153:O160)</f>
        <v>48155</v>
      </c>
      <c r="P161" s="98"/>
    </row>
    <row r="162" spans="1:16" ht="12.75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</row>
    <row r="163" spans="1:16" ht="12.75">
      <c r="A163" s="67" t="s">
        <v>445</v>
      </c>
      <c r="B163" s="88"/>
      <c r="C163" s="88" t="s">
        <v>411</v>
      </c>
      <c r="D163" s="88" t="s">
        <v>411</v>
      </c>
      <c r="E163" s="88" t="s">
        <v>411</v>
      </c>
      <c r="F163" s="88" t="s">
        <v>411</v>
      </c>
      <c r="G163" s="88" t="s">
        <v>411</v>
      </c>
      <c r="H163" s="88"/>
      <c r="I163" s="88"/>
      <c r="J163" s="88"/>
      <c r="K163" s="88"/>
      <c r="L163" s="88"/>
      <c r="M163" s="88"/>
      <c r="N163" s="88"/>
      <c r="O163" s="88"/>
      <c r="P163" s="74"/>
    </row>
    <row r="164" spans="1:16" ht="12.75">
      <c r="A164" s="181" t="s">
        <v>341</v>
      </c>
      <c r="B164" s="255"/>
      <c r="C164" s="255"/>
      <c r="D164" s="255"/>
      <c r="E164" s="255"/>
      <c r="F164" s="255"/>
      <c r="G164" s="255"/>
      <c r="H164" s="255"/>
      <c r="I164" s="255"/>
      <c r="J164" s="255"/>
      <c r="K164" s="255"/>
      <c r="L164" s="255"/>
      <c r="M164" s="255"/>
      <c r="N164" s="255">
        <f>'P4P '!K83</f>
        <v>1795</v>
      </c>
      <c r="O164" s="255">
        <f>'P4P '!L83</f>
        <v>0</v>
      </c>
      <c r="P164" s="303"/>
    </row>
    <row r="165" spans="1:16" ht="12.75">
      <c r="A165" s="335" t="s">
        <v>366</v>
      </c>
      <c r="B165" s="255"/>
      <c r="C165" s="255"/>
      <c r="D165" s="255"/>
      <c r="E165" s="255"/>
      <c r="F165" s="255"/>
      <c r="G165" s="255"/>
      <c r="H165" s="255"/>
      <c r="I165" s="255"/>
      <c r="J165" s="255"/>
      <c r="K165" s="255"/>
      <c r="L165" s="255"/>
      <c r="M165" s="255"/>
      <c r="N165" s="255">
        <f>'CHP-FuelCell_Lrg-Small'!N98</f>
        <v>17004</v>
      </c>
      <c r="O165" s="255">
        <f>'CHP-FuelCell_Lrg-Small'!O98</f>
        <v>4243</v>
      </c>
      <c r="P165" s="303"/>
    </row>
    <row r="166" spans="1:16" ht="12.75">
      <c r="A166" s="48" t="s">
        <v>1</v>
      </c>
      <c r="B166" s="256">
        <f>SUM(C166:G166)</f>
        <v>2668</v>
      </c>
      <c r="C166" s="256"/>
      <c r="D166" s="256"/>
      <c r="E166" s="256"/>
      <c r="F166" s="256"/>
      <c r="G166" s="256">
        <f>'CHP-FuelCell_Lrg-Small'!G98</f>
        <v>2668</v>
      </c>
      <c r="H166" s="256">
        <f>'CHP-FuelCell_Lrg-Small'!H98</f>
        <v>0</v>
      </c>
      <c r="I166" s="256">
        <f>'CHP-FuelCell_Lrg-Small'!I98</f>
        <v>13685</v>
      </c>
      <c r="J166" s="256">
        <f>'CHP-FuelCell_Lrg-Small'!J98</f>
        <v>11365</v>
      </c>
      <c r="K166" s="256">
        <f>'CHP-FuelCell_Lrg-Small'!K98</f>
        <v>16367</v>
      </c>
      <c r="L166" s="256">
        <f>'CHP-FuelCell_Lrg-Small'!L98</f>
        <v>5970</v>
      </c>
      <c r="M166" s="256">
        <f>'CHP-FuelCell_Lrg-Small'!M98</f>
        <v>300</v>
      </c>
      <c r="N166" s="256">
        <f>SUM(N164:N165)</f>
        <v>18799</v>
      </c>
      <c r="O166" s="256">
        <f>SUM(O164:O165)</f>
        <v>4243</v>
      </c>
      <c r="P166" s="74"/>
    </row>
    <row r="167" ht="12.75">
      <c r="P167" s="74"/>
    </row>
    <row r="168" spans="1:16" ht="12.75">
      <c r="A168" s="212" t="s">
        <v>446</v>
      </c>
      <c r="B168" s="88"/>
      <c r="C168" s="88" t="s">
        <v>411</v>
      </c>
      <c r="D168" s="88" t="s">
        <v>411</v>
      </c>
      <c r="E168" s="88" t="s">
        <v>411</v>
      </c>
      <c r="F168" s="88" t="s">
        <v>411</v>
      </c>
      <c r="G168" s="88" t="s">
        <v>411</v>
      </c>
      <c r="H168" s="88"/>
      <c r="I168" s="88"/>
      <c r="J168" s="88"/>
      <c r="K168" s="88"/>
      <c r="L168" s="88"/>
      <c r="M168" s="88"/>
      <c r="N168" s="88"/>
      <c r="O168" s="88"/>
      <c r="P168" s="88"/>
    </row>
    <row r="169" spans="1:16" ht="12.75">
      <c r="A169" s="84" t="s">
        <v>76</v>
      </c>
      <c r="B169" s="254">
        <f aca="true" t="shared" si="38" ref="B169:B174">SUM(C169:G169)</f>
        <v>38148</v>
      </c>
      <c r="C169" s="254"/>
      <c r="D169" s="254"/>
      <c r="E169" s="254"/>
      <c r="F169" s="254"/>
      <c r="G169" s="254">
        <f>CORE!G43</f>
        <v>38148</v>
      </c>
      <c r="H169" s="254">
        <f>CORE!H43</f>
        <v>29430</v>
      </c>
      <c r="I169" s="254">
        <f>CORE!I43</f>
        <v>21464</v>
      </c>
      <c r="J169" s="254">
        <f>CORE!J43</f>
        <v>53552</v>
      </c>
      <c r="K169" s="254">
        <f>CORE!K43</f>
        <v>40376</v>
      </c>
      <c r="L169" s="254">
        <f>CORE!L43</f>
        <v>13696</v>
      </c>
      <c r="M169" s="254">
        <f>CORE!M43</f>
        <v>4366</v>
      </c>
      <c r="N169" s="254">
        <f>CORE!N43</f>
        <v>0</v>
      </c>
      <c r="O169" s="254">
        <f>CORE!O43</f>
        <v>0</v>
      </c>
      <c r="P169" s="140"/>
    </row>
    <row r="170" spans="1:16" ht="12.75">
      <c r="A170" s="84" t="s">
        <v>199</v>
      </c>
      <c r="B170" s="258">
        <f t="shared" si="38"/>
        <v>0</v>
      </c>
      <c r="C170" s="254"/>
      <c r="D170" s="254"/>
      <c r="E170" s="254"/>
      <c r="F170" s="254"/>
      <c r="G170" s="254"/>
      <c r="H170" s="254"/>
      <c r="I170" s="254"/>
      <c r="J170" s="254"/>
      <c r="K170" s="258">
        <f>REIP!B42</f>
        <v>21200</v>
      </c>
      <c r="L170" s="258">
        <f>REIP!C42</f>
        <v>27731</v>
      </c>
      <c r="M170" s="258">
        <f>REIP!D42</f>
        <v>5869</v>
      </c>
      <c r="N170" s="258">
        <f>REIP!E42</f>
        <v>3652</v>
      </c>
      <c r="O170" s="258">
        <f>REIP!F42</f>
        <v>4060</v>
      </c>
      <c r="P170" s="140"/>
    </row>
    <row r="171" spans="1:16" ht="12.75">
      <c r="A171" s="84" t="s">
        <v>164</v>
      </c>
      <c r="B171" s="254">
        <f t="shared" si="38"/>
        <v>0</v>
      </c>
      <c r="C171" s="254"/>
      <c r="D171" s="254"/>
      <c r="E171" s="254"/>
      <c r="F171" s="254"/>
      <c r="G171" s="254"/>
      <c r="H171" s="254"/>
      <c r="I171" s="254"/>
      <c r="J171" s="254"/>
      <c r="K171" s="254">
        <f>REC!D33</f>
        <v>54168</v>
      </c>
      <c r="L171" s="254">
        <f>REC!E33</f>
        <v>177040</v>
      </c>
      <c r="M171" s="254">
        <f>REC!F33</f>
        <v>578350</v>
      </c>
      <c r="N171" s="254">
        <f>REC!G33</f>
        <v>579394</v>
      </c>
      <c r="O171" s="254">
        <f>REC!H33</f>
        <v>344878</v>
      </c>
      <c r="P171" s="140"/>
    </row>
    <row r="172" spans="1:16" ht="12.75">
      <c r="A172" s="55" t="s">
        <v>251</v>
      </c>
      <c r="B172" s="254">
        <f t="shared" si="38"/>
        <v>0</v>
      </c>
      <c r="C172" s="254"/>
      <c r="D172" s="254"/>
      <c r="E172" s="254"/>
      <c r="F172" s="254"/>
      <c r="G172" s="254"/>
      <c r="H172" s="254"/>
      <c r="I172" s="254"/>
      <c r="J172" s="254"/>
      <c r="K172" s="254">
        <f>'RE Grid Connected'!B32</f>
        <v>0</v>
      </c>
      <c r="L172" s="254">
        <f>'RE Grid Connected'!C32</f>
        <v>8000</v>
      </c>
      <c r="M172" s="254">
        <f>'RE Grid Connected'!D32</f>
        <v>6500</v>
      </c>
      <c r="N172" s="254">
        <f>'RE Grid Connected'!E32</f>
        <v>2000</v>
      </c>
      <c r="O172" s="254">
        <f>'RE Grid Connected'!F32</f>
        <v>0</v>
      </c>
      <c r="P172" s="140"/>
    </row>
    <row r="173" spans="1:16" ht="12.75">
      <c r="A173" s="84" t="s">
        <v>116</v>
      </c>
      <c r="B173" s="254">
        <f t="shared" si="38"/>
        <v>1600</v>
      </c>
      <c r="C173" s="254"/>
      <c r="D173" s="254"/>
      <c r="E173" s="254"/>
      <c r="F173" s="254"/>
      <c r="G173" s="254">
        <f>'RE Grants and Financing'!F42</f>
        <v>1600</v>
      </c>
      <c r="H173" s="254">
        <f>'RE Grants and Financing'!G49</f>
        <v>6150</v>
      </c>
      <c r="I173" s="254">
        <f>'RE Grants and Financing'!H49</f>
        <v>7700</v>
      </c>
      <c r="J173" s="254">
        <f>'RE Grants and Financing'!I49</f>
        <v>1500</v>
      </c>
      <c r="K173" s="254">
        <f>'RE Grants and Financing'!J49</f>
        <v>0</v>
      </c>
      <c r="L173" s="254">
        <f>'RE Grants and Financing'!K49</f>
        <v>0</v>
      </c>
      <c r="M173" s="254">
        <f>'RE Grants and Financing'!L49</f>
        <v>0</v>
      </c>
      <c r="N173" s="254">
        <f>'RE Grants and Financing'!M49</f>
        <v>0</v>
      </c>
      <c r="O173" s="254">
        <f>'RE Grants and Financing'!N49</f>
        <v>0</v>
      </c>
      <c r="P173" s="140"/>
    </row>
    <row r="174" spans="1:16" ht="12.75">
      <c r="A174" s="73" t="s">
        <v>1</v>
      </c>
      <c r="B174" s="256">
        <f t="shared" si="38"/>
        <v>39748</v>
      </c>
      <c r="C174" s="256"/>
      <c r="D174" s="256"/>
      <c r="E174" s="256"/>
      <c r="F174" s="256"/>
      <c r="G174" s="256">
        <f aca="true" t="shared" si="39" ref="G174:L174">SUM(G169:G173)</f>
        <v>39748</v>
      </c>
      <c r="H174" s="256">
        <f t="shared" si="39"/>
        <v>35580</v>
      </c>
      <c r="I174" s="256">
        <f t="shared" si="39"/>
        <v>29164</v>
      </c>
      <c r="J174" s="256">
        <f t="shared" si="39"/>
        <v>55052</v>
      </c>
      <c r="K174" s="256">
        <f t="shared" si="39"/>
        <v>115744</v>
      </c>
      <c r="L174" s="256">
        <f t="shared" si="39"/>
        <v>226467</v>
      </c>
      <c r="M174" s="256">
        <f>SUM(M169:M173)</f>
        <v>595085</v>
      </c>
      <c r="N174" s="256">
        <f>SUM(N169:N173)</f>
        <v>585046</v>
      </c>
      <c r="O174" s="256">
        <f>SUM(O169:O173)</f>
        <v>348938</v>
      </c>
      <c r="P174" s="140"/>
    </row>
    <row r="175" spans="1:16" ht="12.75">
      <c r="A175" s="334" t="s">
        <v>291</v>
      </c>
      <c r="B175" s="327"/>
      <c r="C175" s="327"/>
      <c r="D175" s="327"/>
      <c r="E175" s="327"/>
      <c r="F175" s="327"/>
      <c r="G175" s="327"/>
      <c r="H175" s="327"/>
      <c r="I175" s="327"/>
      <c r="J175" s="327"/>
      <c r="K175" s="327"/>
      <c r="L175" s="327"/>
      <c r="M175" s="327"/>
      <c r="N175" s="327"/>
      <c r="O175" s="327"/>
      <c r="P175" s="140"/>
    </row>
    <row r="176" spans="1:16" ht="15">
      <c r="A176" s="414"/>
      <c r="B176" s="328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</row>
    <row r="177" spans="1:16" ht="15">
      <c r="A177" s="414" t="s">
        <v>19</v>
      </c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</row>
    <row r="178" spans="1:16" ht="26.25">
      <c r="A178" s="414" t="s">
        <v>344</v>
      </c>
      <c r="B178" s="210" t="str">
        <f aca="true" t="shared" si="40" ref="B178:O178">B4</f>
        <v>Summary 
2001 to 2005*</v>
      </c>
      <c r="C178" s="148">
        <f t="shared" si="40"/>
        <v>2001</v>
      </c>
      <c r="D178" s="148">
        <f t="shared" si="40"/>
        <v>2002</v>
      </c>
      <c r="E178" s="148">
        <f t="shared" si="40"/>
        <v>2003</v>
      </c>
      <c r="F178" s="148">
        <f t="shared" si="40"/>
        <v>2004</v>
      </c>
      <c r="G178" s="148">
        <f t="shared" si="40"/>
        <v>2005</v>
      </c>
      <c r="H178" s="148">
        <f t="shared" si="40"/>
        <v>2006</v>
      </c>
      <c r="I178" s="148">
        <f t="shared" si="40"/>
        <v>2007</v>
      </c>
      <c r="J178" s="148">
        <f t="shared" si="40"/>
        <v>2008</v>
      </c>
      <c r="K178" s="148">
        <f t="shared" si="40"/>
        <v>2009</v>
      </c>
      <c r="L178" s="148">
        <f t="shared" si="40"/>
        <v>2010</v>
      </c>
      <c r="M178" s="148">
        <f t="shared" si="40"/>
        <v>2011</v>
      </c>
      <c r="N178" s="210" t="str">
        <f t="shared" si="40"/>
        <v>(18 month)1
2012-2013</v>
      </c>
      <c r="O178" s="210" t="str">
        <f t="shared" si="40"/>
        <v>FY2014</v>
      </c>
      <c r="P178" s="210"/>
    </row>
    <row r="179" spans="1:16" ht="12.75">
      <c r="A179" s="75" t="s">
        <v>62</v>
      </c>
      <c r="B179" s="89" t="s">
        <v>11</v>
      </c>
      <c r="C179" s="89" t="s">
        <v>11</v>
      </c>
      <c r="D179" s="89" t="s">
        <v>11</v>
      </c>
      <c r="E179" s="89" t="s">
        <v>11</v>
      </c>
      <c r="F179" s="89" t="s">
        <v>11</v>
      </c>
      <c r="G179" s="89" t="s">
        <v>11</v>
      </c>
      <c r="H179" s="89" t="s">
        <v>11</v>
      </c>
      <c r="I179" s="89" t="s">
        <v>11</v>
      </c>
      <c r="J179" s="89" t="s">
        <v>11</v>
      </c>
      <c r="K179" s="89" t="s">
        <v>11</v>
      </c>
      <c r="L179" s="89" t="s">
        <v>11</v>
      </c>
      <c r="M179" s="89" t="s">
        <v>11</v>
      </c>
      <c r="N179" s="89" t="s">
        <v>11</v>
      </c>
      <c r="O179" s="89" t="s">
        <v>11</v>
      </c>
      <c r="P179" s="58"/>
    </row>
    <row r="180" spans="1:16" ht="12.75">
      <c r="A180" s="232" t="s">
        <v>67</v>
      </c>
      <c r="B180" s="258">
        <f aca="true" t="shared" si="41" ref="B180:B189">SUM(C180:G180)</f>
        <v>2005176</v>
      </c>
      <c r="C180" s="258">
        <f>RNC!C47</f>
        <v>100752</v>
      </c>
      <c r="D180" s="258">
        <f>RNC!D47</f>
        <v>616850</v>
      </c>
      <c r="E180" s="258">
        <f>RNC!E47</f>
        <v>606325</v>
      </c>
      <c r="F180" s="258">
        <f>RNC!F47</f>
        <v>130804</v>
      </c>
      <c r="G180" s="258">
        <f>RNC!G47</f>
        <v>550445</v>
      </c>
      <c r="H180" s="258">
        <f>RNC!H47</f>
        <v>631039</v>
      </c>
      <c r="I180" s="258">
        <f>RNC!I47</f>
        <v>155595</v>
      </c>
      <c r="J180" s="258">
        <f>RNC!J47</f>
        <v>312728</v>
      </c>
      <c r="K180" s="258">
        <f>RNC!K47</f>
        <v>241849</v>
      </c>
      <c r="L180" s="258">
        <f>RNC!L47</f>
        <v>190865</v>
      </c>
      <c r="M180" s="258">
        <f>RNC!M47</f>
        <v>74876</v>
      </c>
      <c r="N180" s="258">
        <f>RNC!N47</f>
        <v>224799</v>
      </c>
      <c r="O180" s="258">
        <f>RNC!O47</f>
        <v>93852</v>
      </c>
      <c r="P180" s="98"/>
    </row>
    <row r="181" spans="1:16" ht="12.75">
      <c r="A181" s="232" t="s">
        <v>158</v>
      </c>
      <c r="B181" s="258"/>
      <c r="C181" s="258"/>
      <c r="D181" s="258"/>
      <c r="E181" s="258"/>
      <c r="F181" s="258"/>
      <c r="G181" s="258"/>
      <c r="H181" s="258"/>
      <c r="I181" s="258"/>
      <c r="J181" s="258"/>
      <c r="K181" s="258"/>
      <c r="L181" s="258"/>
      <c r="M181" s="258"/>
      <c r="N181" s="258"/>
      <c r="O181" s="258">
        <f>'Home Perf'!J48</f>
        <v>4258</v>
      </c>
      <c r="P181" s="98"/>
    </row>
    <row r="182" spans="1:16" ht="12.75">
      <c r="A182" s="232" t="s">
        <v>74</v>
      </c>
      <c r="B182" s="258">
        <f t="shared" si="41"/>
        <v>380387</v>
      </c>
      <c r="C182" s="258">
        <f>'C&amp;I'!C105</f>
        <v>0</v>
      </c>
      <c r="D182" s="258">
        <f>'C&amp;I'!D105</f>
        <v>31802</v>
      </c>
      <c r="E182" s="258">
        <f>'C&amp;I'!E105</f>
        <v>27617</v>
      </c>
      <c r="F182" s="258">
        <f>'C&amp;I'!F105</f>
        <v>153518</v>
      </c>
      <c r="G182" s="258">
        <f>'C&amp;I'!G105</f>
        <v>167450</v>
      </c>
      <c r="H182" s="258">
        <f>'C&amp;I'!H105</f>
        <v>58760</v>
      </c>
      <c r="I182" s="258">
        <f>'C&amp;I'!I105</f>
        <v>57759</v>
      </c>
      <c r="J182" s="258">
        <f>'C&amp;I'!J105</f>
        <v>218136</v>
      </c>
      <c r="K182" s="258">
        <f>'C&amp;I'!K105</f>
        <v>266738</v>
      </c>
      <c r="L182" s="258">
        <f>'C&amp;I'!L105</f>
        <v>83168</v>
      </c>
      <c r="M182" s="258">
        <f>'C&amp;I'!M105</f>
        <v>256360</v>
      </c>
      <c r="N182" s="258">
        <f>'C&amp;I'!N105</f>
        <v>85490</v>
      </c>
      <c r="O182" s="258">
        <f>'C&amp;I'!O105</f>
        <v>113236</v>
      </c>
      <c r="P182" s="98"/>
    </row>
    <row r="183" spans="1:16" ht="12.75">
      <c r="A183" s="181" t="s">
        <v>236</v>
      </c>
      <c r="B183" s="258">
        <f t="shared" si="41"/>
        <v>0</v>
      </c>
      <c r="C183" s="258"/>
      <c r="D183" s="258"/>
      <c r="E183" s="258"/>
      <c r="F183" s="258"/>
      <c r="G183" s="258"/>
      <c r="H183" s="258"/>
      <c r="I183" s="258"/>
      <c r="J183" s="258"/>
      <c r="K183" s="258"/>
      <c r="L183" s="258">
        <f>'P4P '!I89</f>
        <v>105152</v>
      </c>
      <c r="M183" s="258">
        <f>'P4P '!J89</f>
        <v>270852</v>
      </c>
      <c r="N183" s="258">
        <f>'P4P '!K87</f>
        <v>291973</v>
      </c>
      <c r="O183" s="258">
        <f>'P4P '!L87</f>
        <v>176810</v>
      </c>
      <c r="P183" s="98"/>
    </row>
    <row r="184" spans="1:16" ht="12.75">
      <c r="A184" s="181" t="s">
        <v>341</v>
      </c>
      <c r="B184" s="258"/>
      <c r="C184" s="258"/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>
        <f>'P4P '!K88</f>
        <v>35318</v>
      </c>
      <c r="O184" s="258">
        <f>'P4P '!L88</f>
        <v>0</v>
      </c>
      <c r="P184" s="98"/>
    </row>
    <row r="185" spans="1:16" ht="12.75">
      <c r="A185" s="181" t="s">
        <v>237</v>
      </c>
      <c r="B185" s="258">
        <f t="shared" si="41"/>
        <v>0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>
        <f>'P4P NC'!B50</f>
        <v>0</v>
      </c>
      <c r="M185" s="258">
        <f>'P4P NC'!C50</f>
        <v>7716</v>
      </c>
      <c r="N185" s="258">
        <f>'P4P NC'!D50</f>
        <v>9247</v>
      </c>
      <c r="O185" s="258">
        <f>'P4P NC'!E50</f>
        <v>113</v>
      </c>
      <c r="P185" s="98"/>
    </row>
    <row r="186" spans="1:16" ht="12.75">
      <c r="A186" s="181" t="s">
        <v>183</v>
      </c>
      <c r="B186" s="258">
        <f t="shared" si="41"/>
        <v>0</v>
      </c>
      <c r="C186" s="258"/>
      <c r="D186" s="258"/>
      <c r="E186" s="258"/>
      <c r="F186" s="258"/>
      <c r="G186" s="258"/>
      <c r="H186" s="258"/>
      <c r="I186" s="258"/>
      <c r="J186" s="258"/>
      <c r="K186" s="258"/>
      <c r="L186" s="258">
        <f>'Direct Install'!D45</f>
        <v>5011</v>
      </c>
      <c r="M186" s="258">
        <f>'Direct Install'!E45</f>
        <v>59801</v>
      </c>
      <c r="N186" s="258">
        <f>'Direct Install'!F45</f>
        <v>63986</v>
      </c>
      <c r="O186" s="258">
        <f>'Direct Install'!G45</f>
        <v>50783</v>
      </c>
      <c r="P186" s="98"/>
    </row>
    <row r="187" spans="1:16" ht="12.75">
      <c r="A187" s="181" t="s">
        <v>342</v>
      </c>
      <c r="B187" s="258"/>
      <c r="C187" s="258"/>
      <c r="D187" s="258"/>
      <c r="E187" s="258"/>
      <c r="F187" s="258"/>
      <c r="G187" s="258"/>
      <c r="H187" s="258"/>
      <c r="I187" s="258"/>
      <c r="J187" s="258"/>
      <c r="K187" s="258"/>
      <c r="L187" s="258"/>
      <c r="M187" s="258"/>
      <c r="N187" s="258">
        <f>LEUP!C45</f>
        <v>125717</v>
      </c>
      <c r="O187" s="258">
        <f>LEUP!D45</f>
        <v>29455</v>
      </c>
      <c r="P187" s="98"/>
    </row>
    <row r="188" spans="1:16" ht="12.75">
      <c r="A188" s="232" t="s">
        <v>365</v>
      </c>
      <c r="B188" s="258">
        <f t="shared" si="41"/>
        <v>0</v>
      </c>
      <c r="C188" s="258"/>
      <c r="D188" s="258"/>
      <c r="E188" s="258"/>
      <c r="F188" s="258"/>
      <c r="G188" s="258"/>
      <c r="H188" s="258"/>
      <c r="I188" s="258">
        <f>'CHP-FuelCell_Lrg-Small'!I104</f>
        <v>603845</v>
      </c>
      <c r="J188" s="258">
        <f>'CHP-FuelCell_Lrg-Small'!J104</f>
        <v>1254210</v>
      </c>
      <c r="K188" s="258">
        <f>'CHP-FuelCell_Lrg-Small'!K104</f>
        <v>962446</v>
      </c>
      <c r="L188" s="258">
        <f>'CHP-FuelCell_Lrg-Small'!L104</f>
        <v>235419</v>
      </c>
      <c r="M188" s="258">
        <f>'CHP-FuelCell_Lrg-Small'!M104</f>
        <v>5202</v>
      </c>
      <c r="N188" s="258">
        <f>'CHP-FuelCell_Lrg-Small'!N104</f>
        <v>624278</v>
      </c>
      <c r="O188" s="258">
        <f>'CHP-FuelCell_Lrg-Small'!O104</f>
        <v>90526</v>
      </c>
      <c r="P188" s="98"/>
    </row>
    <row r="189" spans="1:16" ht="12.75">
      <c r="A189" s="29" t="s">
        <v>405</v>
      </c>
      <c r="B189" s="269">
        <f t="shared" si="41"/>
        <v>2385563</v>
      </c>
      <c r="C189" s="269">
        <f>SUM(C180:C188)</f>
        <v>100752</v>
      </c>
      <c r="D189" s="269">
        <f aca="true" t="shared" si="42" ref="D189:J189">SUM(D180:D188)</f>
        <v>648652</v>
      </c>
      <c r="E189" s="269">
        <f t="shared" si="42"/>
        <v>633942</v>
      </c>
      <c r="F189" s="269">
        <f t="shared" si="42"/>
        <v>284322</v>
      </c>
      <c r="G189" s="269">
        <f t="shared" si="42"/>
        <v>717895</v>
      </c>
      <c r="H189" s="269">
        <f t="shared" si="42"/>
        <v>689799</v>
      </c>
      <c r="I189" s="269">
        <f t="shared" si="42"/>
        <v>817199</v>
      </c>
      <c r="J189" s="269">
        <f t="shared" si="42"/>
        <v>1785074</v>
      </c>
      <c r="K189" s="269">
        <f>SUM(K180:K188)</f>
        <v>1471033</v>
      </c>
      <c r="L189" s="269">
        <f>SUM(L180:L188)</f>
        <v>619615</v>
      </c>
      <c r="M189" s="269">
        <f>SUM(M180:M188)</f>
        <v>674807</v>
      </c>
      <c r="N189" s="269">
        <f>SUM(N180:N188)</f>
        <v>1460808</v>
      </c>
      <c r="O189" s="269">
        <f>SUM(O180:O188)</f>
        <v>559033</v>
      </c>
      <c r="P189" s="98"/>
    </row>
    <row r="190" ht="12.75">
      <c r="A190" s="137" t="str">
        <f>A123</f>
        <v>* These columns/years have been hidden in this worksheet for viewing &amp; printing purposes</v>
      </c>
    </row>
    <row r="191" ht="12.75">
      <c r="A191" s="361" t="s">
        <v>352</v>
      </c>
    </row>
  </sheetData>
  <sheetProtection/>
  <mergeCells count="2">
    <mergeCell ref="A1:P1"/>
    <mergeCell ref="A2:P2"/>
  </mergeCells>
  <printOptions/>
  <pageMargins left="0.17" right="0.17" top="0.4" bottom="0.6" header="0.24" footer="0.24"/>
  <pageSetup fitToHeight="4" horizontalDpi="600" verticalDpi="600" orientation="landscape" scale="79" r:id="rId1"/>
  <headerFooter scaleWithDoc="0" alignWithMargins="0">
    <oddFooter>&amp;L&amp;6&amp;A - Results by Program Year&amp;R&amp;6printed &amp;D at &amp;T</oddFooter>
  </headerFooter>
  <rowBreaks count="4" manualBreakCount="4">
    <brk id="49" max="15" man="1"/>
    <brk id="97" max="15" man="1"/>
    <brk id="123" max="14" man="1"/>
    <brk id="17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U114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00390625" style="0" customWidth="1"/>
    <col min="2" max="2" width="12.57421875" style="0" bestFit="1" customWidth="1"/>
    <col min="3" max="7" width="10.7109375" style="0" hidden="1" customWidth="1"/>
    <col min="8" max="13" width="12.57421875" style="0" customWidth="1"/>
    <col min="14" max="15" width="12.57421875" style="137" customWidth="1"/>
    <col min="16" max="16" width="17.28125" style="0" customWidth="1"/>
    <col min="17" max="17" width="10.140625" style="0" bestFit="1" customWidth="1"/>
  </cols>
  <sheetData>
    <row r="1" spans="1:16" ht="12.75">
      <c r="A1" s="457" t="s">
        <v>407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</row>
    <row r="2" spans="1:16" ht="12.75">
      <c r="A2" s="457" t="s">
        <v>409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</row>
    <row r="3" spans="1:16" ht="15">
      <c r="A3" s="414" t="s">
        <v>402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ht="27.75">
      <c r="A4" s="414" t="s">
        <v>345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25">
        <v>2011</v>
      </c>
      <c r="N4" s="210" t="s">
        <v>350</v>
      </c>
      <c r="O4" s="210" t="s">
        <v>353</v>
      </c>
      <c r="P4" s="81" t="str">
        <f>"Total "&amp;CHAR(10)&amp;C4&amp;" ~ "&amp;O4</f>
        <v>Total 
2001 ~ FY2014</v>
      </c>
    </row>
    <row r="5" spans="1:16" ht="12.75">
      <c r="A5" s="1" t="s">
        <v>395</v>
      </c>
      <c r="B5" s="26" t="s">
        <v>8</v>
      </c>
      <c r="C5" s="26" t="s">
        <v>8</v>
      </c>
      <c r="D5" s="26" t="s">
        <v>8</v>
      </c>
      <c r="E5" s="26" t="s">
        <v>8</v>
      </c>
      <c r="F5" s="26" t="s">
        <v>8</v>
      </c>
      <c r="G5" s="26" t="s">
        <v>8</v>
      </c>
      <c r="H5" s="26" t="s">
        <v>8</v>
      </c>
      <c r="I5" s="26" t="s">
        <v>8</v>
      </c>
      <c r="J5" s="26" t="s">
        <v>8</v>
      </c>
      <c r="K5" s="26" t="s">
        <v>8</v>
      </c>
      <c r="L5" s="26" t="s">
        <v>8</v>
      </c>
      <c r="M5" s="26" t="s">
        <v>8</v>
      </c>
      <c r="N5" s="26" t="s">
        <v>8</v>
      </c>
      <c r="O5" s="26" t="s">
        <v>8</v>
      </c>
      <c r="P5" s="26" t="s">
        <v>8</v>
      </c>
    </row>
    <row r="6" spans="1:16" ht="12.75">
      <c r="A6" s="209" t="s">
        <v>66</v>
      </c>
      <c r="B6" s="252">
        <f>SUM(C6:G6)</f>
        <v>1095661</v>
      </c>
      <c r="C6" s="252">
        <f>'Res HVAC'!C28</f>
        <v>183354</v>
      </c>
      <c r="D6" s="252">
        <f>'Res HVAC'!D28</f>
        <v>235546</v>
      </c>
      <c r="E6" s="252">
        <f>'Res HVAC'!E28</f>
        <v>219320</v>
      </c>
      <c r="F6" s="252">
        <f>'Res HVAC'!F28</f>
        <v>232484</v>
      </c>
      <c r="G6" s="252">
        <f>'Res HVAC'!G28</f>
        <v>224957</v>
      </c>
      <c r="H6" s="252">
        <f>'Res HVAC'!H28</f>
        <v>173181</v>
      </c>
      <c r="I6" s="252">
        <f>'Res HVAC'!I28</f>
        <v>199843</v>
      </c>
      <c r="J6" s="252">
        <f>'Res HVAC'!J28</f>
        <v>83068</v>
      </c>
      <c r="K6" s="252">
        <f>'Res HVAC'!K28</f>
        <v>83807</v>
      </c>
      <c r="L6" s="252">
        <f>'Res HVAC'!L28</f>
        <v>135866</v>
      </c>
      <c r="M6" s="252">
        <f>'Res HVAC'!M28</f>
        <v>210355</v>
      </c>
      <c r="N6" s="254">
        <f>'Res HVAC'!N28</f>
        <v>227057</v>
      </c>
      <c r="O6" s="254">
        <f>'Res HVAC'!O28</f>
        <v>95679</v>
      </c>
      <c r="P6" s="252">
        <f>SUM(C6:O6)</f>
        <v>2304517</v>
      </c>
    </row>
    <row r="7" spans="1:16" ht="12.75">
      <c r="A7" s="209" t="s">
        <v>67</v>
      </c>
      <c r="B7" s="252">
        <f aca="true" t="shared" si="0" ref="B7:B18">SUM(C7:G7)</f>
        <v>376554</v>
      </c>
      <c r="C7" s="252">
        <f>RNC!C26</f>
        <v>2376</v>
      </c>
      <c r="D7" s="252">
        <f>RNC!D26</f>
        <v>65231</v>
      </c>
      <c r="E7" s="252">
        <f>RNC!E26</f>
        <v>95460</v>
      </c>
      <c r="F7" s="252">
        <f>RNC!F26</f>
        <v>91026</v>
      </c>
      <c r="G7" s="252">
        <f>RNC!G26</f>
        <v>122461</v>
      </c>
      <c r="H7" s="252">
        <f>RNC!H26</f>
        <v>93829</v>
      </c>
      <c r="I7" s="252">
        <f>RNC!I26</f>
        <v>107137</v>
      </c>
      <c r="J7" s="252">
        <f>RNC!J26</f>
        <v>66860</v>
      </c>
      <c r="K7" s="252">
        <f>RNC!K26</f>
        <v>53040</v>
      </c>
      <c r="L7" s="252">
        <f>RNC!L26</f>
        <v>87580</v>
      </c>
      <c r="M7" s="252">
        <f>RNC!M26</f>
        <v>91240</v>
      </c>
      <c r="N7" s="254">
        <f>RNC!N26</f>
        <v>105487</v>
      </c>
      <c r="O7" s="254">
        <f>RNC!O26</f>
        <v>97685</v>
      </c>
      <c r="P7" s="252">
        <f>SUM(C7:O7)</f>
        <v>1079412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1" ht="12.75">
      <c r="A9" s="230" t="s">
        <v>327</v>
      </c>
      <c r="B9" s="252">
        <f t="shared" si="0"/>
        <v>37299</v>
      </c>
      <c r="C9" s="252">
        <f>'Energy Star'!C62</f>
        <v>0</v>
      </c>
      <c r="D9" s="252">
        <f>'Energy Star'!D62</f>
        <v>0</v>
      </c>
      <c r="E9" s="252">
        <f>'Energy Star'!E62</f>
        <v>14318</v>
      </c>
      <c r="F9" s="252">
        <f>'Energy Star'!F62</f>
        <v>13773</v>
      </c>
      <c r="G9" s="252">
        <f>'Energy Star'!G62</f>
        <v>9208</v>
      </c>
      <c r="H9" s="252">
        <f>'Energy Star'!H62</f>
        <v>5418</v>
      </c>
      <c r="I9" s="252">
        <f>'Energy Star'!I62</f>
        <v>7672</v>
      </c>
      <c r="J9" s="252">
        <f>'Energy Star'!J62</f>
        <v>7722</v>
      </c>
      <c r="K9" s="252">
        <f>'Energy Star'!K62</f>
        <v>4246</v>
      </c>
      <c r="L9" s="252">
        <f>'Energy Star'!L62</f>
        <v>6386</v>
      </c>
      <c r="M9" s="254">
        <f>'Energy Star'!M62</f>
        <v>129.7</v>
      </c>
      <c r="N9" s="318"/>
      <c r="O9" s="318"/>
      <c r="P9" s="252">
        <f aca="true" t="shared" si="1" ref="P9:P18">SUM(C9:O9)</f>
        <v>68872.7</v>
      </c>
      <c r="Q9" s="137"/>
      <c r="R9" s="137"/>
      <c r="S9" s="137"/>
      <c r="T9" s="137"/>
      <c r="U9" s="137"/>
    </row>
    <row r="10" spans="1:21" ht="12.75">
      <c r="A10" s="230" t="s">
        <v>171</v>
      </c>
      <c r="B10" s="252">
        <f t="shared" si="0"/>
        <v>1677956</v>
      </c>
      <c r="C10" s="252">
        <f>'Energy Star'!C61</f>
        <v>0</v>
      </c>
      <c r="D10" s="252">
        <f>'Energy Star'!D61</f>
        <v>0</v>
      </c>
      <c r="E10" s="252">
        <f>'Energy Star'!E61</f>
        <v>359018</v>
      </c>
      <c r="F10" s="252">
        <f>'Energy Star'!F61</f>
        <v>790151</v>
      </c>
      <c r="G10" s="252">
        <f>'Energy Star'!G61</f>
        <v>528787</v>
      </c>
      <c r="H10" s="252">
        <f>'Energy Star'!H61</f>
        <v>0</v>
      </c>
      <c r="I10" s="252">
        <f>'Energy Star'!I61</f>
        <v>742908</v>
      </c>
      <c r="J10" s="252">
        <f>'Energy Star'!J61</f>
        <v>1368138</v>
      </c>
      <c r="K10" s="252">
        <f>'Energy Star'!K61</f>
        <v>2217915</v>
      </c>
      <c r="L10" s="252">
        <f>'Energy Star'!L61</f>
        <v>1131306</v>
      </c>
      <c r="M10" s="254">
        <f>'Energy Star'!M61</f>
        <v>1461053.1</v>
      </c>
      <c r="N10" s="254">
        <f>'Energy Star'!N61</f>
        <v>2241371.2</v>
      </c>
      <c r="O10" s="254">
        <f>'Energy Star'!O61</f>
        <v>2216737</v>
      </c>
      <c r="P10" s="252">
        <f t="shared" si="1"/>
        <v>13057384.3</v>
      </c>
      <c r="Q10" s="139"/>
      <c r="R10" s="137"/>
      <c r="S10" s="137"/>
      <c r="T10" s="137"/>
      <c r="U10" s="137"/>
    </row>
    <row r="11" spans="1:17" ht="12.75">
      <c r="A11" s="231" t="s">
        <v>328</v>
      </c>
      <c r="B11" s="252">
        <f t="shared" si="0"/>
        <v>0</v>
      </c>
      <c r="C11" s="252"/>
      <c r="D11" s="252"/>
      <c r="E11" s="252"/>
      <c r="F11" s="252"/>
      <c r="G11" s="252"/>
      <c r="H11" s="252"/>
      <c r="I11" s="252"/>
      <c r="J11" s="252">
        <f>'Energy Star'!J63</f>
        <v>42549</v>
      </c>
      <c r="K11" s="252">
        <f>'Energy Star'!K63</f>
        <v>64961</v>
      </c>
      <c r="L11" s="252">
        <f>'Energy Star'!L63</f>
        <v>74979</v>
      </c>
      <c r="M11" s="254">
        <f>'Energy Star'!M63</f>
        <v>75176.9</v>
      </c>
      <c r="N11" s="254">
        <f>'Energy Star'!N63</f>
        <v>70273.70000000001</v>
      </c>
      <c r="O11" s="254">
        <f>'Energy Star'!O63</f>
        <v>62984</v>
      </c>
      <c r="P11" s="252">
        <f t="shared" si="1"/>
        <v>390923.6</v>
      </c>
      <c r="Q11" s="23"/>
    </row>
    <row r="12" spans="1:17" ht="12.75">
      <c r="A12" s="231" t="s">
        <v>329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Star'!J64</f>
        <v>3820</v>
      </c>
      <c r="K12" s="252">
        <f>'Energy Star'!K64</f>
        <v>6261</v>
      </c>
      <c r="L12" s="252">
        <f>'Energy Star'!L64</f>
        <v>4554</v>
      </c>
      <c r="M12" s="254">
        <f>'Energy Star'!M64</f>
        <v>307.7</v>
      </c>
      <c r="N12" s="318"/>
      <c r="O12" s="318"/>
      <c r="P12" s="252">
        <f t="shared" si="1"/>
        <v>14942.7</v>
      </c>
      <c r="Q12" s="23"/>
    </row>
    <row r="13" spans="1:17" ht="12.75">
      <c r="A13" s="231" t="s">
        <v>330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/>
      <c r="K13" s="252">
        <f>'Energy Star'!K66</f>
        <v>44319</v>
      </c>
      <c r="L13" s="252">
        <f>'Energy Star'!L66</f>
        <v>123909.4</v>
      </c>
      <c r="M13" s="254">
        <f>'Energy Star'!M66</f>
        <v>124487.2</v>
      </c>
      <c r="N13" s="254">
        <f>'Energy Star'!N66</f>
        <v>141268.3</v>
      </c>
      <c r="O13" s="254">
        <f>'Energy Star'!O66</f>
        <v>87931</v>
      </c>
      <c r="P13" s="252">
        <f t="shared" si="1"/>
        <v>521914.89999999997</v>
      </c>
      <c r="Q13" s="23"/>
    </row>
    <row r="14" spans="1:17" ht="12.75">
      <c r="A14" s="231" t="s">
        <v>331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2">
        <f>'Energy Star'!L67</f>
        <v>30564.8</v>
      </c>
      <c r="M14" s="254">
        <f>'Energy Star'!M67</f>
        <v>35317.7</v>
      </c>
      <c r="N14" s="254">
        <f>'Energy Star'!N67</f>
        <v>32329.3</v>
      </c>
      <c r="O14" s="254">
        <f>'Energy Star'!O67</f>
        <v>12032</v>
      </c>
      <c r="P14" s="252">
        <f t="shared" si="1"/>
        <v>110243.8</v>
      </c>
      <c r="Q14" s="23"/>
    </row>
    <row r="15" spans="1:17" ht="12.75">
      <c r="A15" s="231" t="s">
        <v>332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Star'!M65</f>
        <v>8769.9</v>
      </c>
      <c r="N15" s="254">
        <f>'Energy Star'!N65</f>
        <v>643.7</v>
      </c>
      <c r="O15" s="254">
        <f>'Energy Star'!O65</f>
        <v>12282</v>
      </c>
      <c r="P15" s="252">
        <f t="shared" si="1"/>
        <v>21695.6</v>
      </c>
      <c r="Q15" s="23"/>
    </row>
    <row r="16" spans="1:17" ht="12.75">
      <c r="A16" s="231" t="s">
        <v>333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4"/>
      <c r="J16" s="254"/>
      <c r="K16" s="254"/>
      <c r="L16" s="254"/>
      <c r="M16" s="254">
        <f>'Energy Star'!M68</f>
        <v>1535.1</v>
      </c>
      <c r="N16" s="318"/>
      <c r="O16" s="318"/>
      <c r="P16" s="252">
        <f t="shared" si="1"/>
        <v>1535.1</v>
      </c>
      <c r="Q16" s="23"/>
    </row>
    <row r="17" spans="1:17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Perf'!B28</f>
        <v>26</v>
      </c>
      <c r="I17" s="252">
        <f>'Home Perf'!C28</f>
        <v>442</v>
      </c>
      <c r="J17" s="252">
        <f>'Home Perf'!D28</f>
        <v>1456</v>
      </c>
      <c r="K17" s="252">
        <f>'Home Perf'!E28</f>
        <v>18378</v>
      </c>
      <c r="L17" s="252">
        <f>'Home Perf'!F28</f>
        <v>20889</v>
      </c>
      <c r="M17" s="254">
        <f>'Home Perf'!G28</f>
        <v>38314</v>
      </c>
      <c r="N17" s="254">
        <f>'Home Perf'!H28</f>
        <v>56224</v>
      </c>
      <c r="O17" s="254">
        <f>'Home Perf'!I28</f>
        <v>76998</v>
      </c>
      <c r="P17" s="252">
        <f t="shared" si="1"/>
        <v>212727</v>
      </c>
      <c r="Q17" s="23"/>
    </row>
    <row r="18" spans="1:17" ht="12.75">
      <c r="A18" s="29" t="s">
        <v>73</v>
      </c>
      <c r="B18" s="265">
        <f t="shared" si="0"/>
        <v>3187470</v>
      </c>
      <c r="C18" s="265">
        <f aca="true" t="shared" si="2" ref="C18:N18">SUM(C6:C17)</f>
        <v>185730</v>
      </c>
      <c r="D18" s="265">
        <f t="shared" si="2"/>
        <v>300777</v>
      </c>
      <c r="E18" s="265">
        <f t="shared" si="2"/>
        <v>688116</v>
      </c>
      <c r="F18" s="265">
        <f t="shared" si="2"/>
        <v>1127434</v>
      </c>
      <c r="G18" s="265">
        <f t="shared" si="2"/>
        <v>885413</v>
      </c>
      <c r="H18" s="265">
        <f t="shared" si="2"/>
        <v>272454</v>
      </c>
      <c r="I18" s="265">
        <f t="shared" si="2"/>
        <v>1058002</v>
      </c>
      <c r="J18" s="265">
        <f t="shared" si="2"/>
        <v>1573613</v>
      </c>
      <c r="K18" s="265">
        <f t="shared" si="2"/>
        <v>2492927</v>
      </c>
      <c r="L18" s="265">
        <f t="shared" si="2"/>
        <v>1616034.2</v>
      </c>
      <c r="M18" s="265">
        <f t="shared" si="2"/>
        <v>2046686.2999999998</v>
      </c>
      <c r="N18" s="256">
        <f t="shared" si="2"/>
        <v>2874654.2</v>
      </c>
      <c r="O18" s="256">
        <f>SUM(O6:O17)</f>
        <v>2662328</v>
      </c>
      <c r="P18" s="265">
        <f t="shared" si="1"/>
        <v>17784168.7</v>
      </c>
      <c r="Q18" s="23"/>
    </row>
    <row r="19" spans="1:17" ht="12.75">
      <c r="A19" s="422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153"/>
      <c r="O19" s="153"/>
      <c r="P19" s="425"/>
      <c r="Q19" s="23"/>
    </row>
    <row r="20" spans="1:17" ht="12.75">
      <c r="A20" s="421" t="s">
        <v>2</v>
      </c>
      <c r="B20" s="265">
        <f aca="true" t="shared" si="3" ref="B20:B34">SUM(C20:G20)</f>
        <v>550945</v>
      </c>
      <c r="C20" s="265">
        <f>'Low-income'!C34</f>
        <v>147716</v>
      </c>
      <c r="D20" s="265">
        <f>'Low-income'!D34</f>
        <v>83203</v>
      </c>
      <c r="E20" s="265">
        <f>'Low-income'!E34</f>
        <v>106522</v>
      </c>
      <c r="F20" s="265">
        <f>'Low-income'!F34</f>
        <v>119538</v>
      </c>
      <c r="G20" s="265">
        <f>'Low-income'!G34</f>
        <v>93966</v>
      </c>
      <c r="H20" s="265">
        <f>'Low-income'!H34</f>
        <v>177208</v>
      </c>
      <c r="I20" s="265">
        <f>'Low-income'!I34</f>
        <v>191930</v>
      </c>
      <c r="J20" s="265">
        <f>'Low-income'!J34</f>
        <v>66525</v>
      </c>
      <c r="K20" s="265">
        <f>'Low-income'!K34</f>
        <v>68712</v>
      </c>
      <c r="L20" s="265">
        <f>'Low-income'!L34</f>
        <v>64804</v>
      </c>
      <c r="M20" s="265">
        <f>'Low-income'!M34</f>
        <v>89465</v>
      </c>
      <c r="N20" s="256">
        <f>'Low-income'!N34</f>
        <v>103693</v>
      </c>
      <c r="O20" s="256">
        <f>'Low-income'!O34</f>
        <v>47362</v>
      </c>
      <c r="P20" s="265">
        <f>SUM(C20:O20)</f>
        <v>1360644</v>
      </c>
      <c r="Q20" s="23"/>
    </row>
    <row r="21" spans="1:17" ht="12.75">
      <c r="A21" s="426"/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324"/>
      <c r="O21" s="324"/>
      <c r="P21" s="427"/>
      <c r="Q21" s="23"/>
    </row>
    <row r="22" spans="1:17" ht="12.75">
      <c r="A22" s="229" t="s">
        <v>49</v>
      </c>
      <c r="B22" s="252">
        <f t="shared" si="3"/>
        <v>680834</v>
      </c>
      <c r="C22" s="252"/>
      <c r="D22" s="252"/>
      <c r="E22" s="252"/>
      <c r="F22" s="252">
        <f>'C&amp;I'!F56</f>
        <v>473065</v>
      </c>
      <c r="G22" s="252">
        <f>'C&amp;I'!G56</f>
        <v>207769</v>
      </c>
      <c r="H22" s="252">
        <f>'C&amp;I'!H56</f>
        <v>260265</v>
      </c>
      <c r="I22" s="252">
        <f>'C&amp;I'!I56</f>
        <v>101184</v>
      </c>
      <c r="J22" s="252">
        <f>'C&amp;I'!J56</f>
        <v>109975</v>
      </c>
      <c r="K22" s="252">
        <f>'C&amp;I'!K56</f>
        <v>225004</v>
      </c>
      <c r="L22" s="252">
        <f>'C&amp;I'!L56</f>
        <v>108815</v>
      </c>
      <c r="M22" s="252">
        <f>'C&amp;I'!M56</f>
        <v>264120</v>
      </c>
      <c r="N22" s="254">
        <f>'C&amp;I'!N56</f>
        <v>115970</v>
      </c>
      <c r="O22" s="254">
        <f>'C&amp;I'!O56</f>
        <v>22375</v>
      </c>
      <c r="P22" s="252">
        <f aca="true" t="shared" si="4" ref="P22:P28">SUM(C22:O22)</f>
        <v>1888542</v>
      </c>
      <c r="Q22" s="23"/>
    </row>
    <row r="23" spans="1:17" ht="12.75">
      <c r="A23" s="182" t="s">
        <v>52</v>
      </c>
      <c r="B23" s="252">
        <f t="shared" si="3"/>
        <v>4266377</v>
      </c>
      <c r="C23" s="252"/>
      <c r="D23" s="252"/>
      <c r="E23" s="252"/>
      <c r="F23" s="252">
        <f>'C&amp;I'!F57</f>
        <v>2454112</v>
      </c>
      <c r="G23" s="252">
        <f>'C&amp;I'!G57</f>
        <v>1812265</v>
      </c>
      <c r="H23" s="252">
        <f>'C&amp;I'!H57</f>
        <v>1172904</v>
      </c>
      <c r="I23" s="252">
        <f>'C&amp;I'!I57</f>
        <v>1252717</v>
      </c>
      <c r="J23" s="252">
        <f>'C&amp;I'!J57</f>
        <v>1349840</v>
      </c>
      <c r="K23" s="252">
        <f>'C&amp;I'!K57</f>
        <v>1141755</v>
      </c>
      <c r="L23" s="252">
        <f>'C&amp;I'!L57</f>
        <v>1516908</v>
      </c>
      <c r="M23" s="252">
        <f>'C&amp;I'!M57</f>
        <v>1642577</v>
      </c>
      <c r="N23" s="254">
        <f>'C&amp;I'!N57</f>
        <v>2379957</v>
      </c>
      <c r="O23" s="254">
        <f>'C&amp;I'!O57</f>
        <v>1675718</v>
      </c>
      <c r="P23" s="252">
        <f t="shared" si="4"/>
        <v>16398753</v>
      </c>
      <c r="Q23" s="23"/>
    </row>
    <row r="24" spans="1:17" ht="12.75">
      <c r="A24" s="182" t="s">
        <v>317</v>
      </c>
      <c r="B24" s="252">
        <f t="shared" si="3"/>
        <v>338360</v>
      </c>
      <c r="C24" s="252"/>
      <c r="D24" s="252"/>
      <c r="E24" s="252"/>
      <c r="F24" s="252">
        <f>'C&amp;I'!F58</f>
        <v>134622</v>
      </c>
      <c r="G24" s="252">
        <f>'C&amp;I'!G58</f>
        <v>203738</v>
      </c>
      <c r="H24" s="252">
        <f>'C&amp;I'!H58</f>
        <v>42480</v>
      </c>
      <c r="I24" s="252">
        <f>'C&amp;I'!I58</f>
        <v>31536</v>
      </c>
      <c r="J24" s="252">
        <f>'C&amp;I'!J58</f>
        <v>46637</v>
      </c>
      <c r="K24" s="252">
        <f>'C&amp;I'!K58</f>
        <v>43977</v>
      </c>
      <c r="L24" s="318"/>
      <c r="M24" s="318"/>
      <c r="N24" s="318"/>
      <c r="O24" s="318"/>
      <c r="P24" s="252">
        <f t="shared" si="4"/>
        <v>502990</v>
      </c>
      <c r="Q24" s="23"/>
    </row>
    <row r="25" spans="1:17" ht="12.75">
      <c r="A25" s="182" t="s">
        <v>236</v>
      </c>
      <c r="B25" s="252">
        <f t="shared" si="3"/>
        <v>0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>
        <f>'P4P '!I32</f>
        <v>8757</v>
      </c>
      <c r="M25" s="254">
        <f>'P4P '!J32</f>
        <v>216562</v>
      </c>
      <c r="N25" s="254">
        <f>'P4P '!K30</f>
        <v>485339</v>
      </c>
      <c r="O25" s="254">
        <f>'P4P '!L30</f>
        <v>555474</v>
      </c>
      <c r="P25" s="252">
        <f t="shared" si="4"/>
        <v>1266132</v>
      </c>
      <c r="Q25" s="23"/>
    </row>
    <row r="26" spans="1:17" ht="12.75">
      <c r="A26" s="182" t="s">
        <v>341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4"/>
      <c r="N26" s="254">
        <f>'P4P '!K31</f>
        <v>0</v>
      </c>
      <c r="O26" s="254">
        <f>'P4P '!L31</f>
        <v>0</v>
      </c>
      <c r="P26" s="252">
        <f t="shared" si="4"/>
        <v>0</v>
      </c>
      <c r="Q26" s="23"/>
    </row>
    <row r="27" spans="1:17" ht="12.75">
      <c r="A27" s="182" t="s">
        <v>237</v>
      </c>
      <c r="B27" s="252">
        <f t="shared" si="3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>
        <f>'P4P NC'!B27</f>
        <v>0</v>
      </c>
      <c r="M27" s="254">
        <f>'P4P NC'!C27</f>
        <v>0</v>
      </c>
      <c r="N27" s="254">
        <f>'P4P NC'!D27</f>
        <v>0</v>
      </c>
      <c r="O27" s="254">
        <f>'P4P NC'!E27</f>
        <v>23486</v>
      </c>
      <c r="P27" s="252">
        <f t="shared" si="4"/>
        <v>23486</v>
      </c>
      <c r="Q27" s="23"/>
    </row>
    <row r="28" spans="1:17" ht="12.75">
      <c r="A28" s="182" t="s">
        <v>183</v>
      </c>
      <c r="B28" s="252">
        <f t="shared" si="3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'Direct Install'!D23</f>
        <v>75032</v>
      </c>
      <c r="M28" s="252">
        <f>'Direct Install'!E23</f>
        <v>621575</v>
      </c>
      <c r="N28" s="254">
        <f>'Direct Install'!F23</f>
        <v>869610</v>
      </c>
      <c r="O28" s="254">
        <f>'Direct Install'!G23</f>
        <v>548554</v>
      </c>
      <c r="P28" s="252">
        <f t="shared" si="4"/>
        <v>2114771</v>
      </c>
      <c r="Q28" s="23"/>
    </row>
    <row r="29" spans="1:17" ht="12.75">
      <c r="A29" s="182" t="s">
        <v>342</v>
      </c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4">
        <f>LEUP!C23</f>
        <v>1247</v>
      </c>
      <c r="O29" s="254">
        <f>LEUP!D23</f>
        <v>505024</v>
      </c>
      <c r="P29" s="252"/>
      <c r="Q29" s="23"/>
    </row>
    <row r="30" spans="1:17" ht="12.75">
      <c r="A30" s="182" t="s">
        <v>365</v>
      </c>
      <c r="B30" s="252">
        <f t="shared" si="3"/>
        <v>0</v>
      </c>
      <c r="C30" s="252"/>
      <c r="D30" s="252"/>
      <c r="E30" s="252"/>
      <c r="F30" s="252"/>
      <c r="G30" s="252"/>
      <c r="H30" s="252"/>
      <c r="I30" s="252"/>
      <c r="J30" s="252">
        <f>'CHP-FuelCell_Lrg-Small'!J34</f>
        <v>2119</v>
      </c>
      <c r="K30" s="252">
        <f>'CHP-FuelCell_Lrg-Small'!K34</f>
        <v>0</v>
      </c>
      <c r="L30" s="252">
        <f>'CHP-FuelCell_Lrg-Small'!L34</f>
        <v>24001</v>
      </c>
      <c r="M30" s="252">
        <f>'CHP-FuelCell_Lrg-Small'!M34</f>
        <v>0</v>
      </c>
      <c r="N30" s="254">
        <f>'CHP-FuelCell_Lrg-Small'!N34</f>
        <v>0</v>
      </c>
      <c r="O30" s="254">
        <f>'CHP-FuelCell_Lrg-Small'!O34</f>
        <v>0</v>
      </c>
      <c r="P30" s="252">
        <f>SUM(C30:O30)</f>
        <v>26120</v>
      </c>
      <c r="Q30" s="23"/>
    </row>
    <row r="31" spans="1:16" ht="12.75">
      <c r="A31" s="59" t="s">
        <v>304</v>
      </c>
      <c r="B31" s="265">
        <f t="shared" si="3"/>
        <v>10858893</v>
      </c>
      <c r="C31" s="265">
        <f>'C&amp;I'!C59</f>
        <v>464149</v>
      </c>
      <c r="D31" s="265">
        <f>'C&amp;I'!D59</f>
        <v>2164648</v>
      </c>
      <c r="E31" s="265">
        <f>'C&amp;I'!E59</f>
        <v>2944525</v>
      </c>
      <c r="F31" s="265">
        <f>'C&amp;I'!F59</f>
        <v>3061799</v>
      </c>
      <c r="G31" s="265">
        <f aca="true" t="shared" si="5" ref="G31:L31">SUM(G22:G30)</f>
        <v>2223772</v>
      </c>
      <c r="H31" s="265">
        <f t="shared" si="5"/>
        <v>1475649</v>
      </c>
      <c r="I31" s="265">
        <f t="shared" si="5"/>
        <v>1385437</v>
      </c>
      <c r="J31" s="265">
        <f t="shared" si="5"/>
        <v>1508571</v>
      </c>
      <c r="K31" s="265">
        <f t="shared" si="5"/>
        <v>1410736</v>
      </c>
      <c r="L31" s="265">
        <f t="shared" si="5"/>
        <v>1733513</v>
      </c>
      <c r="M31" s="265">
        <f>SUM(M22:M30)</f>
        <v>2744834</v>
      </c>
      <c r="N31" s="256">
        <f>SUM(N22:N30)</f>
        <v>3852123</v>
      </c>
      <c r="O31" s="256">
        <f>SUM(O22:O30)</f>
        <v>3330631</v>
      </c>
      <c r="P31" s="265">
        <f>SUM(C31:O31)</f>
        <v>28300387</v>
      </c>
    </row>
    <row r="32" spans="1:16" ht="12.75">
      <c r="A32" s="209" t="s">
        <v>122</v>
      </c>
      <c r="B32" s="252">
        <f t="shared" si="3"/>
        <v>279403</v>
      </c>
      <c r="C32" s="252"/>
      <c r="D32" s="252"/>
      <c r="E32" s="252"/>
      <c r="F32" s="252"/>
      <c r="G32" s="252">
        <v>279403</v>
      </c>
      <c r="H32" s="252">
        <f>'Cool Cities'!E22</f>
        <v>10479</v>
      </c>
      <c r="I32" s="252">
        <f>'Cool Cities'!F22</f>
        <v>10334</v>
      </c>
      <c r="J32" s="252">
        <f>'Cool Cities'!G22</f>
        <v>11570</v>
      </c>
      <c r="K32" s="252">
        <f>'Cool Cities'!H22</f>
        <v>14106</v>
      </c>
      <c r="L32" s="318"/>
      <c r="M32" s="318"/>
      <c r="N32" s="318"/>
      <c r="O32" s="318"/>
      <c r="P32" s="252">
        <f>SUM(C32:O32)</f>
        <v>325892</v>
      </c>
    </row>
    <row r="33" spans="1:16" ht="12.75">
      <c r="A33" s="59" t="s">
        <v>126</v>
      </c>
      <c r="B33" s="265">
        <f t="shared" si="3"/>
        <v>11138296</v>
      </c>
      <c r="C33" s="265">
        <f aca="true" t="shared" si="6" ref="C33:H33">C32+C31</f>
        <v>464149</v>
      </c>
      <c r="D33" s="265">
        <f t="shared" si="6"/>
        <v>2164648</v>
      </c>
      <c r="E33" s="265">
        <f t="shared" si="6"/>
        <v>2944525</v>
      </c>
      <c r="F33" s="265">
        <f t="shared" si="6"/>
        <v>3061799</v>
      </c>
      <c r="G33" s="265">
        <f t="shared" si="6"/>
        <v>2503175</v>
      </c>
      <c r="H33" s="265">
        <f t="shared" si="6"/>
        <v>1486128</v>
      </c>
      <c r="I33" s="265">
        <f aca="true" t="shared" si="7" ref="I33:N33">I32+I31</f>
        <v>1395771</v>
      </c>
      <c r="J33" s="265">
        <f t="shared" si="7"/>
        <v>1520141</v>
      </c>
      <c r="K33" s="265">
        <f t="shared" si="7"/>
        <v>1424842</v>
      </c>
      <c r="L33" s="265">
        <f t="shared" si="7"/>
        <v>1733513</v>
      </c>
      <c r="M33" s="265">
        <f t="shared" si="7"/>
        <v>2744834</v>
      </c>
      <c r="N33" s="256">
        <f t="shared" si="7"/>
        <v>3852123</v>
      </c>
      <c r="O33" s="256">
        <f>O32+O31</f>
        <v>3330631</v>
      </c>
      <c r="P33" s="265">
        <f>SUM(C33:O33)</f>
        <v>28626279</v>
      </c>
    </row>
    <row r="34" spans="1:17" ht="12.75">
      <c r="A34" s="29" t="s">
        <v>410</v>
      </c>
      <c r="B34" s="265">
        <f t="shared" si="3"/>
        <v>14876711</v>
      </c>
      <c r="C34" s="265">
        <f aca="true" t="shared" si="8" ref="C34:O34">C33+C20+C18</f>
        <v>797595</v>
      </c>
      <c r="D34" s="265">
        <f t="shared" si="8"/>
        <v>2548628</v>
      </c>
      <c r="E34" s="265">
        <f t="shared" si="8"/>
        <v>3739163</v>
      </c>
      <c r="F34" s="265">
        <f t="shared" si="8"/>
        <v>4308771</v>
      </c>
      <c r="G34" s="265">
        <f t="shared" si="8"/>
        <v>3482554</v>
      </c>
      <c r="H34" s="265">
        <f t="shared" si="8"/>
        <v>1935790</v>
      </c>
      <c r="I34" s="265">
        <f t="shared" si="8"/>
        <v>2645703</v>
      </c>
      <c r="J34" s="265">
        <f t="shared" si="8"/>
        <v>3160279</v>
      </c>
      <c r="K34" s="265">
        <f t="shared" si="8"/>
        <v>3986481</v>
      </c>
      <c r="L34" s="265">
        <f t="shared" si="8"/>
        <v>3414351.2</v>
      </c>
      <c r="M34" s="265">
        <f t="shared" si="8"/>
        <v>4880985.3</v>
      </c>
      <c r="N34" s="256">
        <f t="shared" si="8"/>
        <v>6830470.2</v>
      </c>
      <c r="O34" s="256">
        <f t="shared" si="8"/>
        <v>6040321</v>
      </c>
      <c r="P34" s="265">
        <f>SUM(C34:O34)</f>
        <v>47771091.7</v>
      </c>
      <c r="Q34" s="23"/>
    </row>
    <row r="35" spans="1:18" ht="12.75">
      <c r="A35" s="30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40"/>
      <c r="M35" s="140"/>
      <c r="N35" s="140"/>
      <c r="O35" s="140"/>
      <c r="P35" s="140"/>
      <c r="Q35" s="139"/>
      <c r="R35" s="137"/>
    </row>
    <row r="36" spans="1:18" ht="12.75">
      <c r="A36" s="30" t="s">
        <v>166</v>
      </c>
      <c r="B36" s="123"/>
      <c r="C36" s="123"/>
      <c r="D36" s="123"/>
      <c r="E36" s="123"/>
      <c r="F36" s="123"/>
      <c r="G36" s="123"/>
      <c r="H36" s="45"/>
      <c r="I36" s="45"/>
      <c r="J36" s="45"/>
      <c r="K36" s="45"/>
      <c r="L36" s="149"/>
      <c r="M36" s="149"/>
      <c r="N36" s="149"/>
      <c r="O36" s="149"/>
      <c r="P36" s="88"/>
      <c r="Q36" s="139"/>
      <c r="R36" s="137"/>
    </row>
    <row r="37" spans="1:18" ht="12.75">
      <c r="A37" s="182" t="s">
        <v>341</v>
      </c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3"/>
      <c r="M37" s="323"/>
      <c r="N37" s="255">
        <f>'P4P '!K42</f>
        <v>210240</v>
      </c>
      <c r="O37" s="255">
        <f>'P4P '!L42</f>
        <v>99059</v>
      </c>
      <c r="P37" s="323"/>
      <c r="Q37" s="139"/>
      <c r="R37" s="137"/>
    </row>
    <row r="38" spans="1:18" ht="12.75">
      <c r="A38" s="182" t="s">
        <v>50</v>
      </c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3"/>
      <c r="M38" s="323"/>
      <c r="N38" s="255">
        <f>'CHP-FuelCell_Lrg-Small'!N50</f>
        <v>0</v>
      </c>
      <c r="O38" s="255">
        <f>'CHP-FuelCell_Lrg-Small'!O50</f>
        <v>13850</v>
      </c>
      <c r="P38" s="323"/>
      <c r="Q38" s="139"/>
      <c r="R38" s="137"/>
    </row>
    <row r="39" spans="1:17" ht="12.75">
      <c r="A39" s="16" t="s">
        <v>1</v>
      </c>
      <c r="B39" s="265">
        <f>SUM(C39:G39)</f>
        <v>11498</v>
      </c>
      <c r="C39" s="265">
        <f>'CHP-FuelCell_Lrg-Small'!C50</f>
        <v>0</v>
      </c>
      <c r="D39" s="265">
        <f>'CHP-FuelCell_Lrg-Small'!D50</f>
        <v>0</v>
      </c>
      <c r="E39" s="265">
        <f>'CHP-FuelCell_Lrg-Small'!E50</f>
        <v>0</v>
      </c>
      <c r="F39" s="265">
        <f>'CHP-FuelCell_Lrg-Small'!F50</f>
        <v>0</v>
      </c>
      <c r="G39" s="265">
        <f>'CHP-FuelCell_Lrg-Small'!G50</f>
        <v>11498</v>
      </c>
      <c r="H39" s="265">
        <f>'CHP-FuelCell_Lrg-Small'!H50</f>
        <v>112759</v>
      </c>
      <c r="I39" s="265">
        <f>'CHP-FuelCell_Lrg-Small'!I50</f>
        <v>1225505</v>
      </c>
      <c r="J39" s="265">
        <f>'CHP-FuelCell_Lrg-Small'!J50</f>
        <v>109364</v>
      </c>
      <c r="K39" s="265">
        <f>'CHP-FuelCell_Lrg-Small'!K50</f>
        <v>423802</v>
      </c>
      <c r="L39" s="265">
        <f>'CHP-FuelCell_Lrg-Small'!L50</f>
        <v>524075</v>
      </c>
      <c r="M39" s="265">
        <f>'CHP-FuelCell_Lrg-Small'!M50</f>
        <v>0</v>
      </c>
      <c r="N39" s="256">
        <f>SUM(N37:N38)</f>
        <v>210240</v>
      </c>
      <c r="O39" s="256">
        <f>SUM(O37:O38)</f>
        <v>112909</v>
      </c>
      <c r="P39" s="265">
        <f>SUM(C39:O39)</f>
        <v>2730152</v>
      </c>
      <c r="Q39" s="23"/>
    </row>
    <row r="40" spans="2:18" ht="12.75">
      <c r="B40" s="81"/>
      <c r="C40" s="25"/>
      <c r="D40" s="25"/>
      <c r="E40" s="25"/>
      <c r="F40" s="25"/>
      <c r="G40" s="25"/>
      <c r="H40" s="25"/>
      <c r="I40" s="25"/>
      <c r="J40" s="25"/>
      <c r="K40" s="25"/>
      <c r="L40" s="148"/>
      <c r="M40" s="148"/>
      <c r="N40" s="210"/>
      <c r="O40" s="210"/>
      <c r="P40" s="210"/>
      <c r="Q40" s="137"/>
      <c r="R40" s="137"/>
    </row>
    <row r="41" spans="1:18" ht="12.75">
      <c r="A41" s="30" t="s">
        <v>61</v>
      </c>
      <c r="B41" s="26"/>
      <c r="C41" s="45"/>
      <c r="D41" s="45"/>
      <c r="E41" s="45"/>
      <c r="F41" s="45"/>
      <c r="G41" s="45"/>
      <c r="H41" s="45"/>
      <c r="I41" s="26"/>
      <c r="J41" s="26"/>
      <c r="K41" s="26"/>
      <c r="L41" s="149"/>
      <c r="M41" s="149"/>
      <c r="N41" s="149"/>
      <c r="O41" s="149"/>
      <c r="P41" s="88"/>
      <c r="Q41" s="137"/>
      <c r="R41" s="137"/>
    </row>
    <row r="42" spans="1:18" ht="12.75">
      <c r="A42" s="182" t="s">
        <v>93</v>
      </c>
      <c r="B42" s="252">
        <f aca="true" t="shared" si="9" ref="B42:B47">SUM(C42:G42)</f>
        <v>600659</v>
      </c>
      <c r="C42" s="252">
        <f>CORE!C24</f>
        <v>173</v>
      </c>
      <c r="D42" s="252">
        <f>CORE!D24</f>
        <v>56330</v>
      </c>
      <c r="E42" s="252">
        <f>CORE!E24</f>
        <v>109981</v>
      </c>
      <c r="F42" s="252">
        <f>CORE!F24</f>
        <v>82996</v>
      </c>
      <c r="G42" s="252">
        <f>CORE!G24</f>
        <v>351179</v>
      </c>
      <c r="H42" s="252">
        <f>CORE!H24</f>
        <v>449400</v>
      </c>
      <c r="I42" s="252">
        <f>CORE!I24</f>
        <v>487379</v>
      </c>
      <c r="J42" s="252">
        <f>CORE!J24</f>
        <v>354528</v>
      </c>
      <c r="K42" s="252">
        <f>CORE!K24</f>
        <v>308648</v>
      </c>
      <c r="L42" s="254">
        <f>CORE!L24</f>
        <v>363625</v>
      </c>
      <c r="M42" s="254">
        <f>CORE!M24</f>
        <v>139211</v>
      </c>
      <c r="N42" s="254">
        <f>CORE!N24</f>
        <v>72638</v>
      </c>
      <c r="O42" s="254">
        <f>CORE!O24</f>
        <v>0</v>
      </c>
      <c r="P42" s="255">
        <f aca="true" t="shared" si="10" ref="P42:P47">SUM(C42:O42)</f>
        <v>2776088</v>
      </c>
      <c r="Q42" s="139"/>
      <c r="R42" s="137"/>
    </row>
    <row r="43" spans="1:18" ht="12.75">
      <c r="A43" s="227" t="s">
        <v>201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REIP!B23</f>
        <v>51565</v>
      </c>
      <c r="L43" s="254">
        <f>REIP!C23</f>
        <v>387059</v>
      </c>
      <c r="M43" s="254">
        <f>REIP!D23</f>
        <v>428211</v>
      </c>
      <c r="N43" s="254">
        <f>REIP!E23</f>
        <v>54040</v>
      </c>
      <c r="O43" s="254">
        <f>REIP!F23</f>
        <v>32696</v>
      </c>
      <c r="P43" s="255">
        <f t="shared" si="10"/>
        <v>953571</v>
      </c>
      <c r="Q43" s="139"/>
      <c r="R43" s="137"/>
    </row>
    <row r="44" spans="1:18" ht="12.75">
      <c r="A44" s="227" t="s">
        <v>334</v>
      </c>
      <c r="B44" s="252">
        <f t="shared" si="9"/>
        <v>0</v>
      </c>
      <c r="C44" s="252"/>
      <c r="D44" s="252"/>
      <c r="E44" s="252"/>
      <c r="F44" s="252"/>
      <c r="G44" s="252"/>
      <c r="H44" s="252"/>
      <c r="I44" s="252">
        <f>REC!B19</f>
        <v>312</v>
      </c>
      <c r="J44" s="252">
        <f>REC!C19</f>
        <v>202392</v>
      </c>
      <c r="K44" s="252">
        <f>REC!D19</f>
        <v>822467</v>
      </c>
      <c r="L44" s="254">
        <f>REC!E19</f>
        <v>3498394</v>
      </c>
      <c r="M44" s="254">
        <f>REC!F19</f>
        <v>7073890</v>
      </c>
      <c r="N44" s="254">
        <f>REC!G19</f>
        <v>12686040</v>
      </c>
      <c r="O44" s="254">
        <f>REC!H19</f>
        <v>4922020</v>
      </c>
      <c r="P44" s="255">
        <f t="shared" si="10"/>
        <v>29205515</v>
      </c>
      <c r="Q44" s="139"/>
      <c r="R44" s="137"/>
    </row>
    <row r="45" spans="1:18" ht="12.75">
      <c r="A45" s="182" t="s">
        <v>250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/>
      <c r="J45" s="252"/>
      <c r="K45" s="252">
        <f>'RE Grid Connected'!B20</f>
        <v>0</v>
      </c>
      <c r="L45" s="254">
        <f>'RE Grid Connected'!C20</f>
        <v>0</v>
      </c>
      <c r="M45" s="254">
        <f>'RE Grid Connected'!D20</f>
        <v>0</v>
      </c>
      <c r="N45" s="254">
        <f>'RE Grid Connected'!E20</f>
        <v>0</v>
      </c>
      <c r="O45" s="254">
        <f>'RE Grid Connected'!F20</f>
        <v>278480</v>
      </c>
      <c r="P45" s="255">
        <f t="shared" si="10"/>
        <v>278480</v>
      </c>
      <c r="Q45" s="139"/>
      <c r="R45" s="137"/>
    </row>
    <row r="46" spans="1:18" ht="12.75">
      <c r="A46" s="227" t="s">
        <v>321</v>
      </c>
      <c r="B46" s="252">
        <f t="shared" si="9"/>
        <v>187740</v>
      </c>
      <c r="C46" s="252">
        <v>0</v>
      </c>
      <c r="D46" s="252">
        <v>0</v>
      </c>
      <c r="E46" s="252">
        <v>0</v>
      </c>
      <c r="F46" s="252">
        <f>'RE Grants and Financing'!E36</f>
        <v>0</v>
      </c>
      <c r="G46" s="252">
        <f>'RE Grants and Financing'!F36</f>
        <v>187740</v>
      </c>
      <c r="H46" s="252">
        <f>'RE Grants and Financing'!G36</f>
        <v>0</v>
      </c>
      <c r="I46" s="252">
        <f>'RE Grants and Financing'!H36</f>
        <v>478464</v>
      </c>
      <c r="J46" s="252">
        <f>'RE Grants and Financing'!I36</f>
        <v>1438040</v>
      </c>
      <c r="K46" s="252">
        <f>'RE Grants and Financing'!J36</f>
        <v>174240</v>
      </c>
      <c r="L46" s="254">
        <f>'RE Grants and Financing'!K36</f>
        <v>602055</v>
      </c>
      <c r="M46" s="254"/>
      <c r="N46" s="254"/>
      <c r="O46" s="254"/>
      <c r="P46" s="255">
        <f t="shared" si="10"/>
        <v>2880539</v>
      </c>
      <c r="Q46" s="147"/>
      <c r="R46" s="137"/>
    </row>
    <row r="47" spans="1:18" ht="12.75">
      <c r="A47" s="14" t="s">
        <v>1</v>
      </c>
      <c r="B47" s="265">
        <f t="shared" si="9"/>
        <v>788399</v>
      </c>
      <c r="C47" s="265">
        <f aca="true" t="shared" si="11" ref="C47:H47">SUM(C42:C46)</f>
        <v>173</v>
      </c>
      <c r="D47" s="265">
        <f t="shared" si="11"/>
        <v>56330</v>
      </c>
      <c r="E47" s="265">
        <f t="shared" si="11"/>
        <v>109981</v>
      </c>
      <c r="F47" s="265">
        <f t="shared" si="11"/>
        <v>82996</v>
      </c>
      <c r="G47" s="265">
        <f t="shared" si="11"/>
        <v>538919</v>
      </c>
      <c r="H47" s="265">
        <f t="shared" si="11"/>
        <v>449400</v>
      </c>
      <c r="I47" s="265">
        <f aca="true" t="shared" si="12" ref="I47:N47">SUM(I42:I46)</f>
        <v>966155</v>
      </c>
      <c r="J47" s="265">
        <f t="shared" si="12"/>
        <v>1994960</v>
      </c>
      <c r="K47" s="265">
        <f t="shared" si="12"/>
        <v>1356920</v>
      </c>
      <c r="L47" s="256">
        <f t="shared" si="12"/>
        <v>4851133</v>
      </c>
      <c r="M47" s="256">
        <f t="shared" si="12"/>
        <v>7641312</v>
      </c>
      <c r="N47" s="256">
        <f t="shared" si="12"/>
        <v>12812718</v>
      </c>
      <c r="O47" s="256">
        <f>SUM(O42:O46)</f>
        <v>5233196</v>
      </c>
      <c r="P47" s="256">
        <f t="shared" si="10"/>
        <v>36094193</v>
      </c>
      <c r="Q47" s="139"/>
      <c r="R47" s="137"/>
    </row>
    <row r="48" spans="1:18" ht="12.75">
      <c r="A48" s="2" t="s">
        <v>291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327"/>
      <c r="M48" s="327"/>
      <c r="N48" s="327"/>
      <c r="O48" s="327"/>
      <c r="P48" s="327"/>
      <c r="Q48" s="139"/>
      <c r="R48" s="137"/>
    </row>
    <row r="49" spans="1:18" ht="12.75">
      <c r="A49" s="30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327"/>
      <c r="M49" s="327"/>
      <c r="N49" s="327"/>
      <c r="O49" s="327"/>
      <c r="P49" s="327"/>
      <c r="Q49" s="139"/>
      <c r="R49" s="137"/>
    </row>
    <row r="50" spans="1:18" ht="15">
      <c r="A50" s="414" t="str">
        <f>A3</f>
        <v>Installed</v>
      </c>
      <c r="B50" s="401"/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139"/>
      <c r="R50" s="137"/>
    </row>
    <row r="51" spans="1:16" ht="26.25">
      <c r="A51" s="414" t="str">
        <f aca="true" t="shared" si="13" ref="A51:P51">A4</f>
        <v>Lifetime</v>
      </c>
      <c r="B51" s="81" t="str">
        <f t="shared" si="13"/>
        <v>Summary 
2001 to 2005*</v>
      </c>
      <c r="C51" s="25">
        <f t="shared" si="13"/>
        <v>2001</v>
      </c>
      <c r="D51" s="25">
        <f t="shared" si="13"/>
        <v>2002</v>
      </c>
      <c r="E51" s="25">
        <f t="shared" si="13"/>
        <v>2003</v>
      </c>
      <c r="F51" s="25">
        <f t="shared" si="13"/>
        <v>2004</v>
      </c>
      <c r="G51" s="25">
        <f t="shared" si="13"/>
        <v>2005</v>
      </c>
      <c r="H51" s="25">
        <f t="shared" si="13"/>
        <v>2006</v>
      </c>
      <c r="I51" s="25">
        <f t="shared" si="13"/>
        <v>2007</v>
      </c>
      <c r="J51" s="25">
        <f t="shared" si="13"/>
        <v>2008</v>
      </c>
      <c r="K51" s="25">
        <f t="shared" si="13"/>
        <v>2009</v>
      </c>
      <c r="L51" s="25">
        <f t="shared" si="13"/>
        <v>2010</v>
      </c>
      <c r="M51" s="25">
        <f t="shared" si="13"/>
        <v>2011</v>
      </c>
      <c r="N51" s="210" t="str">
        <f t="shared" si="13"/>
        <v>(18 month)1
2012-2013</v>
      </c>
      <c r="O51" s="210" t="str">
        <f t="shared" si="13"/>
        <v>FY2014</v>
      </c>
      <c r="P51" s="81" t="str">
        <f t="shared" si="13"/>
        <v>Total 
2001 ~ FY2014</v>
      </c>
    </row>
    <row r="52" spans="1:16" ht="12.75">
      <c r="A52" s="1" t="s">
        <v>62</v>
      </c>
      <c r="B52" s="26" t="s">
        <v>11</v>
      </c>
      <c r="C52" s="26" t="s">
        <v>11</v>
      </c>
      <c r="D52" s="26" t="s">
        <v>11</v>
      </c>
      <c r="E52" s="26" t="s">
        <v>11</v>
      </c>
      <c r="F52" s="26" t="s">
        <v>11</v>
      </c>
      <c r="G52" s="26" t="s">
        <v>11</v>
      </c>
      <c r="H52" s="26" t="s">
        <v>11</v>
      </c>
      <c r="I52" s="26" t="s">
        <v>11</v>
      </c>
      <c r="J52" s="26" t="s">
        <v>11</v>
      </c>
      <c r="K52" s="26" t="s">
        <v>11</v>
      </c>
      <c r="L52" s="26" t="s">
        <v>11</v>
      </c>
      <c r="M52" s="26" t="s">
        <v>11</v>
      </c>
      <c r="N52" s="149" t="s">
        <v>11</v>
      </c>
      <c r="O52" s="149" t="s">
        <v>11</v>
      </c>
      <c r="P52" s="26" t="s">
        <v>11</v>
      </c>
    </row>
    <row r="53" spans="1:17" ht="12.75">
      <c r="A53" s="209" t="s">
        <v>66</v>
      </c>
      <c r="B53" s="252">
        <f>SUM(C53:G53)</f>
        <v>12328739</v>
      </c>
      <c r="C53" s="252">
        <f>'Res HVAC'!C35</f>
        <v>2344252</v>
      </c>
      <c r="D53" s="252">
        <f>'Res HVAC'!D35</f>
        <v>2886917</v>
      </c>
      <c r="E53" s="252">
        <f>'Res HVAC'!E35</f>
        <v>2172633</v>
      </c>
      <c r="F53" s="252">
        <f>'Res HVAC'!F35</f>
        <v>2431125</v>
      </c>
      <c r="G53" s="252">
        <f>'Res HVAC'!G35</f>
        <v>2493812</v>
      </c>
      <c r="H53" s="252">
        <f>'Res HVAC'!H35</f>
        <v>3095022</v>
      </c>
      <c r="I53" s="252">
        <f>'Res HVAC'!I35</f>
        <v>3830587</v>
      </c>
      <c r="J53" s="252">
        <f>'Res HVAC'!J35</f>
        <v>3285309</v>
      </c>
      <c r="K53" s="252">
        <f>'Res HVAC'!K35</f>
        <v>3952255</v>
      </c>
      <c r="L53" s="252">
        <f>'Res HVAC'!L35</f>
        <v>5096054</v>
      </c>
      <c r="M53" s="252">
        <f>'Res HVAC'!M35</f>
        <v>6779179</v>
      </c>
      <c r="N53" s="254">
        <f>'Res HVAC'!N35</f>
        <v>6728822</v>
      </c>
      <c r="O53" s="254">
        <f>'Res HVAC'!O35</f>
        <v>2120558</v>
      </c>
      <c r="P53" s="252">
        <f>SUM(C53:O53)</f>
        <v>47216525</v>
      </c>
      <c r="Q53" s="23"/>
    </row>
    <row r="54" spans="1:16" ht="12.75">
      <c r="A54" s="209" t="s">
        <v>67</v>
      </c>
      <c r="B54" s="252">
        <f>SUM(C54:G54)</f>
        <v>12883376</v>
      </c>
      <c r="C54" s="252">
        <f>RNC!C33</f>
        <v>7120</v>
      </c>
      <c r="D54" s="252">
        <f>RNC!D33</f>
        <v>1672762</v>
      </c>
      <c r="E54" s="252">
        <f>RNC!E33</f>
        <v>2738286</v>
      </c>
      <c r="F54" s="252">
        <f>RNC!F33</f>
        <v>3673856</v>
      </c>
      <c r="G54" s="252">
        <f>RNC!G33</f>
        <v>4791352</v>
      </c>
      <c r="H54" s="252">
        <f>RNC!H33</f>
        <v>2191094</v>
      </c>
      <c r="I54" s="252">
        <f>RNC!I33</f>
        <v>1937986</v>
      </c>
      <c r="J54" s="252">
        <f>RNC!J33</f>
        <v>2184460</v>
      </c>
      <c r="K54" s="252">
        <f>RNC!K33</f>
        <v>1535940</v>
      </c>
      <c r="L54" s="252">
        <f>RNC!L33</f>
        <v>1583560</v>
      </c>
      <c r="M54" s="252">
        <f>RNC!M33</f>
        <v>1214660</v>
      </c>
      <c r="N54" s="254">
        <f>RNC!N33</f>
        <v>1487097</v>
      </c>
      <c r="O54" s="254">
        <f>RNC!O33</f>
        <v>1017268</v>
      </c>
      <c r="P54" s="252">
        <f>SUM(C54:O54)</f>
        <v>26035441</v>
      </c>
    </row>
    <row r="55" spans="1:16" ht="12.75">
      <c r="A55" s="209" t="s">
        <v>68</v>
      </c>
      <c r="B55" s="252">
        <f>SUM(C55:G55)</f>
        <v>0</v>
      </c>
      <c r="C55" s="252">
        <v>0</v>
      </c>
      <c r="D55" s="252">
        <v>0</v>
      </c>
      <c r="E55" s="252">
        <v>0</v>
      </c>
      <c r="F55" s="252">
        <v>0</v>
      </c>
      <c r="G55" s="252">
        <v>0</v>
      </c>
      <c r="H55" s="252">
        <v>0</v>
      </c>
      <c r="I55" s="252">
        <f>'Energy Star'!I92</f>
        <v>19430</v>
      </c>
      <c r="J55" s="252">
        <f>'Energy Star'!J92</f>
        <v>300087</v>
      </c>
      <c r="K55" s="252">
        <f>'Energy Star'!K92</f>
        <v>456858</v>
      </c>
      <c r="L55" s="252">
        <f>'Energy Star'!L92</f>
        <v>530793</v>
      </c>
      <c r="M55" s="252">
        <f>'Energy Star'!M92</f>
        <v>538665</v>
      </c>
      <c r="N55" s="254">
        <f>'Energy Star'!N92</f>
        <v>495126</v>
      </c>
      <c r="O55" s="254">
        <f>'Energy Star'!O92</f>
        <v>442854</v>
      </c>
      <c r="P55" s="252">
        <f>SUM(C55:O55)</f>
        <v>2783813</v>
      </c>
    </row>
    <row r="56" spans="1:16" ht="12.75">
      <c r="A56" s="209" t="s">
        <v>158</v>
      </c>
      <c r="B56" s="252">
        <f>SUM(C56:G56)</f>
        <v>0</v>
      </c>
      <c r="C56" s="252"/>
      <c r="D56" s="252"/>
      <c r="E56" s="252"/>
      <c r="F56" s="252"/>
      <c r="G56" s="252"/>
      <c r="H56" s="252">
        <f>'Home Perf'!B35</f>
        <v>2152</v>
      </c>
      <c r="I56" s="252">
        <f>'Home Perf'!C35</f>
        <v>19299</v>
      </c>
      <c r="J56" s="252">
        <f>'Home Perf'!D35</f>
        <v>88013</v>
      </c>
      <c r="K56" s="252">
        <f>'Home Perf'!E35</f>
        <v>537652</v>
      </c>
      <c r="L56" s="252">
        <f>'Home Perf'!F35</f>
        <v>1635192</v>
      </c>
      <c r="M56" s="252">
        <f>'Home Perf'!G35</f>
        <v>2058386.84</v>
      </c>
      <c r="N56" s="254">
        <f>'Home Perf'!H35</f>
        <v>2972663</v>
      </c>
      <c r="O56" s="254">
        <f>'Home Perf'!I35</f>
        <v>2005100</v>
      </c>
      <c r="P56" s="252">
        <f>SUM(C56:O56)</f>
        <v>9318457.84</v>
      </c>
    </row>
    <row r="57" spans="1:17" ht="12.75">
      <c r="A57" s="29" t="s">
        <v>73</v>
      </c>
      <c r="B57" s="265">
        <f>SUM(C57:G57)</f>
        <v>25212115</v>
      </c>
      <c r="C57" s="265">
        <f aca="true" t="shared" si="14" ref="C57:K57">SUM(C53:C56)</f>
        <v>2351372</v>
      </c>
      <c r="D57" s="265">
        <f t="shared" si="14"/>
        <v>4559679</v>
      </c>
      <c r="E57" s="265">
        <f t="shared" si="14"/>
        <v>4910919</v>
      </c>
      <c r="F57" s="265">
        <f t="shared" si="14"/>
        <v>6104981</v>
      </c>
      <c r="G57" s="265">
        <f t="shared" si="14"/>
        <v>7285164</v>
      </c>
      <c r="H57" s="265">
        <f t="shared" si="14"/>
        <v>5288268</v>
      </c>
      <c r="I57" s="265">
        <f t="shared" si="14"/>
        <v>5807302</v>
      </c>
      <c r="J57" s="265">
        <f t="shared" si="14"/>
        <v>5857869</v>
      </c>
      <c r="K57" s="265">
        <f t="shared" si="14"/>
        <v>6482705</v>
      </c>
      <c r="L57" s="265">
        <f>SUM(L53:L56)</f>
        <v>8845599</v>
      </c>
      <c r="M57" s="265">
        <f>SUM(M53:M56)</f>
        <v>10590890.84</v>
      </c>
      <c r="N57" s="256">
        <f>SUM(N53:N56)</f>
        <v>11683708</v>
      </c>
      <c r="O57" s="256">
        <f>SUM(O53:O56)</f>
        <v>5585780</v>
      </c>
      <c r="P57" s="265">
        <f>SUM(C57:O57)</f>
        <v>85354236.84</v>
      </c>
      <c r="Q57" s="23"/>
    </row>
    <row r="58" spans="1:17" ht="12.75">
      <c r="A58" s="34"/>
      <c r="B58" s="80"/>
      <c r="C58" s="79"/>
      <c r="D58" s="79"/>
      <c r="E58" s="79"/>
      <c r="F58" s="79"/>
      <c r="G58" s="79"/>
      <c r="H58" s="79"/>
      <c r="I58" s="80"/>
      <c r="J58" s="80"/>
      <c r="K58" s="80"/>
      <c r="L58" s="80"/>
      <c r="M58" s="80"/>
      <c r="N58" s="153"/>
      <c r="O58" s="153"/>
      <c r="P58" s="80"/>
      <c r="Q58" s="23"/>
    </row>
    <row r="59" spans="1:18" ht="12.75">
      <c r="A59" s="421" t="s">
        <v>2</v>
      </c>
      <c r="B59" s="265">
        <f aca="true" t="shared" si="15" ref="B59:B71">SUM(C59:G59)</f>
        <v>6729837</v>
      </c>
      <c r="C59" s="265">
        <f>'Low-income'!C41</f>
        <v>1835511</v>
      </c>
      <c r="D59" s="265">
        <f>'Low-income'!D41</f>
        <v>1470460</v>
      </c>
      <c r="E59" s="265">
        <f>'Low-income'!E41</f>
        <v>1284711</v>
      </c>
      <c r="F59" s="265">
        <f>'Low-income'!F41</f>
        <v>1183165</v>
      </c>
      <c r="G59" s="265">
        <f>'Low-income'!G41</f>
        <v>955990</v>
      </c>
      <c r="H59" s="265">
        <f>'Low-income'!H41</f>
        <v>703101</v>
      </c>
      <c r="I59" s="265">
        <f>'Low-income'!I41</f>
        <v>932511</v>
      </c>
      <c r="J59" s="265">
        <f>'Low-income'!J41</f>
        <v>1054201</v>
      </c>
      <c r="K59" s="265">
        <f>'Low-income'!K41</f>
        <v>1105591</v>
      </c>
      <c r="L59" s="256">
        <f>'Low-income'!L41</f>
        <v>883182</v>
      </c>
      <c r="M59" s="256">
        <f>'Low-income'!M41</f>
        <v>1264890</v>
      </c>
      <c r="N59" s="256">
        <f>'Low-income'!N41</f>
        <v>1111649</v>
      </c>
      <c r="O59" s="256">
        <f>'Low-income'!O41</f>
        <v>738319</v>
      </c>
      <c r="P59" s="256">
        <f>SUM(C59:O59)</f>
        <v>14523281</v>
      </c>
      <c r="Q59" s="139"/>
      <c r="R59" s="137"/>
    </row>
    <row r="60" spans="1:18" ht="12.75">
      <c r="A60" s="233"/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70"/>
      <c r="M60" s="270"/>
      <c r="N60" s="270"/>
      <c r="O60" s="270"/>
      <c r="P60" s="270"/>
      <c r="Q60" s="139"/>
      <c r="R60" s="137"/>
    </row>
    <row r="61" spans="1:18" ht="12.75">
      <c r="A61" s="229" t="s">
        <v>49</v>
      </c>
      <c r="B61" s="252">
        <f t="shared" si="15"/>
        <v>310993</v>
      </c>
      <c r="C61" s="252"/>
      <c r="D61" s="252"/>
      <c r="E61" s="252"/>
      <c r="F61" s="252">
        <f>'C&amp;I'!F74</f>
        <v>68637</v>
      </c>
      <c r="G61" s="252">
        <f>'C&amp;I'!G74</f>
        <v>242356</v>
      </c>
      <c r="H61" s="252">
        <f>'C&amp;I'!H74</f>
        <v>44603</v>
      </c>
      <c r="I61" s="252">
        <f>'C&amp;I'!I74</f>
        <v>99355</v>
      </c>
      <c r="J61" s="252">
        <f>'C&amp;I'!J74</f>
        <v>230222</v>
      </c>
      <c r="K61" s="252">
        <f>'C&amp;I'!K74</f>
        <v>13529</v>
      </c>
      <c r="L61" s="254">
        <f>'C&amp;I'!L74</f>
        <v>1891984</v>
      </c>
      <c r="M61" s="254">
        <f>'C&amp;I'!M74</f>
        <v>67666</v>
      </c>
      <c r="N61" s="254">
        <f>'C&amp;I'!N74</f>
        <v>68120</v>
      </c>
      <c r="O61" s="254">
        <f>'C&amp;I'!O74</f>
        <v>347</v>
      </c>
      <c r="P61" s="254">
        <f aca="true" t="shared" si="16" ref="P61:P69">SUM(C61:O61)</f>
        <v>2726819</v>
      </c>
      <c r="Q61" s="139"/>
      <c r="R61" s="137"/>
    </row>
    <row r="62" spans="1:18" ht="12.75">
      <c r="A62" s="182" t="s">
        <v>52</v>
      </c>
      <c r="B62" s="252">
        <f t="shared" si="15"/>
        <v>3768859</v>
      </c>
      <c r="C62" s="252"/>
      <c r="D62" s="252"/>
      <c r="E62" s="252"/>
      <c r="F62" s="252">
        <f>'C&amp;I'!F75</f>
        <v>606584</v>
      </c>
      <c r="G62" s="252">
        <f>'C&amp;I'!G75</f>
        <v>3162275</v>
      </c>
      <c r="H62" s="252">
        <f>'C&amp;I'!H75</f>
        <v>2681281</v>
      </c>
      <c r="I62" s="252">
        <f>'C&amp;I'!I75</f>
        <v>535493</v>
      </c>
      <c r="J62" s="252">
        <f>'C&amp;I'!J75</f>
        <v>675862</v>
      </c>
      <c r="K62" s="252">
        <f>'C&amp;I'!K75</f>
        <v>628140</v>
      </c>
      <c r="L62" s="254">
        <f>'C&amp;I'!L75</f>
        <v>2723921</v>
      </c>
      <c r="M62" s="254">
        <f>'C&amp;I'!M75</f>
        <v>1026019</v>
      </c>
      <c r="N62" s="254">
        <f>'C&amp;I'!N75</f>
        <v>2541686</v>
      </c>
      <c r="O62" s="254">
        <f>'C&amp;I'!O75</f>
        <v>578990</v>
      </c>
      <c r="P62" s="254">
        <f t="shared" si="16"/>
        <v>15160251</v>
      </c>
      <c r="Q62" s="139"/>
      <c r="R62" s="137"/>
    </row>
    <row r="63" spans="1:18" ht="12.75">
      <c r="A63" s="182" t="s">
        <v>317</v>
      </c>
      <c r="B63" s="252">
        <f t="shared" si="15"/>
        <v>176049</v>
      </c>
      <c r="C63" s="252"/>
      <c r="D63" s="252"/>
      <c r="E63" s="252"/>
      <c r="F63" s="252">
        <f>'C&amp;I'!F76</f>
        <v>144434</v>
      </c>
      <c r="G63" s="252">
        <f>'C&amp;I'!G76</f>
        <v>31615</v>
      </c>
      <c r="H63" s="252">
        <f>'C&amp;I'!H76</f>
        <v>419977</v>
      </c>
      <c r="I63" s="252">
        <f>'C&amp;I'!I76</f>
        <v>44563</v>
      </c>
      <c r="J63" s="252">
        <f>'C&amp;I'!J76</f>
        <v>127836</v>
      </c>
      <c r="K63" s="252">
        <f>'C&amp;I'!K76</f>
        <v>175841</v>
      </c>
      <c r="L63" s="254"/>
      <c r="M63" s="254"/>
      <c r="N63" s="254"/>
      <c r="O63" s="254"/>
      <c r="P63" s="254">
        <f t="shared" si="16"/>
        <v>944266</v>
      </c>
      <c r="Q63" s="147"/>
      <c r="R63" s="137"/>
    </row>
    <row r="64" spans="1:18" ht="12.75">
      <c r="A64" s="182" t="s">
        <v>236</v>
      </c>
      <c r="B64" s="252">
        <f t="shared" si="15"/>
        <v>0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4">
        <f>'P4P '!I56</f>
        <v>0</v>
      </c>
      <c r="M64" s="254">
        <f>'P4P '!J56</f>
        <v>527074</v>
      </c>
      <c r="N64" s="254">
        <f>'P4P '!K54</f>
        <v>2224850</v>
      </c>
      <c r="O64" s="254">
        <f>'P4P '!L54</f>
        <v>4504875</v>
      </c>
      <c r="P64" s="254">
        <f t="shared" si="16"/>
        <v>7256799</v>
      </c>
      <c r="Q64" s="139"/>
      <c r="R64" s="137"/>
    </row>
    <row r="65" spans="1:18" ht="12.75">
      <c r="A65" s="182" t="s">
        <v>341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4"/>
      <c r="M65" s="254"/>
      <c r="N65" s="254">
        <f>'P4P '!K55</f>
        <v>999324</v>
      </c>
      <c r="O65" s="254">
        <f>'P4P '!L55</f>
        <v>449172</v>
      </c>
      <c r="P65" s="254">
        <f t="shared" si="16"/>
        <v>1448496</v>
      </c>
      <c r="Q65" s="139"/>
      <c r="R65" s="137"/>
    </row>
    <row r="66" spans="1:18" ht="12.75">
      <c r="A66" s="182" t="s">
        <v>237</v>
      </c>
      <c r="B66" s="252">
        <f t="shared" si="15"/>
        <v>0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4">
        <f>'P4P NC'!B35</f>
        <v>0</v>
      </c>
      <c r="M66" s="254">
        <f>'P4P NC'!C35</f>
        <v>0</v>
      </c>
      <c r="N66" s="254">
        <f>'P4P NC'!D35</f>
        <v>0</v>
      </c>
      <c r="O66" s="254">
        <f>'P4P NC'!E35</f>
        <v>15048</v>
      </c>
      <c r="P66" s="254">
        <f t="shared" si="16"/>
        <v>15048</v>
      </c>
      <c r="Q66" s="139"/>
      <c r="R66" s="137"/>
    </row>
    <row r="67" spans="1:18" ht="12.75">
      <c r="A67" s="182" t="s">
        <v>183</v>
      </c>
      <c r="B67" s="252">
        <f t="shared" si="15"/>
        <v>0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4">
        <f>'Direct Install'!D31</f>
        <v>67968</v>
      </c>
      <c r="M67" s="254">
        <f>'Direct Install'!E31</f>
        <v>1016634</v>
      </c>
      <c r="N67" s="254">
        <f>'Direct Install'!F31</f>
        <v>1198392</v>
      </c>
      <c r="O67" s="254">
        <f>'Direct Install'!G31</f>
        <v>1647942</v>
      </c>
      <c r="P67" s="254">
        <f t="shared" si="16"/>
        <v>3930936</v>
      </c>
      <c r="Q67" s="139"/>
      <c r="R67" s="137"/>
    </row>
    <row r="68" spans="1:18" ht="12.75">
      <c r="A68" s="182" t="s">
        <v>342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4"/>
      <c r="M68" s="254"/>
      <c r="N68" s="254">
        <f>LEUP!C31</f>
        <v>2615671</v>
      </c>
      <c r="O68" s="254">
        <f>LEUP!D31</f>
        <v>3036821</v>
      </c>
      <c r="P68" s="254">
        <f t="shared" si="16"/>
        <v>5652492</v>
      </c>
      <c r="Q68" s="139"/>
      <c r="R68" s="137"/>
    </row>
    <row r="69" spans="1:18" ht="12.75">
      <c r="A69" s="182" t="s">
        <v>365</v>
      </c>
      <c r="B69" s="253">
        <f t="shared" si="15"/>
        <v>0</v>
      </c>
      <c r="C69" s="265"/>
      <c r="D69" s="265"/>
      <c r="E69" s="265"/>
      <c r="F69" s="265"/>
      <c r="G69" s="265"/>
      <c r="H69" s="265"/>
      <c r="I69" s="253">
        <f>'CHP-FuelCell_Lrg-Small'!I68</f>
        <v>6313260</v>
      </c>
      <c r="J69" s="253">
        <f>'CHP-FuelCell_Lrg-Small'!J68</f>
        <v>625236</v>
      </c>
      <c r="K69" s="253">
        <f>'CHP-FuelCell_Lrg-Small'!K68</f>
        <v>2118252</v>
      </c>
      <c r="L69" s="255">
        <f>'CHP-FuelCell_Lrg-Small'!L68</f>
        <v>2063074</v>
      </c>
      <c r="M69" s="255">
        <f>'CHP-FuelCell_Lrg-Small'!M68</f>
        <v>0</v>
      </c>
      <c r="N69" s="255">
        <f>'CHP-FuelCell_Lrg-Small'!N68</f>
        <v>0</v>
      </c>
      <c r="O69" s="255">
        <f>'CHP-FuelCell_Lrg-Small'!O68</f>
        <v>100301</v>
      </c>
      <c r="P69" s="254">
        <f t="shared" si="16"/>
        <v>11220123</v>
      </c>
      <c r="Q69" s="139"/>
      <c r="R69" s="137"/>
    </row>
    <row r="70" spans="1:18" ht="12.75">
      <c r="A70" s="59" t="s">
        <v>314</v>
      </c>
      <c r="B70" s="265">
        <f t="shared" si="15"/>
        <v>6885363</v>
      </c>
      <c r="C70" s="265">
        <f>'C&amp;I'!C77</f>
        <v>616099</v>
      </c>
      <c r="D70" s="265">
        <f>'C&amp;I'!D77</f>
        <v>502563</v>
      </c>
      <c r="E70" s="265">
        <f>'C&amp;I'!E77</f>
        <v>1510800</v>
      </c>
      <c r="F70" s="265">
        <f>'C&amp;I'!F77</f>
        <v>819655</v>
      </c>
      <c r="G70" s="265">
        <f aca="true" t="shared" si="17" ref="G70:L70">SUM(G61:G69)</f>
        <v>3436246</v>
      </c>
      <c r="H70" s="265">
        <f t="shared" si="17"/>
        <v>3145861</v>
      </c>
      <c r="I70" s="265">
        <f t="shared" si="17"/>
        <v>6992671</v>
      </c>
      <c r="J70" s="265">
        <f t="shared" si="17"/>
        <v>1659156</v>
      </c>
      <c r="K70" s="265">
        <f t="shared" si="17"/>
        <v>2935762</v>
      </c>
      <c r="L70" s="256">
        <f t="shared" si="17"/>
        <v>6746947</v>
      </c>
      <c r="M70" s="256">
        <f>SUM(M61:M69)</f>
        <v>2637393</v>
      </c>
      <c r="N70" s="256">
        <f>SUM(N61:N69)</f>
        <v>9648043</v>
      </c>
      <c r="O70" s="256">
        <f>SUM(O61:O69)</f>
        <v>10333496</v>
      </c>
      <c r="P70" s="256">
        <f>SUM(C70:O70)</f>
        <v>50984692</v>
      </c>
      <c r="Q70" s="139"/>
      <c r="R70" s="137"/>
    </row>
    <row r="71" spans="1:18" ht="12.75">
      <c r="A71" s="29" t="s">
        <v>408</v>
      </c>
      <c r="B71" s="265">
        <f t="shared" si="15"/>
        <v>38827315</v>
      </c>
      <c r="C71" s="265">
        <f aca="true" t="shared" si="18" ref="C71:O71">C70+C59+C57</f>
        <v>4802982</v>
      </c>
      <c r="D71" s="265">
        <f t="shared" si="18"/>
        <v>6532702</v>
      </c>
      <c r="E71" s="265">
        <f t="shared" si="18"/>
        <v>7706430</v>
      </c>
      <c r="F71" s="265">
        <f t="shared" si="18"/>
        <v>8107801</v>
      </c>
      <c r="G71" s="265">
        <f t="shared" si="18"/>
        <v>11677400</v>
      </c>
      <c r="H71" s="265">
        <f t="shared" si="18"/>
        <v>9137230</v>
      </c>
      <c r="I71" s="265">
        <f t="shared" si="18"/>
        <v>13732484</v>
      </c>
      <c r="J71" s="265">
        <f t="shared" si="18"/>
        <v>8571226</v>
      </c>
      <c r="K71" s="265">
        <f t="shared" si="18"/>
        <v>10524058</v>
      </c>
      <c r="L71" s="256">
        <f t="shared" si="18"/>
        <v>16475728</v>
      </c>
      <c r="M71" s="256">
        <f t="shared" si="18"/>
        <v>14493173.84</v>
      </c>
      <c r="N71" s="256">
        <f t="shared" si="18"/>
        <v>22443400</v>
      </c>
      <c r="O71" s="256">
        <f t="shared" si="18"/>
        <v>16657595</v>
      </c>
      <c r="P71" s="256">
        <f>SUM(C71:O71)</f>
        <v>150862209.84</v>
      </c>
      <c r="Q71" s="153"/>
      <c r="R71" s="137"/>
    </row>
    <row r="72" spans="1:18" ht="12.75">
      <c r="A72" s="2" t="s">
        <v>291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154"/>
      <c r="M72" s="154"/>
      <c r="N72" s="154"/>
      <c r="O72" s="154"/>
      <c r="P72" s="154"/>
      <c r="Q72" s="137"/>
      <c r="R72" s="137"/>
    </row>
    <row r="73" spans="1:16" ht="12.75">
      <c r="A73" s="30"/>
      <c r="B73" s="44"/>
      <c r="C73" s="35"/>
      <c r="D73" s="35"/>
      <c r="E73" s="35"/>
      <c r="F73" s="35"/>
      <c r="G73" s="35"/>
      <c r="H73" s="35"/>
      <c r="I73" s="44"/>
      <c r="J73" s="44"/>
      <c r="K73" s="44"/>
      <c r="L73" s="44"/>
      <c r="M73" s="44"/>
      <c r="N73" s="58"/>
      <c r="O73" s="58"/>
      <c r="P73" s="35"/>
    </row>
    <row r="74" spans="1:16" ht="15">
      <c r="A74" s="414" t="s">
        <v>19</v>
      </c>
      <c r="B74" s="44"/>
      <c r="C74" s="35"/>
      <c r="D74" s="35"/>
      <c r="E74" s="35"/>
      <c r="F74" s="35"/>
      <c r="G74" s="35"/>
      <c r="H74" s="35"/>
      <c r="I74" s="44"/>
      <c r="J74" s="44"/>
      <c r="K74" s="44"/>
      <c r="L74" s="44"/>
      <c r="M74" s="44"/>
      <c r="N74" s="58"/>
      <c r="O74" s="58"/>
      <c r="P74" s="35"/>
    </row>
    <row r="75" spans="1:16" ht="26.25">
      <c r="A75" s="414" t="s">
        <v>345</v>
      </c>
      <c r="B75" s="81" t="str">
        <f>B4</f>
        <v>Summary 
2001 to 2005*</v>
      </c>
      <c r="C75" s="25">
        <v>2001</v>
      </c>
      <c r="D75" s="25">
        <v>2002</v>
      </c>
      <c r="E75" s="25">
        <v>2003</v>
      </c>
      <c r="F75" s="25">
        <v>2004</v>
      </c>
      <c r="G75" s="25">
        <v>2005</v>
      </c>
      <c r="H75" s="25">
        <v>2006</v>
      </c>
      <c r="I75" s="25">
        <v>2007</v>
      </c>
      <c r="J75" s="25">
        <v>2008</v>
      </c>
      <c r="K75" s="25">
        <v>2009</v>
      </c>
      <c r="L75" s="25">
        <v>2010</v>
      </c>
      <c r="M75" s="25">
        <v>2011</v>
      </c>
      <c r="N75" s="210" t="str">
        <f>N4</f>
        <v>(18 month)1
2012-2013</v>
      </c>
      <c r="O75" s="210" t="str">
        <f>O4</f>
        <v>FY2014</v>
      </c>
      <c r="P75" s="25"/>
    </row>
    <row r="76" spans="1:16" ht="12.75">
      <c r="A76" s="1" t="s">
        <v>395</v>
      </c>
      <c r="B76" s="26" t="s">
        <v>8</v>
      </c>
      <c r="C76" s="26" t="s">
        <v>8</v>
      </c>
      <c r="D76" s="26" t="s">
        <v>8</v>
      </c>
      <c r="E76" s="26" t="s">
        <v>8</v>
      </c>
      <c r="F76" s="26" t="s">
        <v>8</v>
      </c>
      <c r="G76" s="26" t="s">
        <v>8</v>
      </c>
      <c r="H76" s="26" t="s">
        <v>8</v>
      </c>
      <c r="I76" s="26" t="s">
        <v>8</v>
      </c>
      <c r="J76" s="26" t="s">
        <v>8</v>
      </c>
      <c r="K76" s="26" t="s">
        <v>8</v>
      </c>
      <c r="L76" s="26" t="s">
        <v>8</v>
      </c>
      <c r="M76" s="26" t="s">
        <v>8</v>
      </c>
      <c r="N76" s="149" t="s">
        <v>8</v>
      </c>
      <c r="O76" s="149" t="s">
        <v>8</v>
      </c>
      <c r="P76" s="45"/>
    </row>
    <row r="77" spans="1:16" ht="12.75">
      <c r="A77" s="209" t="s">
        <v>67</v>
      </c>
      <c r="B77" s="252">
        <f aca="true" t="shared" si="19" ref="B77:B86">SUM(C77:G77)</f>
        <v>1521208</v>
      </c>
      <c r="C77" s="252">
        <f>RNC!C41</f>
        <v>131481</v>
      </c>
      <c r="D77" s="252">
        <f>RNC!D41</f>
        <v>504649</v>
      </c>
      <c r="E77" s="252">
        <f>RNC!E41</f>
        <v>440776</v>
      </c>
      <c r="F77" s="252">
        <f>RNC!F41</f>
        <v>79079</v>
      </c>
      <c r="G77" s="252">
        <f>RNC!G41</f>
        <v>365223</v>
      </c>
      <c r="H77" s="252">
        <f>RNC!H41</f>
        <v>347822</v>
      </c>
      <c r="I77" s="252">
        <f>RNC!I41</f>
        <v>165060</v>
      </c>
      <c r="J77" s="252">
        <f>RNC!J41</f>
        <v>223740</v>
      </c>
      <c r="K77" s="252">
        <f>RNC!K41</f>
        <v>92158</v>
      </c>
      <c r="L77" s="252">
        <f>RNC!L41</f>
        <v>77682</v>
      </c>
      <c r="M77" s="252">
        <f>RNC!M41</f>
        <v>41646</v>
      </c>
      <c r="N77" s="254">
        <f>RNC!N41</f>
        <v>295243</v>
      </c>
      <c r="O77" s="254">
        <f>RNC!O41</f>
        <v>183391</v>
      </c>
      <c r="P77" s="35"/>
    </row>
    <row r="78" spans="1:16" ht="12.75">
      <c r="A78" s="209" t="s">
        <v>158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4"/>
      <c r="O78" s="254">
        <f>'Home Perf'!I42</f>
        <v>3970</v>
      </c>
      <c r="P78" s="35"/>
    </row>
    <row r="79" spans="1:16" ht="12.75">
      <c r="A79" s="209" t="s">
        <v>74</v>
      </c>
      <c r="B79" s="252">
        <f t="shared" si="19"/>
        <v>7357979</v>
      </c>
      <c r="C79" s="252">
        <f>'C&amp;I'!C93</f>
        <v>937582</v>
      </c>
      <c r="D79" s="252">
        <f>'C&amp;I'!D93</f>
        <v>654800</v>
      </c>
      <c r="E79" s="252">
        <f>'C&amp;I'!E93</f>
        <v>2441633</v>
      </c>
      <c r="F79" s="252">
        <f>'C&amp;I'!F93</f>
        <v>1682736</v>
      </c>
      <c r="G79" s="252">
        <f>'C&amp;I'!G93</f>
        <v>1641228</v>
      </c>
      <c r="H79" s="252">
        <f>'C&amp;I'!H93</f>
        <v>674115</v>
      </c>
      <c r="I79" s="252">
        <f>'C&amp;I'!I93</f>
        <v>2563547</v>
      </c>
      <c r="J79" s="252">
        <f>'C&amp;I'!J93</f>
        <v>877194</v>
      </c>
      <c r="K79" s="252">
        <f>'C&amp;I'!K93</f>
        <v>1761322</v>
      </c>
      <c r="L79" s="252">
        <f>'C&amp;I'!L93</f>
        <v>1519290</v>
      </c>
      <c r="M79" s="252">
        <f>'C&amp;I'!M93</f>
        <v>2260079</v>
      </c>
      <c r="N79" s="254">
        <f>'C&amp;I'!N93</f>
        <v>1980992</v>
      </c>
      <c r="O79" s="254">
        <f>'C&amp;I'!O93</f>
        <v>2824777</v>
      </c>
      <c r="P79" s="35"/>
    </row>
    <row r="80" spans="1:16" ht="12.75">
      <c r="A80" s="182" t="s">
        <v>236</v>
      </c>
      <c r="B80" s="252">
        <f t="shared" si="19"/>
        <v>0</v>
      </c>
      <c r="C80" s="252"/>
      <c r="D80" s="252"/>
      <c r="E80" s="252"/>
      <c r="F80" s="252"/>
      <c r="G80" s="252"/>
      <c r="H80" s="252"/>
      <c r="I80" s="252"/>
      <c r="J80" s="252"/>
      <c r="K80" s="252"/>
      <c r="L80" s="252">
        <f>'P4P '!I70</f>
        <v>0</v>
      </c>
      <c r="M80" s="252">
        <f>'P4P '!J70</f>
        <v>847665</v>
      </c>
      <c r="N80" s="254">
        <f>'P4P '!K68</f>
        <v>793618</v>
      </c>
      <c r="O80" s="254">
        <f>'P4P '!L68</f>
        <v>427118</v>
      </c>
      <c r="P80" s="35"/>
    </row>
    <row r="81" spans="1:16" ht="12.75">
      <c r="A81" s="182" t="s">
        <v>341</v>
      </c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  <c r="N81" s="254">
        <f>'P4P '!K69</f>
        <v>0</v>
      </c>
      <c r="O81" s="254">
        <f>'P4P '!L69</f>
        <v>0</v>
      </c>
      <c r="P81" s="35"/>
    </row>
    <row r="82" spans="1:16" ht="12.75">
      <c r="A82" s="182" t="s">
        <v>237</v>
      </c>
      <c r="B82" s="252">
        <f t="shared" si="19"/>
        <v>0</v>
      </c>
      <c r="C82" s="252"/>
      <c r="D82" s="252"/>
      <c r="E82" s="252"/>
      <c r="F82" s="252"/>
      <c r="G82" s="252"/>
      <c r="H82" s="252"/>
      <c r="I82" s="252"/>
      <c r="J82" s="252"/>
      <c r="K82" s="252"/>
      <c r="L82" s="252">
        <f>'P4P NC'!B43</f>
        <v>0</v>
      </c>
      <c r="M82" s="252">
        <f>'P4P NC'!C43</f>
        <v>112356</v>
      </c>
      <c r="N82" s="254">
        <f>'P4P NC'!D43</f>
        <v>33006</v>
      </c>
      <c r="O82" s="254">
        <f>'P4P NC'!E43</f>
        <v>6425</v>
      </c>
      <c r="P82" s="35"/>
    </row>
    <row r="83" spans="1:16" ht="12.75">
      <c r="A83" s="182" t="s">
        <v>183</v>
      </c>
      <c r="B83" s="252">
        <f t="shared" si="19"/>
        <v>0</v>
      </c>
      <c r="C83" s="252"/>
      <c r="D83" s="252"/>
      <c r="E83" s="252"/>
      <c r="F83" s="252"/>
      <c r="G83" s="252"/>
      <c r="H83" s="252"/>
      <c r="I83" s="252"/>
      <c r="J83" s="252"/>
      <c r="K83" s="252"/>
      <c r="L83" s="252">
        <f>'Direct Install'!D39</f>
        <v>241683</v>
      </c>
      <c r="M83" s="252">
        <f>'Direct Install'!E39</f>
        <v>398064</v>
      </c>
      <c r="N83" s="254">
        <f>'Direct Install'!F39</f>
        <v>313871</v>
      </c>
      <c r="O83" s="254">
        <f>'Direct Install'!G39</f>
        <v>261178</v>
      </c>
      <c r="P83" s="35"/>
    </row>
    <row r="84" spans="1:16" ht="12.75">
      <c r="A84" s="182" t="s">
        <v>342</v>
      </c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4">
        <f>LEUP!C39</f>
        <v>296162</v>
      </c>
      <c r="O84" s="254">
        <f>LEUP!D39</f>
        <v>147246</v>
      </c>
      <c r="P84" s="35"/>
    </row>
    <row r="85" spans="1:16" ht="12.75">
      <c r="A85" s="227" t="s">
        <v>365</v>
      </c>
      <c r="B85" s="252">
        <f t="shared" si="19"/>
        <v>0</v>
      </c>
      <c r="C85" s="252"/>
      <c r="D85" s="252"/>
      <c r="E85" s="252"/>
      <c r="F85" s="252"/>
      <c r="G85" s="252"/>
      <c r="H85" s="252"/>
      <c r="I85" s="252"/>
      <c r="J85" s="252"/>
      <c r="K85" s="252">
        <f>'CHP-FuelCell_Lrg-Small'!K82</f>
        <v>4245</v>
      </c>
      <c r="L85" s="252">
        <f>'CHP-FuelCell_Lrg-Small'!L82</f>
        <v>0</v>
      </c>
      <c r="M85" s="252">
        <f>'CHP-FuelCell_Lrg-Small'!M82</f>
        <v>0</v>
      </c>
      <c r="N85" s="254">
        <f>'CHP-FuelCell_Lrg-Small'!N82</f>
        <v>0</v>
      </c>
      <c r="O85" s="254">
        <f>'CHP-FuelCell_Lrg-Small'!O82</f>
        <v>0</v>
      </c>
      <c r="P85" s="35"/>
    </row>
    <row r="86" spans="1:17" ht="12.75">
      <c r="A86" s="29" t="s">
        <v>90</v>
      </c>
      <c r="B86" s="265">
        <f t="shared" si="19"/>
        <v>8879187</v>
      </c>
      <c r="C86" s="265">
        <f>SUM(C77:C85)</f>
        <v>1069063</v>
      </c>
      <c r="D86" s="265">
        <f aca="true" t="shared" si="20" ref="D86:K86">SUM(D77:D85)</f>
        <v>1159449</v>
      </c>
      <c r="E86" s="265">
        <f t="shared" si="20"/>
        <v>2882409</v>
      </c>
      <c r="F86" s="265">
        <f t="shared" si="20"/>
        <v>1761815</v>
      </c>
      <c r="G86" s="265">
        <f t="shared" si="20"/>
        <v>2006451</v>
      </c>
      <c r="H86" s="265">
        <f t="shared" si="20"/>
        <v>1021937</v>
      </c>
      <c r="I86" s="265">
        <f t="shared" si="20"/>
        <v>2728607</v>
      </c>
      <c r="J86" s="265">
        <f t="shared" si="20"/>
        <v>1100934</v>
      </c>
      <c r="K86" s="265">
        <f t="shared" si="20"/>
        <v>1857725</v>
      </c>
      <c r="L86" s="265">
        <f>SUM(L77:L85)</f>
        <v>1838655</v>
      </c>
      <c r="M86" s="265">
        <f>SUM(M77:M85)</f>
        <v>3659810</v>
      </c>
      <c r="N86" s="256">
        <f>SUM(N77:N85)</f>
        <v>3712892</v>
      </c>
      <c r="O86" s="256">
        <f>SUM(O77:O85)</f>
        <v>3854105</v>
      </c>
      <c r="P86" s="60"/>
      <c r="Q86" s="23"/>
    </row>
    <row r="87" spans="1:17" ht="12.75">
      <c r="A87" s="34"/>
      <c r="B87" s="271"/>
      <c r="C87" s="272"/>
      <c r="D87" s="272"/>
      <c r="E87" s="272"/>
      <c r="F87" s="272"/>
      <c r="G87" s="272"/>
      <c r="H87" s="272"/>
      <c r="I87" s="271"/>
      <c r="J87" s="271"/>
      <c r="K87" s="271"/>
      <c r="L87" s="271"/>
      <c r="M87" s="271"/>
      <c r="N87" s="325"/>
      <c r="O87" s="325"/>
      <c r="P87" s="60"/>
      <c r="Q87" s="23"/>
    </row>
    <row r="88" spans="1:17" ht="12.75">
      <c r="A88" s="67" t="s">
        <v>166</v>
      </c>
      <c r="B88" s="271"/>
      <c r="C88" s="272"/>
      <c r="D88" s="272"/>
      <c r="E88" s="272"/>
      <c r="F88" s="272"/>
      <c r="G88" s="272"/>
      <c r="H88" s="272"/>
      <c r="I88" s="271"/>
      <c r="J88" s="271"/>
      <c r="K88" s="271"/>
      <c r="L88" s="271"/>
      <c r="M88" s="271"/>
      <c r="N88" s="325"/>
      <c r="O88" s="325"/>
      <c r="P88" s="60"/>
      <c r="Q88" s="23"/>
    </row>
    <row r="89" spans="1:17" ht="12.75">
      <c r="A89" s="182" t="s">
        <v>341</v>
      </c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4">
        <f>'P4P '!K80</f>
        <v>95419</v>
      </c>
      <c r="O89" s="254">
        <f>'P4P '!L80</f>
        <v>0</v>
      </c>
      <c r="P89" s="60"/>
      <c r="Q89" s="23"/>
    </row>
    <row r="90" spans="1:17" ht="12.75">
      <c r="A90" s="182" t="s">
        <v>50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4">
        <f>'CHP-FuelCell_Lrg-Small'!N93</f>
        <v>2568182</v>
      </c>
      <c r="O90" s="254">
        <f>'CHP-FuelCell_Lrg-Small'!O93</f>
        <v>440093</v>
      </c>
      <c r="P90" s="60"/>
      <c r="Q90" s="23"/>
    </row>
    <row r="91" spans="1:17" ht="12.75">
      <c r="A91" s="48" t="s">
        <v>1</v>
      </c>
      <c r="B91" s="265">
        <f>SUM(C91:G91)</f>
        <v>199875</v>
      </c>
      <c r="C91" s="265">
        <f>'CHP-FuelCell_Lrg-Small'!C93</f>
        <v>0</v>
      </c>
      <c r="D91" s="265">
        <f>'CHP-FuelCell_Lrg-Small'!D93</f>
        <v>0</v>
      </c>
      <c r="E91" s="265">
        <f>'CHP-FuelCell_Lrg-Small'!E93</f>
        <v>0</v>
      </c>
      <c r="F91" s="265">
        <f>'CHP-FuelCell_Lrg-Small'!F93</f>
        <v>0</v>
      </c>
      <c r="G91" s="265">
        <f>'CHP-FuelCell_Lrg-Small'!G93</f>
        <v>199875</v>
      </c>
      <c r="H91" s="265">
        <f>'CHP-FuelCell_Lrg-Small'!H93</f>
        <v>0</v>
      </c>
      <c r="I91" s="265">
        <f>'CHP-FuelCell_Lrg-Small'!I93</f>
        <v>1263019</v>
      </c>
      <c r="J91" s="265">
        <f>'CHP-FuelCell_Lrg-Small'!J93</f>
        <v>3705353</v>
      </c>
      <c r="K91" s="265">
        <f>'CHP-FuelCell_Lrg-Small'!K93</f>
        <v>1486741</v>
      </c>
      <c r="L91" s="265">
        <f>'CHP-FuelCell_Lrg-Small'!L93</f>
        <v>500620</v>
      </c>
      <c r="M91" s="265">
        <f>'CHP-FuelCell_Lrg-Small'!M93</f>
        <v>29465</v>
      </c>
      <c r="N91" s="256">
        <f>SUM(N89:N90)</f>
        <v>2663601</v>
      </c>
      <c r="O91" s="256">
        <f>SUM(O89:O90)</f>
        <v>440093</v>
      </c>
      <c r="P91" s="60"/>
      <c r="Q91" s="23"/>
    </row>
    <row r="92" spans="2:19" ht="12.75">
      <c r="B92" s="58"/>
      <c r="C92" s="140"/>
      <c r="D92" s="140"/>
      <c r="E92" s="140"/>
      <c r="F92" s="140"/>
      <c r="G92" s="140"/>
      <c r="H92" s="140"/>
      <c r="I92" s="58"/>
      <c r="J92" s="58"/>
      <c r="K92" s="58"/>
      <c r="L92" s="58"/>
      <c r="M92" s="58"/>
      <c r="N92" s="58"/>
      <c r="O92" s="58"/>
      <c r="P92" s="140"/>
      <c r="Q92" s="137"/>
      <c r="R92" s="137"/>
      <c r="S92" s="137"/>
    </row>
    <row r="93" spans="1:19" ht="12.75">
      <c r="A93" s="30" t="s">
        <v>92</v>
      </c>
      <c r="B93" s="149"/>
      <c r="C93" s="88"/>
      <c r="D93" s="88"/>
      <c r="E93" s="88"/>
      <c r="F93" s="88"/>
      <c r="G93" s="88"/>
      <c r="H93" s="88"/>
      <c r="I93" s="149"/>
      <c r="J93" s="149"/>
      <c r="K93" s="149"/>
      <c r="L93" s="149"/>
      <c r="M93" s="149"/>
      <c r="N93" s="149"/>
      <c r="O93" s="149"/>
      <c r="P93" s="88"/>
      <c r="Q93" s="137"/>
      <c r="R93" s="137"/>
      <c r="S93" s="137"/>
    </row>
    <row r="94" spans="1:19" ht="12.75">
      <c r="A94" s="227" t="s">
        <v>93</v>
      </c>
      <c r="B94" s="254">
        <f aca="true" t="shared" si="21" ref="B94:B99">SUM(C94:G94)</f>
        <v>1488376</v>
      </c>
      <c r="C94" s="254"/>
      <c r="D94" s="254"/>
      <c r="E94" s="254"/>
      <c r="F94" s="254"/>
      <c r="G94" s="254">
        <f>CORE!G40</f>
        <v>1488376</v>
      </c>
      <c r="H94" s="254">
        <f>CORE!H40</f>
        <v>706325</v>
      </c>
      <c r="I94" s="254">
        <f>CORE!I40</f>
        <v>515130</v>
      </c>
      <c r="J94" s="254">
        <f>CORE!J40</f>
        <v>1285248</v>
      </c>
      <c r="K94" s="254">
        <f>CORE!K40</f>
        <v>969030</v>
      </c>
      <c r="L94" s="254">
        <f>CORE!L40</f>
        <v>328695</v>
      </c>
      <c r="M94" s="254">
        <f>CORE!M40</f>
        <v>104779</v>
      </c>
      <c r="N94" s="254">
        <f>CORE!N40</f>
        <v>0</v>
      </c>
      <c r="O94" s="254">
        <f>CORE!O40</f>
        <v>0</v>
      </c>
      <c r="P94" s="140"/>
      <c r="Q94" s="137"/>
      <c r="R94" s="137"/>
      <c r="S94" s="137"/>
    </row>
    <row r="95" spans="1:19" ht="12.75">
      <c r="A95" s="227" t="s">
        <v>201</v>
      </c>
      <c r="B95" s="254">
        <f t="shared" si="21"/>
        <v>0</v>
      </c>
      <c r="C95" s="254"/>
      <c r="D95" s="254"/>
      <c r="E95" s="254"/>
      <c r="F95" s="254"/>
      <c r="G95" s="254"/>
      <c r="H95" s="254"/>
      <c r="I95" s="254"/>
      <c r="J95" s="254"/>
      <c r="K95" s="254">
        <f>REIP!B39</f>
        <v>508800</v>
      </c>
      <c r="L95" s="254">
        <f>REIP!C39</f>
        <v>665554</v>
      </c>
      <c r="M95" s="254">
        <f>REIP!D39</f>
        <v>140862</v>
      </c>
      <c r="N95" s="254">
        <f>REIP!E39</f>
        <v>496418</v>
      </c>
      <c r="O95" s="254">
        <f>REIP!F39</f>
        <v>497920</v>
      </c>
      <c r="P95" s="140"/>
      <c r="Q95" s="137"/>
      <c r="R95" s="137"/>
      <c r="S95" s="137"/>
    </row>
    <row r="96" spans="1:19" ht="12.75">
      <c r="A96" s="227" t="s">
        <v>334</v>
      </c>
      <c r="B96" s="254">
        <f t="shared" si="21"/>
        <v>0</v>
      </c>
      <c r="C96" s="254"/>
      <c r="D96" s="254"/>
      <c r="E96" s="254"/>
      <c r="F96" s="254"/>
      <c r="G96" s="254"/>
      <c r="H96" s="254"/>
      <c r="I96" s="254"/>
      <c r="J96" s="254"/>
      <c r="K96" s="254">
        <f>REC!D30</f>
        <v>1300036</v>
      </c>
      <c r="L96" s="254">
        <f>REC!E30</f>
        <v>4248971</v>
      </c>
      <c r="M96" s="254">
        <f>REC!F30</f>
        <v>13880410</v>
      </c>
      <c r="N96" s="254">
        <f>REC!G30</f>
        <v>13905460</v>
      </c>
      <c r="O96" s="254">
        <f>REC!H30</f>
        <v>8277080</v>
      </c>
      <c r="P96" s="140"/>
      <c r="Q96" s="137"/>
      <c r="R96" s="137"/>
      <c r="S96" s="137"/>
    </row>
    <row r="97" spans="1:19" ht="12.75">
      <c r="A97" s="182" t="s">
        <v>250</v>
      </c>
      <c r="B97" s="254">
        <f t="shared" si="21"/>
        <v>0</v>
      </c>
      <c r="C97" s="254"/>
      <c r="D97" s="254"/>
      <c r="E97" s="254"/>
      <c r="F97" s="254"/>
      <c r="G97" s="254"/>
      <c r="H97" s="254"/>
      <c r="I97" s="254"/>
      <c r="J97" s="254"/>
      <c r="K97" s="254">
        <f>'RE Grid Connected'!B29</f>
        <v>0</v>
      </c>
      <c r="L97" s="254">
        <f>'RE Grid Connected'!C29</f>
        <v>740720</v>
      </c>
      <c r="M97" s="254">
        <f>'RE Grid Connected'!D29</f>
        <v>528530</v>
      </c>
      <c r="N97" s="254">
        <f>'RE Grid Connected'!E29</f>
        <v>278480</v>
      </c>
      <c r="O97" s="254">
        <f>'RE Grid Connected'!F29</f>
        <v>0</v>
      </c>
      <c r="P97" s="140"/>
      <c r="Q97" s="137"/>
      <c r="R97" s="137"/>
      <c r="S97" s="137"/>
    </row>
    <row r="98" spans="1:19" ht="12.75">
      <c r="A98" s="227" t="s">
        <v>321</v>
      </c>
      <c r="B98" s="254">
        <f t="shared" si="21"/>
        <v>187740</v>
      </c>
      <c r="C98" s="254"/>
      <c r="D98" s="254"/>
      <c r="E98" s="254"/>
      <c r="F98" s="254"/>
      <c r="G98" s="254">
        <f>'RE Grants and Financing'!F36</f>
        <v>187740</v>
      </c>
      <c r="H98" s="254">
        <f>'RE Grants and Financing'!G52</f>
        <v>197965</v>
      </c>
      <c r="I98" s="254">
        <f>'RE Grants and Financing'!H52</f>
        <v>864240</v>
      </c>
      <c r="J98" s="254">
        <f>'RE Grants and Financing'!I52</f>
        <v>174240</v>
      </c>
      <c r="K98" s="318"/>
      <c r="L98" s="318"/>
      <c r="M98" s="318"/>
      <c r="N98" s="318"/>
      <c r="O98" s="318"/>
      <c r="P98" s="147"/>
      <c r="Q98" s="137"/>
      <c r="R98" s="137"/>
      <c r="S98" s="137"/>
    </row>
    <row r="99" spans="1:19" ht="12.75">
      <c r="A99" s="14" t="s">
        <v>1</v>
      </c>
      <c r="B99" s="256">
        <f t="shared" si="21"/>
        <v>1676116</v>
      </c>
      <c r="C99" s="256"/>
      <c r="D99" s="256"/>
      <c r="E99" s="256"/>
      <c r="F99" s="256"/>
      <c r="G99" s="256">
        <f aca="true" t="shared" si="22" ref="G99:L99">SUM(G94:G98)</f>
        <v>1676116</v>
      </c>
      <c r="H99" s="256">
        <f t="shared" si="22"/>
        <v>904290</v>
      </c>
      <c r="I99" s="256">
        <f t="shared" si="22"/>
        <v>1379370</v>
      </c>
      <c r="J99" s="256">
        <f t="shared" si="22"/>
        <v>1459488</v>
      </c>
      <c r="K99" s="256">
        <f t="shared" si="22"/>
        <v>2777866</v>
      </c>
      <c r="L99" s="256">
        <f t="shared" si="22"/>
        <v>5983940</v>
      </c>
      <c r="M99" s="256">
        <f>SUM(M94:M98)</f>
        <v>14654581</v>
      </c>
      <c r="N99" s="256">
        <f>SUM(N94:N98)</f>
        <v>14680358</v>
      </c>
      <c r="O99" s="256">
        <f>SUM(O94:O98)</f>
        <v>8775000</v>
      </c>
      <c r="P99" s="140"/>
      <c r="Q99" s="139"/>
      <c r="R99" s="137"/>
      <c r="S99" s="137"/>
    </row>
    <row r="100" spans="1:16" ht="12.75">
      <c r="A100" s="34"/>
      <c r="B100" s="44"/>
      <c r="C100" s="35"/>
      <c r="D100" s="35"/>
      <c r="E100" s="35"/>
      <c r="F100" s="35"/>
      <c r="G100" s="35"/>
      <c r="H100" s="35"/>
      <c r="I100" s="44"/>
      <c r="J100" s="44"/>
      <c r="K100" s="44"/>
      <c r="L100" s="44"/>
      <c r="M100" s="44"/>
      <c r="N100" s="58"/>
      <c r="O100" s="58"/>
      <c r="P100" s="35"/>
    </row>
    <row r="101" spans="1:16" ht="12.75">
      <c r="A101" s="1" t="s">
        <v>62</v>
      </c>
      <c r="B101" s="26" t="s">
        <v>11</v>
      </c>
      <c r="C101" s="26" t="s">
        <v>11</v>
      </c>
      <c r="D101" s="26" t="s">
        <v>11</v>
      </c>
      <c r="E101" s="26" t="s">
        <v>11</v>
      </c>
      <c r="F101" s="26" t="s">
        <v>11</v>
      </c>
      <c r="G101" s="26" t="s">
        <v>11</v>
      </c>
      <c r="H101" s="26" t="s">
        <v>11</v>
      </c>
      <c r="I101" s="26" t="s">
        <v>11</v>
      </c>
      <c r="J101" s="26" t="s">
        <v>11</v>
      </c>
      <c r="K101" s="26" t="s">
        <v>11</v>
      </c>
      <c r="L101" s="26" t="s">
        <v>11</v>
      </c>
      <c r="M101" s="26" t="s">
        <v>11</v>
      </c>
      <c r="N101" s="149" t="s">
        <v>11</v>
      </c>
      <c r="O101" s="149" t="s">
        <v>11</v>
      </c>
      <c r="P101" s="45"/>
    </row>
    <row r="102" spans="1:16" ht="12.75">
      <c r="A102" s="209" t="s">
        <v>67</v>
      </c>
      <c r="B102" s="252">
        <f aca="true" t="shared" si="23" ref="B102:B112">SUM(C102:G102)</f>
        <v>40311527</v>
      </c>
      <c r="C102" s="252">
        <f>RNC!C48</f>
        <v>2015046</v>
      </c>
      <c r="D102" s="252">
        <f>RNC!D48</f>
        <v>12337003</v>
      </c>
      <c r="E102" s="252">
        <f>RNC!E48</f>
        <v>12126506</v>
      </c>
      <c r="F102" s="252">
        <f>RNC!F48</f>
        <v>2824084</v>
      </c>
      <c r="G102" s="252">
        <f>RNC!G48</f>
        <v>11008888</v>
      </c>
      <c r="H102" s="252">
        <f>RNC!H48</f>
        <v>5939348</v>
      </c>
      <c r="I102" s="252">
        <f>RNC!I48</f>
        <v>3111900</v>
      </c>
      <c r="J102" s="252">
        <f>RNC!J48</f>
        <v>6254560</v>
      </c>
      <c r="K102" s="252">
        <f>RNC!K48</f>
        <v>4836980</v>
      </c>
      <c r="L102" s="252">
        <f>RNC!L48</f>
        <v>3817300</v>
      </c>
      <c r="M102" s="252">
        <f>RNC!M48</f>
        <v>1497520</v>
      </c>
      <c r="N102" s="254">
        <f>RNC!N48</f>
        <v>4495881</v>
      </c>
      <c r="O102" s="254">
        <f>RNC!O48</f>
        <v>1909789</v>
      </c>
      <c r="P102" s="62"/>
    </row>
    <row r="103" spans="1:16" ht="12.75">
      <c r="A103" s="209" t="s">
        <v>158</v>
      </c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  <c r="N103" s="254"/>
      <c r="O103" s="254">
        <f>'Home Perf'!I49</f>
        <v>103386</v>
      </c>
      <c r="P103" s="62"/>
    </row>
    <row r="104" spans="1:16" ht="12.75">
      <c r="A104" s="209" t="s">
        <v>74</v>
      </c>
      <c r="B104" s="252">
        <f t="shared" si="23"/>
        <v>5822680</v>
      </c>
      <c r="C104" s="252">
        <f>'C&amp;I'!C111</f>
        <v>0</v>
      </c>
      <c r="D104" s="252">
        <f>'C&amp;I'!D111</f>
        <v>477024</v>
      </c>
      <c r="E104" s="252">
        <f>'C&amp;I'!E111</f>
        <v>416360</v>
      </c>
      <c r="F104" s="252">
        <f>'C&amp;I'!F111</f>
        <v>2302770</v>
      </c>
      <c r="G104" s="252">
        <f>'C&amp;I'!G111</f>
        <v>2626526</v>
      </c>
      <c r="H104" s="252">
        <f>'C&amp;I'!H111</f>
        <v>893280</v>
      </c>
      <c r="I104" s="252">
        <f>'C&amp;I'!I111</f>
        <v>878576</v>
      </c>
      <c r="J104" s="252">
        <f>'C&amp;I'!J111</f>
        <v>1490894</v>
      </c>
      <c r="K104" s="252">
        <f>'C&amp;I'!K111</f>
        <v>4272952</v>
      </c>
      <c r="L104" s="252">
        <f>'C&amp;I'!L111</f>
        <v>1473683</v>
      </c>
      <c r="M104" s="252">
        <f>'C&amp;I'!M111</f>
        <v>4897510</v>
      </c>
      <c r="N104" s="254">
        <f>'C&amp;I'!N111</f>
        <v>1504326</v>
      </c>
      <c r="O104" s="254">
        <f>'C&amp;I'!O111</f>
        <v>2067557</v>
      </c>
      <c r="P104" s="62"/>
    </row>
    <row r="105" spans="1:19" ht="12.75">
      <c r="A105" s="182" t="s">
        <v>236</v>
      </c>
      <c r="B105" s="254">
        <f t="shared" si="23"/>
        <v>0</v>
      </c>
      <c r="C105" s="254"/>
      <c r="D105" s="254"/>
      <c r="E105" s="254"/>
      <c r="F105" s="254"/>
      <c r="G105" s="254"/>
      <c r="H105" s="254"/>
      <c r="I105" s="254"/>
      <c r="J105" s="254"/>
      <c r="K105" s="254"/>
      <c r="L105" s="254">
        <f>'P4P '!I94</f>
        <v>1738786</v>
      </c>
      <c r="M105" s="254">
        <f>'P4P '!J94</f>
        <v>4620736</v>
      </c>
      <c r="N105" s="254">
        <f>'P4P '!K92</f>
        <v>5426910</v>
      </c>
      <c r="O105" s="254">
        <f>'P4P '!L92</f>
        <v>3336062</v>
      </c>
      <c r="P105" s="98"/>
      <c r="Q105" s="137"/>
      <c r="R105" s="137"/>
      <c r="S105" s="137"/>
    </row>
    <row r="106" spans="1:19" ht="12.75">
      <c r="A106" s="182" t="s">
        <v>341</v>
      </c>
      <c r="B106" s="254"/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>
        <f>'P4P '!K93</f>
        <v>423816</v>
      </c>
      <c r="O106" s="254">
        <f>'P4P '!L93</f>
        <v>0</v>
      </c>
      <c r="P106" s="98"/>
      <c r="Q106" s="137"/>
      <c r="R106" s="137"/>
      <c r="S106" s="137"/>
    </row>
    <row r="107" spans="1:19" ht="12.75">
      <c r="A107" s="182" t="s">
        <v>237</v>
      </c>
      <c r="B107" s="254">
        <f t="shared" si="23"/>
        <v>0</v>
      </c>
      <c r="C107" s="254"/>
      <c r="D107" s="254"/>
      <c r="E107" s="254"/>
      <c r="F107" s="254"/>
      <c r="G107" s="254"/>
      <c r="H107" s="254"/>
      <c r="I107" s="254"/>
      <c r="J107" s="254"/>
      <c r="K107" s="254"/>
      <c r="L107" s="254">
        <f>'P4P NC'!B51</f>
        <v>0</v>
      </c>
      <c r="M107" s="254">
        <f>'P4P NC'!C51</f>
        <v>223315</v>
      </c>
      <c r="N107" s="254">
        <f>'P4P NC'!D51</f>
        <v>254619</v>
      </c>
      <c r="O107" s="254">
        <f>'P4P NC'!E51</f>
        <v>1631</v>
      </c>
      <c r="P107" s="98"/>
      <c r="Q107" s="137"/>
      <c r="R107" s="137"/>
      <c r="S107" s="137"/>
    </row>
    <row r="108" spans="1:19" ht="12.75">
      <c r="A108" s="182" t="s">
        <v>183</v>
      </c>
      <c r="B108" s="254">
        <f t="shared" si="23"/>
        <v>0</v>
      </c>
      <c r="C108" s="254"/>
      <c r="D108" s="254"/>
      <c r="E108" s="254"/>
      <c r="F108" s="254"/>
      <c r="G108" s="254"/>
      <c r="H108" s="254"/>
      <c r="I108" s="254"/>
      <c r="J108" s="254"/>
      <c r="K108" s="254"/>
      <c r="L108" s="254">
        <f>'Direct Install'!D46</f>
        <v>76641</v>
      </c>
      <c r="M108" s="254">
        <f>'Direct Install'!E46</f>
        <v>970820</v>
      </c>
      <c r="N108" s="254">
        <f>'Direct Install'!F46</f>
        <v>1068728</v>
      </c>
      <c r="O108" s="254">
        <f>'Direct Install'!G46</f>
        <v>811628</v>
      </c>
      <c r="P108" s="98"/>
      <c r="Q108" s="137"/>
      <c r="R108" s="137"/>
      <c r="S108" s="137"/>
    </row>
    <row r="109" spans="1:19" ht="12.75">
      <c r="A109" s="182" t="s">
        <v>342</v>
      </c>
      <c r="B109" s="254"/>
      <c r="C109" s="254"/>
      <c r="D109" s="254"/>
      <c r="E109" s="254"/>
      <c r="F109" s="254"/>
      <c r="G109" s="254"/>
      <c r="H109" s="254"/>
      <c r="I109" s="254"/>
      <c r="J109" s="254"/>
      <c r="K109" s="254"/>
      <c r="L109" s="254"/>
      <c r="M109" s="254"/>
      <c r="N109" s="254">
        <f>LEUP!C46</f>
        <v>1920420</v>
      </c>
      <c r="O109" s="254">
        <f>LEUP!D46</f>
        <v>490811</v>
      </c>
      <c r="P109" s="98"/>
      <c r="Q109" s="137"/>
      <c r="R109" s="137"/>
      <c r="S109" s="137"/>
    </row>
    <row r="110" spans="1:19" ht="12.75">
      <c r="A110" s="29" t="s">
        <v>405</v>
      </c>
      <c r="B110" s="273">
        <f t="shared" si="23"/>
        <v>46134207</v>
      </c>
      <c r="C110" s="273">
        <f>SUM(C102:C108)</f>
        <v>2015046</v>
      </c>
      <c r="D110" s="273">
        <f>SUM(D102:D108)</f>
        <v>12814027</v>
      </c>
      <c r="E110" s="273">
        <f>SUM(E102:E108)</f>
        <v>12542866</v>
      </c>
      <c r="F110" s="273">
        <f>SUM(F102:F108)</f>
        <v>5126854</v>
      </c>
      <c r="G110" s="273">
        <f>SUM(G102:G108)</f>
        <v>13635414</v>
      </c>
      <c r="H110" s="273">
        <f aca="true" t="shared" si="24" ref="H110:N110">SUM(H102:H109)</f>
        <v>6832628</v>
      </c>
      <c r="I110" s="273">
        <f t="shared" si="24"/>
        <v>3990476</v>
      </c>
      <c r="J110" s="273">
        <f t="shared" si="24"/>
        <v>7745454</v>
      </c>
      <c r="K110" s="273">
        <f t="shared" si="24"/>
        <v>9109932</v>
      </c>
      <c r="L110" s="273">
        <f t="shared" si="24"/>
        <v>7106410</v>
      </c>
      <c r="M110" s="273">
        <f t="shared" si="24"/>
        <v>12209901</v>
      </c>
      <c r="N110" s="273">
        <f t="shared" si="24"/>
        <v>15094700</v>
      </c>
      <c r="O110" s="273">
        <f>SUM(O102:O109)</f>
        <v>8720864</v>
      </c>
      <c r="P110" s="155"/>
      <c r="Q110" s="139"/>
      <c r="R110" s="137"/>
      <c r="S110" s="137"/>
    </row>
    <row r="111" spans="1:19" ht="12.75">
      <c r="A111" s="182" t="s">
        <v>365</v>
      </c>
      <c r="B111" s="254">
        <f>SUM(C111:G111)</f>
        <v>0</v>
      </c>
      <c r="C111" s="254"/>
      <c r="D111" s="254"/>
      <c r="E111" s="254"/>
      <c r="F111" s="254"/>
      <c r="G111" s="254"/>
      <c r="H111" s="254"/>
      <c r="I111" s="254">
        <f>'CHP-FuelCell_Lrg-Small'!I109</f>
        <v>7246151</v>
      </c>
      <c r="J111" s="254">
        <f>'CHP-FuelCell_Lrg-Small'!J109</f>
        <v>14391686</v>
      </c>
      <c r="K111" s="254">
        <f>'CHP-FuelCell_Lrg-Small'!K109</f>
        <v>11549352</v>
      </c>
      <c r="L111" s="254">
        <f>'CHP-FuelCell_Lrg-Small'!L109</f>
        <v>2825028</v>
      </c>
      <c r="M111" s="254">
        <f>'CHP-FuelCell_Lrg-Small'!M109</f>
        <v>62424</v>
      </c>
      <c r="N111" s="254">
        <f>'CHP-FuelCell_Lrg-Small'!N109</f>
        <v>14179660</v>
      </c>
      <c r="O111" s="254">
        <f>'CHP-FuelCell_Lrg-Small'!O109</f>
        <v>1298191</v>
      </c>
      <c r="P111" s="98"/>
      <c r="Q111" s="139"/>
      <c r="R111" s="137"/>
      <c r="S111" s="137"/>
    </row>
    <row r="112" spans="1:19" ht="12.75">
      <c r="A112" s="29" t="s">
        <v>412</v>
      </c>
      <c r="B112" s="256">
        <f t="shared" si="23"/>
        <v>46134207</v>
      </c>
      <c r="C112" s="256">
        <f aca="true" t="shared" si="25" ref="C112:O112">C111+C110</f>
        <v>2015046</v>
      </c>
      <c r="D112" s="256">
        <f t="shared" si="25"/>
        <v>12814027</v>
      </c>
      <c r="E112" s="256">
        <f t="shared" si="25"/>
        <v>12542866</v>
      </c>
      <c r="F112" s="256">
        <f t="shared" si="25"/>
        <v>5126854</v>
      </c>
      <c r="G112" s="256">
        <f t="shared" si="25"/>
        <v>13635414</v>
      </c>
      <c r="H112" s="256">
        <f t="shared" si="25"/>
        <v>6832628</v>
      </c>
      <c r="I112" s="256">
        <f t="shared" si="25"/>
        <v>11236627</v>
      </c>
      <c r="J112" s="256">
        <f t="shared" si="25"/>
        <v>22137140</v>
      </c>
      <c r="K112" s="256">
        <f t="shared" si="25"/>
        <v>20659284</v>
      </c>
      <c r="L112" s="256">
        <f t="shared" si="25"/>
        <v>9931438</v>
      </c>
      <c r="M112" s="256">
        <f t="shared" si="25"/>
        <v>12272325</v>
      </c>
      <c r="N112" s="256">
        <f t="shared" si="25"/>
        <v>29274360</v>
      </c>
      <c r="O112" s="256">
        <f t="shared" si="25"/>
        <v>10019055</v>
      </c>
      <c r="P112" s="98"/>
      <c r="Q112" s="139"/>
      <c r="R112" s="137"/>
      <c r="S112" s="137"/>
    </row>
    <row r="113" spans="1:19" ht="12.75">
      <c r="A113" s="2" t="s">
        <v>291</v>
      </c>
      <c r="C113" s="137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P113" s="74"/>
      <c r="Q113" s="137"/>
      <c r="R113" s="137"/>
      <c r="S113" s="137"/>
    </row>
    <row r="114" spans="1:19" ht="12.75">
      <c r="A114" s="361" t="s">
        <v>352</v>
      </c>
      <c r="C114" s="137"/>
      <c r="D114" s="137"/>
      <c r="E114" s="137"/>
      <c r="F114" s="137"/>
      <c r="G114" s="137"/>
      <c r="H114" s="137"/>
      <c r="I114" s="137"/>
      <c r="J114" s="137"/>
      <c r="K114" s="137"/>
      <c r="L114" s="137"/>
      <c r="M114" s="137"/>
      <c r="P114" s="137"/>
      <c r="Q114" s="137"/>
      <c r="R114" s="137"/>
      <c r="S114" s="137"/>
    </row>
  </sheetData>
  <sheetProtection/>
  <mergeCells count="2">
    <mergeCell ref="A2:P2"/>
    <mergeCell ref="A1:P1"/>
  </mergeCells>
  <printOptions/>
  <pageMargins left="0.17" right="0.17" top="0.4" bottom="0.6" header="0.247" footer="0.24"/>
  <pageSetup horizontalDpi="600" verticalDpi="600" orientation="landscape" scale="80" r:id="rId1"/>
  <headerFooter scaleWithDoc="0" alignWithMargins="0">
    <oddFooter>&amp;L&amp;6&amp;A - Results by Program Year&amp;R&amp;6printed &amp;D at &amp;T</oddFooter>
  </headerFooter>
  <rowBreaks count="2" manualBreakCount="2">
    <brk id="48" max="15" man="1"/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59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5.7109375" style="0" customWidth="1"/>
    <col min="2" max="2" width="12.57421875" style="0" bestFit="1" customWidth="1"/>
    <col min="3" max="7" width="9.7109375" style="0" hidden="1" customWidth="1"/>
    <col min="8" max="15" width="9.7109375" style="0" customWidth="1"/>
    <col min="16" max="16" width="16.28125" style="0" bestFit="1" customWidth="1"/>
    <col min="17" max="17" width="12.00390625" style="0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245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ht="15">
      <c r="A3" s="414" t="s">
        <v>402</v>
      </c>
    </row>
    <row r="4" spans="1:2" ht="15">
      <c r="A4" s="414"/>
      <c r="B4" s="111"/>
    </row>
    <row r="5" spans="1:2" ht="15">
      <c r="A5" s="414" t="s">
        <v>344</v>
      </c>
      <c r="B5" s="111"/>
    </row>
    <row r="6" spans="1:17" ht="25.5">
      <c r="A6" s="1" t="s">
        <v>169</v>
      </c>
      <c r="B6" s="81" t="s">
        <v>289</v>
      </c>
      <c r="C6" s="25">
        <v>2001</v>
      </c>
      <c r="D6" s="25">
        <v>2002</v>
      </c>
      <c r="E6" s="25">
        <v>2003</v>
      </c>
      <c r="F6" s="25">
        <v>2004</v>
      </c>
      <c r="G6" s="25">
        <v>2005</v>
      </c>
      <c r="H6" s="25">
        <v>2006</v>
      </c>
      <c r="I6" s="25">
        <v>2007</v>
      </c>
      <c r="J6" s="25">
        <v>2008</v>
      </c>
      <c r="K6" s="25">
        <v>2009</v>
      </c>
      <c r="L6" s="25">
        <v>2010</v>
      </c>
      <c r="M6" s="25">
        <v>2011</v>
      </c>
      <c r="N6" s="127" t="s">
        <v>347</v>
      </c>
      <c r="O6" s="127" t="s">
        <v>353</v>
      </c>
      <c r="P6" s="81" t="str">
        <f>"Total "&amp;CHAR(10)&amp;C6&amp;" ~ "&amp;O6</f>
        <v>Total 
2001 ~ FY2014</v>
      </c>
      <c r="Q6" s="81"/>
    </row>
    <row r="7" spans="1:16" ht="12.75">
      <c r="A7" s="209" t="s">
        <v>66</v>
      </c>
      <c r="B7" s="252">
        <f>SUM(C7:G7)</f>
        <v>129021</v>
      </c>
      <c r="C7" s="252">
        <f>'Res HVAC'!C20</f>
        <v>23388</v>
      </c>
      <c r="D7" s="252">
        <f>'Res HVAC'!D20</f>
        <v>26992</v>
      </c>
      <c r="E7" s="252">
        <f>'Res HVAC'!E20</f>
        <v>24786</v>
      </c>
      <c r="F7" s="252">
        <f>'Res HVAC'!F20</f>
        <v>26345</v>
      </c>
      <c r="G7" s="252">
        <f>'Res HVAC'!G20</f>
        <v>27510</v>
      </c>
      <c r="H7" s="252">
        <f>'Res HVAC'!H20</f>
        <v>26379</v>
      </c>
      <c r="I7" s="252">
        <v>25740</v>
      </c>
      <c r="J7" s="252">
        <f>'Res HVAC'!J20</f>
        <v>24066</v>
      </c>
      <c r="K7" s="252">
        <f>'Res HVAC'!K20</f>
        <v>21282</v>
      </c>
      <c r="L7" s="252">
        <f>'Res HVAC'!L20</f>
        <v>31287</v>
      </c>
      <c r="M7" s="252">
        <f>'Res HVAC'!M20</f>
        <v>39960</v>
      </c>
      <c r="N7" s="252">
        <f>'Res HVAC'!N20</f>
        <v>40007</v>
      </c>
      <c r="O7" s="252">
        <f>'Res HVAC'!O20</f>
        <v>20619</v>
      </c>
      <c r="P7" s="252">
        <f>SUM(C7:O7)</f>
        <v>358361</v>
      </c>
    </row>
    <row r="8" spans="1:16" ht="12.75">
      <c r="A8" s="209" t="s">
        <v>67</v>
      </c>
      <c r="B8" s="252">
        <f aca="true" t="shared" si="0" ref="B8:B28">SUM(C8:G8)</f>
        <v>20800</v>
      </c>
      <c r="C8" s="252">
        <f>RNC!C16</f>
        <v>0</v>
      </c>
      <c r="D8" s="252">
        <f>RNC!D16</f>
        <v>1881</v>
      </c>
      <c r="E8" s="252">
        <f>RNC!E16</f>
        <v>4936</v>
      </c>
      <c r="F8" s="252">
        <f>RNC!F16</f>
        <v>5974</v>
      </c>
      <c r="G8" s="252">
        <f>RNC!G16</f>
        <v>8009</v>
      </c>
      <c r="H8" s="252">
        <f>RNC!H16</f>
        <v>5509</v>
      </c>
      <c r="I8" s="252">
        <f>RNC!I16</f>
        <v>6180</v>
      </c>
      <c r="J8" s="252">
        <f>RNC!J16</f>
        <v>4012</v>
      </c>
      <c r="K8" s="252">
        <f>RNC!K16</f>
        <v>3236</v>
      </c>
      <c r="L8" s="252">
        <f>RNC!L16</f>
        <v>4437</v>
      </c>
      <c r="M8" s="252">
        <f>RNC!M16</f>
        <v>3905</v>
      </c>
      <c r="N8" s="252">
        <f>RNC!N16</f>
        <v>4881</v>
      </c>
      <c r="O8" s="252">
        <f>RNC!O16</f>
        <v>3024</v>
      </c>
      <c r="P8" s="252">
        <f>SUM(C8:O8)</f>
        <v>55984</v>
      </c>
    </row>
    <row r="9" spans="1:16" ht="12.75">
      <c r="A9" s="209" t="s">
        <v>68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312"/>
    </row>
    <row r="10" spans="1:16" ht="12.75">
      <c r="A10" s="209" t="s">
        <v>69</v>
      </c>
      <c r="B10" s="252">
        <f t="shared" si="0"/>
        <v>64515</v>
      </c>
      <c r="C10" s="252">
        <f>'Energy Star'!C34</f>
        <v>0</v>
      </c>
      <c r="D10" s="252">
        <f>'Energy Star'!D34</f>
        <v>0</v>
      </c>
      <c r="E10" s="252">
        <f>'Energy Star'!E34</f>
        <v>25387</v>
      </c>
      <c r="F10" s="252">
        <f>'Energy Star'!F34</f>
        <v>24420</v>
      </c>
      <c r="G10" s="252">
        <f>'Energy Star'!G34</f>
        <v>14708</v>
      </c>
      <c r="H10" s="252">
        <f>'Energy Star'!H34</f>
        <v>9607</v>
      </c>
      <c r="I10" s="252">
        <f>'Energy Star'!I34</f>
        <v>13602</v>
      </c>
      <c r="J10" s="252">
        <f>'Energy Star'!J34</f>
        <v>13691</v>
      </c>
      <c r="K10" s="252">
        <f>'Energy Star'!K34</f>
        <v>7528</v>
      </c>
      <c r="L10" s="252">
        <f>'Energy Star'!L34</f>
        <v>11322</v>
      </c>
      <c r="M10" s="318"/>
      <c r="N10" s="318"/>
      <c r="O10" s="318"/>
      <c r="P10" s="252">
        <f aca="true" t="shared" si="1" ref="P10:P28">SUM(C10:O10)</f>
        <v>120265</v>
      </c>
    </row>
    <row r="11" spans="1:16" ht="12.75">
      <c r="A11" s="209" t="s">
        <v>71</v>
      </c>
      <c r="B11" s="252">
        <f t="shared" si="0"/>
        <v>70281</v>
      </c>
      <c r="C11" s="252">
        <f>'Energy Star'!C37</f>
        <v>7223</v>
      </c>
      <c r="D11" s="252">
        <f>'Energy Star'!D37</f>
        <v>14678</v>
      </c>
      <c r="E11" s="252">
        <f>'Energy Star'!E37</f>
        <v>8762</v>
      </c>
      <c r="F11" s="252">
        <f>'Energy Star'!F37</f>
        <v>11748</v>
      </c>
      <c r="G11" s="252">
        <f>'Energy Star'!G37</f>
        <v>27870</v>
      </c>
      <c r="H11" s="252">
        <f>'Energy Star'!H37</f>
        <v>19979</v>
      </c>
      <c r="I11" s="252">
        <f>'Energy Star'!I37</f>
        <v>7576</v>
      </c>
      <c r="J11" s="252">
        <f>'Energy Star'!J37</f>
        <v>13464</v>
      </c>
      <c r="K11" s="252">
        <f>'Energy Star'!K37</f>
        <v>5836</v>
      </c>
      <c r="L11" s="318"/>
      <c r="M11" s="318"/>
      <c r="N11" s="318"/>
      <c r="O11" s="318"/>
      <c r="P11" s="252">
        <f t="shared" si="1"/>
        <v>117136</v>
      </c>
    </row>
    <row r="12" spans="1:16" ht="12.75">
      <c r="A12" s="209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>
        <f>'Energy Star'!I35</f>
        <v>1833</v>
      </c>
      <c r="J12" s="252">
        <f>'Energy Star'!J35</f>
        <v>22761</v>
      </c>
      <c r="K12" s="252">
        <f>'Energy Star'!K35</f>
        <v>25424</v>
      </c>
      <c r="L12" s="252">
        <f>'Energy Star'!L35</f>
        <v>28919</v>
      </c>
      <c r="M12" s="252">
        <f>'Energy Star'!M35</f>
        <v>32202</v>
      </c>
      <c r="N12" s="252">
        <f>'Energy Star'!N35</f>
        <v>27518</v>
      </c>
      <c r="O12" s="252">
        <f>'Energy Star'!O35</f>
        <v>24127</v>
      </c>
      <c r="P12" s="252">
        <f t="shared" si="1"/>
        <v>162784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Star'!J38</f>
        <v>5380</v>
      </c>
      <c r="K13" s="252">
        <f>'Energy Star'!K38</f>
        <v>8017</v>
      </c>
      <c r="L13" s="252">
        <f>'Energy Star'!L38</f>
        <v>5833</v>
      </c>
      <c r="M13" s="318"/>
      <c r="N13" s="318"/>
      <c r="O13" s="318"/>
      <c r="P13" s="252">
        <f t="shared" si="1"/>
        <v>19230</v>
      </c>
    </row>
    <row r="14" spans="1:16" ht="12.75">
      <c r="A14" s="19" t="s">
        <v>393</v>
      </c>
      <c r="B14" s="252">
        <f>SUM(C14:G14)</f>
        <v>0</v>
      </c>
      <c r="C14" s="252"/>
      <c r="D14" s="252"/>
      <c r="E14" s="252"/>
      <c r="F14" s="252"/>
      <c r="G14" s="252"/>
      <c r="H14" s="318"/>
      <c r="I14" s="318"/>
      <c r="J14" s="318"/>
      <c r="K14" s="318"/>
      <c r="L14" s="318"/>
      <c r="M14" s="318"/>
      <c r="N14" s="318"/>
      <c r="O14" s="254">
        <f>'Energy Star'!O39</f>
        <v>5447</v>
      </c>
      <c r="P14" s="252">
        <f>SUM(C14:O14)</f>
        <v>5447</v>
      </c>
    </row>
    <row r="15" spans="1:16" ht="12.75">
      <c r="A15" s="182" t="s">
        <v>198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>
        <f>'Energy Star'!L40</f>
        <v>16275</v>
      </c>
      <c r="M15" s="252">
        <f>'Energy Star'!M40</f>
        <v>15769</v>
      </c>
      <c r="N15" s="252">
        <f>'Energy Star'!N40</f>
        <v>18579</v>
      </c>
      <c r="O15" s="252">
        <f>'Energy Star'!O40</f>
        <v>10871</v>
      </c>
      <c r="P15" s="252">
        <f t="shared" si="1"/>
        <v>61494</v>
      </c>
    </row>
    <row r="16" spans="1:16" ht="12.75">
      <c r="A16" s="182" t="s">
        <v>252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>
        <f>'Energy Star'!L41</f>
        <v>42942</v>
      </c>
      <c r="M16" s="252">
        <f>'Energy Star'!M41</f>
        <v>93930</v>
      </c>
      <c r="N16" s="252">
        <f>'Energy Star'!N41</f>
        <v>85977</v>
      </c>
      <c r="O16" s="252">
        <f>'Energy Star'!O41</f>
        <v>32000</v>
      </c>
      <c r="P16" s="252">
        <f t="shared" si="1"/>
        <v>254849</v>
      </c>
    </row>
    <row r="17" spans="1:16" ht="12.75">
      <c r="A17" s="209" t="s">
        <v>158</v>
      </c>
      <c r="B17" s="252">
        <f t="shared" si="0"/>
        <v>0</v>
      </c>
      <c r="C17" s="252"/>
      <c r="D17" s="252"/>
      <c r="E17" s="252"/>
      <c r="F17" s="252"/>
      <c r="G17" s="252"/>
      <c r="H17" s="252">
        <f>'Home Perf'!B21</f>
        <v>3</v>
      </c>
      <c r="I17" s="252">
        <f>'Home Perf'!C21</f>
        <v>20</v>
      </c>
      <c r="J17" s="252">
        <f>'Home Perf'!D21</f>
        <v>163</v>
      </c>
      <c r="K17" s="252">
        <f>'Home Perf'!E21</f>
        <v>3310</v>
      </c>
      <c r="L17" s="252">
        <f>'Home Perf'!F21</f>
        <v>3245</v>
      </c>
      <c r="M17" s="252">
        <f>'Home Perf'!G21</f>
        <v>2584</v>
      </c>
      <c r="N17" s="252">
        <f>'Home Perf'!H21</f>
        <v>5772</v>
      </c>
      <c r="O17" s="252">
        <f>'Home Perf'!I21</f>
        <v>5302</v>
      </c>
      <c r="P17" s="252">
        <f t="shared" si="1"/>
        <v>20399</v>
      </c>
    </row>
    <row r="18" spans="1:16" ht="12.75">
      <c r="A18" s="209" t="s">
        <v>72</v>
      </c>
      <c r="B18" s="252">
        <f t="shared" si="0"/>
        <v>31555</v>
      </c>
      <c r="C18" s="252">
        <f>'Low-income'!C26</f>
        <v>5848</v>
      </c>
      <c r="D18" s="252">
        <f>'Low-income'!D26</f>
        <v>5937</v>
      </c>
      <c r="E18" s="252">
        <f>'Low-income'!E26</f>
        <v>6661</v>
      </c>
      <c r="F18" s="252">
        <f>'Low-income'!F26</f>
        <v>6706</v>
      </c>
      <c r="G18" s="252">
        <f>'Low-income'!G26</f>
        <v>6403</v>
      </c>
      <c r="H18" s="252">
        <f>'Low-income'!H26</f>
        <v>8552</v>
      </c>
      <c r="I18" s="252">
        <f>'Low-income'!I26</f>
        <v>8484</v>
      </c>
      <c r="J18" s="252">
        <f>'Low-income'!J26</f>
        <v>7239</v>
      </c>
      <c r="K18" s="252">
        <f>'Low-income'!K26</f>
        <v>7779</v>
      </c>
      <c r="L18" s="252">
        <f>'Low-income'!L26</f>
        <v>6814</v>
      </c>
      <c r="M18" s="252">
        <f>'Low-income'!M26</f>
        <v>7054</v>
      </c>
      <c r="N18" s="252">
        <f>'Low-income'!N26</f>
        <v>11760</v>
      </c>
      <c r="O18" s="252">
        <f>'Low-income'!O26</f>
        <v>6054</v>
      </c>
      <c r="P18" s="252">
        <f t="shared" si="1"/>
        <v>95291</v>
      </c>
    </row>
    <row r="19" spans="1:16" ht="12.75">
      <c r="A19" s="209" t="s">
        <v>142</v>
      </c>
      <c r="B19" s="252">
        <f t="shared" si="0"/>
        <v>0</v>
      </c>
      <c r="C19" s="252"/>
      <c r="D19" s="252"/>
      <c r="E19" s="252"/>
      <c r="F19" s="252"/>
      <c r="G19" s="252"/>
      <c r="H19" s="252"/>
      <c r="I19" s="252">
        <v>15917</v>
      </c>
      <c r="J19" s="318"/>
      <c r="K19" s="318"/>
      <c r="L19" s="318"/>
      <c r="M19" s="318"/>
      <c r="N19" s="318"/>
      <c r="O19" s="318"/>
      <c r="P19" s="252">
        <f t="shared" si="1"/>
        <v>15917</v>
      </c>
    </row>
    <row r="20" spans="1:18" ht="12.75">
      <c r="A20" s="29" t="s">
        <v>73</v>
      </c>
      <c r="B20" s="256">
        <f t="shared" si="0"/>
        <v>316172</v>
      </c>
      <c r="C20" s="256">
        <f aca="true" t="shared" si="2" ref="C20:L20">SUM(C7:C19)</f>
        <v>36459</v>
      </c>
      <c r="D20" s="256">
        <f t="shared" si="2"/>
        <v>49488</v>
      </c>
      <c r="E20" s="256">
        <f t="shared" si="2"/>
        <v>70532</v>
      </c>
      <c r="F20" s="256">
        <f t="shared" si="2"/>
        <v>75193</v>
      </c>
      <c r="G20" s="256">
        <f t="shared" si="2"/>
        <v>84500</v>
      </c>
      <c r="H20" s="256">
        <f t="shared" si="2"/>
        <v>70029</v>
      </c>
      <c r="I20" s="256">
        <f t="shared" si="2"/>
        <v>79352</v>
      </c>
      <c r="J20" s="256">
        <f t="shared" si="2"/>
        <v>90776</v>
      </c>
      <c r="K20" s="256">
        <f t="shared" si="2"/>
        <v>82412</v>
      </c>
      <c r="L20" s="256">
        <f t="shared" si="2"/>
        <v>151074</v>
      </c>
      <c r="M20" s="256">
        <f>SUM(M7:M19)</f>
        <v>195404</v>
      </c>
      <c r="N20" s="256">
        <f>SUM(N7:N19)</f>
        <v>194494</v>
      </c>
      <c r="O20" s="256">
        <f>SUM(O7:O19)</f>
        <v>107444</v>
      </c>
      <c r="P20" s="256">
        <f t="shared" si="1"/>
        <v>1287157</v>
      </c>
      <c r="Q20" s="153"/>
      <c r="R20" s="137"/>
    </row>
    <row r="21" spans="1:18" ht="12.75">
      <c r="A21" s="209" t="s">
        <v>216</v>
      </c>
      <c r="B21" s="255">
        <f t="shared" si="0"/>
        <v>21392</v>
      </c>
      <c r="C21" s="253">
        <f>'C&amp;I'!C37</f>
        <v>1650</v>
      </c>
      <c r="D21" s="253">
        <f>'C&amp;I'!D37</f>
        <v>9163</v>
      </c>
      <c r="E21" s="253">
        <f>'C&amp;I'!E37</f>
        <v>4209</v>
      </c>
      <c r="F21" s="253">
        <f>'C&amp;I'!F37</f>
        <v>3983</v>
      </c>
      <c r="G21" s="255">
        <f>'C&amp;I'!G37</f>
        <v>2387</v>
      </c>
      <c r="H21" s="255">
        <f>'C&amp;I'!H37</f>
        <v>2094</v>
      </c>
      <c r="I21" s="255">
        <f>'C&amp;I'!I37</f>
        <v>1297</v>
      </c>
      <c r="J21" s="255">
        <f>'C&amp;I'!J37</f>
        <v>1401</v>
      </c>
      <c r="K21" s="255">
        <f>'C&amp;I'!K37</f>
        <v>1607</v>
      </c>
      <c r="L21" s="255">
        <f>'C&amp;I'!L37</f>
        <v>1985</v>
      </c>
      <c r="M21" s="255">
        <f>'C&amp;I'!M37</f>
        <v>1854</v>
      </c>
      <c r="N21" s="255">
        <f>'C&amp;I'!N37</f>
        <v>3630</v>
      </c>
      <c r="O21" s="255">
        <f>'C&amp;I'!O37</f>
        <v>2427</v>
      </c>
      <c r="P21" s="254">
        <f t="shared" si="1"/>
        <v>37687</v>
      </c>
      <c r="Q21" s="137"/>
      <c r="R21" s="137"/>
    </row>
    <row r="22" spans="1:18" ht="12.75">
      <c r="A22" s="209" t="s">
        <v>214</v>
      </c>
      <c r="B22" s="255">
        <f t="shared" si="0"/>
        <v>0</v>
      </c>
      <c r="C22" s="265"/>
      <c r="D22" s="265"/>
      <c r="E22" s="265"/>
      <c r="F22" s="265"/>
      <c r="G22" s="256"/>
      <c r="H22" s="256"/>
      <c r="I22" s="256"/>
      <c r="J22" s="255">
        <f>LGEA!B13</f>
        <v>30</v>
      </c>
      <c r="K22" s="255">
        <f>LGEA!C13</f>
        <v>352</v>
      </c>
      <c r="L22" s="255">
        <f>LGEA!D13</f>
        <v>965</v>
      </c>
      <c r="M22" s="255">
        <f>LGEA!E13</f>
        <v>358</v>
      </c>
      <c r="N22" s="255">
        <f>LGEA!F14</f>
        <v>534</v>
      </c>
      <c r="O22" s="255">
        <f>LGEA!G14</f>
        <v>428</v>
      </c>
      <c r="P22" s="254">
        <f t="shared" si="1"/>
        <v>2667</v>
      </c>
      <c r="Q22" s="137"/>
      <c r="R22" s="137"/>
    </row>
    <row r="23" spans="1:18" ht="12.75">
      <c r="A23" s="209" t="s">
        <v>81</v>
      </c>
      <c r="B23" s="255">
        <f t="shared" si="0"/>
        <v>0</v>
      </c>
      <c r="C23" s="265"/>
      <c r="D23" s="265"/>
      <c r="E23" s="265"/>
      <c r="F23" s="265"/>
      <c r="G23" s="256" t="s">
        <v>88</v>
      </c>
      <c r="H23" s="256"/>
      <c r="I23" s="256"/>
      <c r="J23" s="255">
        <f>'P4P '!G13</f>
        <v>0</v>
      </c>
      <c r="K23" s="255">
        <f>'P4P '!H13</f>
        <v>4</v>
      </c>
      <c r="L23" s="255">
        <f>'P4P '!I13</f>
        <v>24</v>
      </c>
      <c r="M23" s="255">
        <f>'P4P '!J13</f>
        <v>51</v>
      </c>
      <c r="N23" s="255">
        <f>'P4P '!K13</f>
        <v>68</v>
      </c>
      <c r="O23" s="255">
        <f>'P4P '!L13</f>
        <v>43</v>
      </c>
      <c r="P23" s="254">
        <f t="shared" si="1"/>
        <v>190</v>
      </c>
      <c r="Q23" s="147"/>
      <c r="R23" s="137"/>
    </row>
    <row r="24" spans="1:18" ht="12.75">
      <c r="A24" s="209" t="s">
        <v>238</v>
      </c>
      <c r="B24" s="255">
        <f t="shared" si="0"/>
        <v>0</v>
      </c>
      <c r="C24" s="265"/>
      <c r="D24" s="265"/>
      <c r="E24" s="265"/>
      <c r="F24" s="265"/>
      <c r="G24" s="256"/>
      <c r="H24" s="256"/>
      <c r="I24" s="256"/>
      <c r="J24" s="256"/>
      <c r="K24" s="255"/>
      <c r="L24" s="255">
        <f>'P4P NC'!B13</f>
        <v>13</v>
      </c>
      <c r="M24" s="255">
        <f>'P4P NC'!C13</f>
        <v>6</v>
      </c>
      <c r="N24" s="255">
        <f>'P4P NC'!D13</f>
        <v>10</v>
      </c>
      <c r="O24" s="255">
        <f>'P4P NC'!E13</f>
        <v>15</v>
      </c>
      <c r="P24" s="254">
        <f t="shared" si="1"/>
        <v>44</v>
      </c>
      <c r="Q24" s="147"/>
      <c r="R24" s="137"/>
    </row>
    <row r="25" spans="1:18" ht="12.75">
      <c r="A25" s="209" t="s">
        <v>183</v>
      </c>
      <c r="B25" s="255">
        <f t="shared" si="0"/>
        <v>0</v>
      </c>
      <c r="C25" s="265"/>
      <c r="D25" s="265"/>
      <c r="E25" s="265"/>
      <c r="F25" s="265"/>
      <c r="G25" s="256"/>
      <c r="H25" s="256"/>
      <c r="I25" s="256"/>
      <c r="J25" s="256"/>
      <c r="K25" s="255"/>
      <c r="L25" s="255">
        <f>'Direct Install'!D13</f>
        <v>162</v>
      </c>
      <c r="M25" s="255">
        <f>'Direct Install'!E13</f>
        <v>1325</v>
      </c>
      <c r="N25" s="255">
        <f>'Direct Install'!F13</f>
        <v>2084</v>
      </c>
      <c r="O25" s="255">
        <f>'Direct Install'!G13</f>
        <v>1124</v>
      </c>
      <c r="P25" s="254">
        <f t="shared" si="1"/>
        <v>4695</v>
      </c>
      <c r="Q25" s="137"/>
      <c r="R25" s="137"/>
    </row>
    <row r="26" spans="1:18" ht="12.75">
      <c r="A26" s="182" t="s">
        <v>342</v>
      </c>
      <c r="B26" s="255"/>
      <c r="C26" s="265"/>
      <c r="D26" s="265"/>
      <c r="E26" s="265"/>
      <c r="F26" s="265"/>
      <c r="G26" s="256"/>
      <c r="H26" s="256"/>
      <c r="I26" s="256"/>
      <c r="J26" s="256"/>
      <c r="K26" s="255"/>
      <c r="L26" s="255"/>
      <c r="M26" s="255"/>
      <c r="N26" s="255">
        <f>LEUP!C13</f>
        <v>0</v>
      </c>
      <c r="O26" s="255">
        <f>LEUP!D13</f>
        <v>0</v>
      </c>
      <c r="P26" s="254">
        <f t="shared" si="1"/>
        <v>0</v>
      </c>
      <c r="Q26" s="137"/>
      <c r="R26" s="137"/>
    </row>
    <row r="27" spans="1:18" ht="12.75">
      <c r="A27" s="29" t="s">
        <v>215</v>
      </c>
      <c r="B27" s="256">
        <f t="shared" si="0"/>
        <v>21392</v>
      </c>
      <c r="C27" s="256">
        <f>SUM(C21:C25)</f>
        <v>1650</v>
      </c>
      <c r="D27" s="256">
        <f>SUM(D21:D25)</f>
        <v>9163</v>
      </c>
      <c r="E27" s="256">
        <f>SUM(E21:E25)</f>
        <v>4209</v>
      </c>
      <c r="F27" s="256">
        <f>SUM(F21:F25)</f>
        <v>3983</v>
      </c>
      <c r="G27" s="256">
        <f>SUM(G21:G25)</f>
        <v>2387</v>
      </c>
      <c r="H27" s="256">
        <f aca="true" t="shared" si="3" ref="H27:M27">SUM(H21:H26)</f>
        <v>2094</v>
      </c>
      <c r="I27" s="256">
        <f t="shared" si="3"/>
        <v>1297</v>
      </c>
      <c r="J27" s="256">
        <f t="shared" si="3"/>
        <v>1431</v>
      </c>
      <c r="K27" s="256">
        <f t="shared" si="3"/>
        <v>1963</v>
      </c>
      <c r="L27" s="256">
        <f t="shared" si="3"/>
        <v>3149</v>
      </c>
      <c r="M27" s="256">
        <f t="shared" si="3"/>
        <v>3594</v>
      </c>
      <c r="N27" s="256">
        <f>SUM(N21:N26)</f>
        <v>6326</v>
      </c>
      <c r="O27" s="256">
        <f>SUM(O21:O26)</f>
        <v>4037</v>
      </c>
      <c r="P27" s="256">
        <f t="shared" si="1"/>
        <v>45283</v>
      </c>
      <c r="Q27" s="156"/>
      <c r="R27" s="137"/>
    </row>
    <row r="28" spans="1:18" ht="12.75">
      <c r="A28" s="29" t="s">
        <v>75</v>
      </c>
      <c r="B28" s="256">
        <f t="shared" si="0"/>
        <v>337564</v>
      </c>
      <c r="C28" s="265">
        <f>C27+C20</f>
        <v>38109</v>
      </c>
      <c r="D28" s="265">
        <f aca="true" t="shared" si="4" ref="D28:K28">D27+D20</f>
        <v>58651</v>
      </c>
      <c r="E28" s="265">
        <f t="shared" si="4"/>
        <v>74741</v>
      </c>
      <c r="F28" s="265">
        <f t="shared" si="4"/>
        <v>79176</v>
      </c>
      <c r="G28" s="256">
        <f t="shared" si="4"/>
        <v>86887</v>
      </c>
      <c r="H28" s="256">
        <f t="shared" si="4"/>
        <v>72123</v>
      </c>
      <c r="I28" s="256">
        <f t="shared" si="4"/>
        <v>80649</v>
      </c>
      <c r="J28" s="256">
        <f t="shared" si="4"/>
        <v>92207</v>
      </c>
      <c r="K28" s="256">
        <f t="shared" si="4"/>
        <v>84375</v>
      </c>
      <c r="L28" s="256">
        <f>L27+L20</f>
        <v>154223</v>
      </c>
      <c r="M28" s="256">
        <f>M27+M20</f>
        <v>198998</v>
      </c>
      <c r="N28" s="256">
        <f>N27+N20</f>
        <v>200820</v>
      </c>
      <c r="O28" s="256">
        <f>O27+O20</f>
        <v>111481</v>
      </c>
      <c r="P28" s="256">
        <f t="shared" si="1"/>
        <v>1332440</v>
      </c>
      <c r="Q28" s="139"/>
      <c r="R28" s="137"/>
    </row>
    <row r="29" spans="2:18" ht="12.75">
      <c r="B29" s="138"/>
      <c r="C29" s="102"/>
      <c r="D29" s="102"/>
      <c r="E29" s="102"/>
      <c r="F29" s="102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7"/>
      <c r="R29" s="137"/>
    </row>
    <row r="30" spans="1:18" ht="12.75">
      <c r="A30" s="14" t="s">
        <v>167</v>
      </c>
      <c r="B30" s="256">
        <f>SUM(C30:G30)</f>
        <v>2</v>
      </c>
      <c r="C30" s="265">
        <f>'CHP-FuelCell_Lrg-Small'!C15</f>
        <v>0</v>
      </c>
      <c r="D30" s="265">
        <f>'CHP-FuelCell_Lrg-Small'!D15</f>
        <v>0</v>
      </c>
      <c r="E30" s="265">
        <f>'CHP-FuelCell_Lrg-Small'!E15</f>
        <v>0</v>
      </c>
      <c r="F30" s="265">
        <f>'CHP-FuelCell_Lrg-Small'!F15</f>
        <v>0</v>
      </c>
      <c r="G30" s="256">
        <f>'CHP-FuelCell_Lrg-Small'!G15</f>
        <v>2</v>
      </c>
      <c r="H30" s="256">
        <f>'CHP-FuelCell_Lrg-Small'!H15</f>
        <v>4</v>
      </c>
      <c r="I30" s="256">
        <f>'CHP-FuelCell_Lrg-Small'!I15</f>
        <v>5</v>
      </c>
      <c r="J30" s="256">
        <f>'CHP-FuelCell_Lrg-Small'!J15</f>
        <v>4</v>
      </c>
      <c r="K30" s="256">
        <f>'CHP-FuelCell_Lrg-Small'!K15</f>
        <v>1</v>
      </c>
      <c r="L30" s="256">
        <f>'CHP-FuelCell_Lrg-Small'!L15</f>
        <v>6</v>
      </c>
      <c r="M30" s="256">
        <f>'CHP-FuelCell_Lrg-Small'!M15</f>
        <v>0</v>
      </c>
      <c r="N30" s="256">
        <f>'CHP-FuelCell_Lrg-Small'!N15</f>
        <v>1</v>
      </c>
      <c r="O30" s="256">
        <f>'CHP-FuelCell_Lrg-Small'!O15</f>
        <v>2</v>
      </c>
      <c r="P30" s="256">
        <f>SUM(C30:O30)</f>
        <v>25</v>
      </c>
      <c r="Q30" s="139"/>
      <c r="R30" s="137"/>
    </row>
    <row r="31" spans="2:18" ht="12.75">
      <c r="B31" s="142"/>
      <c r="G31" s="137"/>
      <c r="H31" s="137"/>
      <c r="I31" s="142"/>
      <c r="J31" s="142"/>
      <c r="K31" s="142"/>
      <c r="L31" s="142"/>
      <c r="M31" s="142"/>
      <c r="N31" s="142"/>
      <c r="O31" s="142"/>
      <c r="P31" s="137"/>
      <c r="Q31" s="137"/>
      <c r="R31" s="137"/>
    </row>
    <row r="32" spans="1:18" ht="12.75">
      <c r="A32" s="30" t="s">
        <v>168</v>
      </c>
      <c r="B32" s="210"/>
      <c r="C32" s="25"/>
      <c r="D32" s="25"/>
      <c r="E32" s="25"/>
      <c r="F32" s="25"/>
      <c r="G32" s="148"/>
      <c r="H32" s="148"/>
      <c r="I32" s="148"/>
      <c r="J32" s="148"/>
      <c r="K32" s="148"/>
      <c r="L32" s="148"/>
      <c r="M32" s="148"/>
      <c r="N32" s="344"/>
      <c r="O32" s="344"/>
      <c r="P32" s="210"/>
      <c r="Q32" s="137"/>
      <c r="R32" s="137"/>
    </row>
    <row r="33" spans="1:18" ht="12.75">
      <c r="A33" s="182" t="s">
        <v>93</v>
      </c>
      <c r="B33" s="254">
        <f aca="true" t="shared" si="5" ref="B33:B42">SUM(C33:G33)</f>
        <v>890</v>
      </c>
      <c r="C33" s="252">
        <f>CORE!C14</f>
        <v>6</v>
      </c>
      <c r="D33" s="252">
        <f>CORE!D14</f>
        <v>46</v>
      </c>
      <c r="E33" s="252">
        <f>CORE!E14</f>
        <v>58</v>
      </c>
      <c r="F33" s="252">
        <f>CORE!F14</f>
        <v>284</v>
      </c>
      <c r="G33" s="254">
        <f>CORE!G14</f>
        <v>496</v>
      </c>
      <c r="H33" s="254">
        <f>CORE!H14</f>
        <v>1005</v>
      </c>
      <c r="I33" s="254">
        <v>832</v>
      </c>
      <c r="J33" s="254">
        <f>CORE!J14</f>
        <v>827</v>
      </c>
      <c r="K33" s="254">
        <f>CORE!K14</f>
        <v>509</v>
      </c>
      <c r="L33" s="254">
        <f>CORE!L14</f>
        <v>341</v>
      </c>
      <c r="M33" s="254">
        <f>CORE!M14</f>
        <v>64</v>
      </c>
      <c r="N33" s="254">
        <f>CORE!N14</f>
        <v>17</v>
      </c>
      <c r="O33" s="254">
        <f>CORE!O14</f>
        <v>0</v>
      </c>
      <c r="P33" s="254">
        <f aca="true" t="shared" si="6" ref="P33:P40">SUM(C33:O33)</f>
        <v>4485</v>
      </c>
      <c r="Q33" s="139"/>
      <c r="R33" s="137"/>
    </row>
    <row r="34" spans="1:18" ht="12.75">
      <c r="A34" s="227" t="s">
        <v>201</v>
      </c>
      <c r="B34" s="254">
        <f t="shared" si="5"/>
        <v>0</v>
      </c>
      <c r="C34" s="252"/>
      <c r="D34" s="252"/>
      <c r="E34" s="252"/>
      <c r="F34" s="252"/>
      <c r="G34" s="254"/>
      <c r="H34" s="254"/>
      <c r="I34" s="254"/>
      <c r="J34" s="254"/>
      <c r="K34" s="254">
        <f>REIP!B13</f>
        <v>263</v>
      </c>
      <c r="L34" s="254">
        <f>REIP!C13</f>
        <v>1506</v>
      </c>
      <c r="M34" s="254">
        <f>REIP!D13</f>
        <v>1703</v>
      </c>
      <c r="N34" s="254">
        <f>REIP!E13</f>
        <v>349</v>
      </c>
      <c r="O34" s="254">
        <f>REIP!F13</f>
        <v>7</v>
      </c>
      <c r="P34" s="254">
        <f t="shared" si="6"/>
        <v>3828</v>
      </c>
      <c r="Q34" s="139"/>
      <c r="R34" s="137"/>
    </row>
    <row r="35" spans="1:18" ht="12.75">
      <c r="A35" s="227" t="s">
        <v>321</v>
      </c>
      <c r="B35" s="254">
        <f t="shared" si="5"/>
        <v>1</v>
      </c>
      <c r="C35" s="252">
        <f>'RE Grants and Financing'!B25</f>
        <v>0</v>
      </c>
      <c r="D35" s="252">
        <f>'RE Grants and Financing'!C25</f>
        <v>0</v>
      </c>
      <c r="E35" s="252">
        <f>'RE Grants and Financing'!D25</f>
        <v>0</v>
      </c>
      <c r="F35" s="252">
        <f>'RE Grants and Financing'!E25</f>
        <v>0</v>
      </c>
      <c r="G35" s="254">
        <f>'RE Grants and Financing'!F25</f>
        <v>1</v>
      </c>
      <c r="H35" s="254">
        <f>'RE Grants and Financing'!G25</f>
        <v>0</v>
      </c>
      <c r="I35" s="254">
        <f>'RE Grants and Financing'!H25</f>
        <v>3</v>
      </c>
      <c r="J35" s="254">
        <f>'RE Grants and Financing'!I25</f>
        <v>1</v>
      </c>
      <c r="K35" s="254">
        <f>'RE Grants and Financing'!J25</f>
        <v>1</v>
      </c>
      <c r="L35" s="254">
        <f>'RE Grants and Financing'!K25</f>
        <v>1</v>
      </c>
      <c r="M35" s="318"/>
      <c r="N35" s="318"/>
      <c r="O35" s="318"/>
      <c r="P35" s="254">
        <f t="shared" si="6"/>
        <v>7</v>
      </c>
      <c r="Q35" s="137"/>
      <c r="R35" s="137"/>
    </row>
    <row r="36" spans="1:18" ht="12.75">
      <c r="A36" s="227" t="s">
        <v>322</v>
      </c>
      <c r="B36" s="254">
        <f t="shared" si="5"/>
        <v>15</v>
      </c>
      <c r="C36" s="252">
        <f>'RE Business Venture Fin'!B15</f>
        <v>0</v>
      </c>
      <c r="D36" s="252">
        <f>'RE Business Venture Fin'!C15</f>
        <v>0</v>
      </c>
      <c r="E36" s="252">
        <f>'RE Business Venture Fin'!D15</f>
        <v>10</v>
      </c>
      <c r="F36" s="252">
        <f>'RE Business Venture Fin'!E15</f>
        <v>0</v>
      </c>
      <c r="G36" s="254">
        <f>'RE Business Venture Fin'!F15</f>
        <v>5</v>
      </c>
      <c r="H36" s="254">
        <f>'RE Business Venture Fin'!G15</f>
        <v>4</v>
      </c>
      <c r="I36" s="254">
        <f>'RE Business Venture Fin'!H15</f>
        <v>1</v>
      </c>
      <c r="J36" s="254">
        <f>'RE Business Venture Fin'!I15</f>
        <v>1</v>
      </c>
      <c r="K36" s="254">
        <f>'RE Business Venture Fin'!J15</f>
        <v>1</v>
      </c>
      <c r="L36" s="254">
        <f>'RE Business Venture Fin'!K15</f>
        <v>1</v>
      </c>
      <c r="M36" s="318"/>
      <c r="N36" s="318"/>
      <c r="O36" s="318"/>
      <c r="P36" s="254">
        <f t="shared" si="6"/>
        <v>23</v>
      </c>
      <c r="Q36" s="137"/>
      <c r="R36" s="137"/>
    </row>
    <row r="37" spans="1:18" ht="12.75">
      <c r="A37" s="227" t="s">
        <v>323</v>
      </c>
      <c r="B37" s="254">
        <f t="shared" si="5"/>
        <v>0</v>
      </c>
      <c r="C37" s="252"/>
      <c r="D37" s="252"/>
      <c r="E37" s="252"/>
      <c r="F37" s="252"/>
      <c r="G37" s="254"/>
      <c r="H37" s="254"/>
      <c r="I37" s="254">
        <f>REC!B11</f>
        <v>2</v>
      </c>
      <c r="J37" s="254">
        <f>REC!C11</f>
        <v>1023</v>
      </c>
      <c r="K37" s="254">
        <f>REC!D11</f>
        <v>101</v>
      </c>
      <c r="L37" s="254">
        <f>REC!E11</f>
        <v>589</v>
      </c>
      <c r="M37" s="254">
        <f>REC!F11</f>
        <v>4356</v>
      </c>
      <c r="N37" s="254">
        <f>REC!G11</f>
        <v>9056</v>
      </c>
      <c r="O37" s="254">
        <f>REC!H11</f>
        <v>6253</v>
      </c>
      <c r="P37" s="254">
        <f t="shared" si="6"/>
        <v>21380</v>
      </c>
      <c r="Q37" s="137"/>
      <c r="R37" s="137"/>
    </row>
    <row r="38" spans="1:18" ht="12.75">
      <c r="A38" s="227" t="s">
        <v>324</v>
      </c>
      <c r="B38" s="254">
        <f t="shared" si="5"/>
        <v>0</v>
      </c>
      <c r="C38" s="252"/>
      <c r="D38" s="252"/>
      <c r="E38" s="252"/>
      <c r="F38" s="252"/>
      <c r="G38" s="254"/>
      <c r="H38" s="254"/>
      <c r="I38" s="254"/>
      <c r="J38" s="254"/>
      <c r="K38" s="254">
        <f>EDA!C14</f>
        <v>0</v>
      </c>
      <c r="L38" s="254">
        <f>EDA!D14</f>
        <v>1</v>
      </c>
      <c r="M38" s="254">
        <f>EDA!E14</f>
        <v>3</v>
      </c>
      <c r="N38" s="254">
        <f>EDA!F14</f>
        <v>6</v>
      </c>
      <c r="O38" s="254">
        <f>EDA!G14</f>
        <v>0</v>
      </c>
      <c r="P38" s="254">
        <f t="shared" si="6"/>
        <v>10</v>
      </c>
      <c r="Q38" s="147"/>
      <c r="R38" s="137"/>
    </row>
    <row r="39" spans="1:18" ht="12.75">
      <c r="A39" s="227" t="s">
        <v>325</v>
      </c>
      <c r="B39" s="254">
        <f t="shared" si="5"/>
        <v>0</v>
      </c>
      <c r="C39" s="252"/>
      <c r="D39" s="252"/>
      <c r="E39" s="252"/>
      <c r="F39" s="252"/>
      <c r="G39" s="254"/>
      <c r="H39" s="254"/>
      <c r="I39" s="254"/>
      <c r="J39" s="254"/>
      <c r="K39" s="254">
        <f>'Edison Inn CEF'!B13</f>
        <v>0</v>
      </c>
      <c r="L39" s="254">
        <f>'Edison Inn CEF'!C13</f>
        <v>0</v>
      </c>
      <c r="M39" s="254">
        <f>'Edison Inn CEF'!D13</f>
        <v>1</v>
      </c>
      <c r="N39" s="254">
        <f>'Edison Inn CEF'!E13</f>
        <v>6</v>
      </c>
      <c r="O39" s="254">
        <f>'Edison Inn CEF'!F13</f>
        <v>0</v>
      </c>
      <c r="P39" s="254">
        <f t="shared" si="6"/>
        <v>7</v>
      </c>
      <c r="Q39" s="137"/>
      <c r="R39" s="137"/>
    </row>
    <row r="40" spans="1:18" ht="12.75">
      <c r="A40" s="14" t="s">
        <v>1</v>
      </c>
      <c r="B40" s="256">
        <f t="shared" si="5"/>
        <v>906</v>
      </c>
      <c r="C40" s="252">
        <f>SUM(C33:C37)</f>
        <v>6</v>
      </c>
      <c r="D40" s="252">
        <f>SUM(D33:D37)</f>
        <v>46</v>
      </c>
      <c r="E40" s="252">
        <f>SUM(E33:E37)</f>
        <v>68</v>
      </c>
      <c r="F40" s="252">
        <f>SUM(F33:F37)</f>
        <v>284</v>
      </c>
      <c r="G40" s="256">
        <f>SUM(G33:G39)</f>
        <v>502</v>
      </c>
      <c r="H40" s="256">
        <f aca="true" t="shared" si="7" ref="H40:M40">SUM(H33:H39)</f>
        <v>1009</v>
      </c>
      <c r="I40" s="256">
        <f t="shared" si="7"/>
        <v>838</v>
      </c>
      <c r="J40" s="256">
        <f t="shared" si="7"/>
        <v>1852</v>
      </c>
      <c r="K40" s="256">
        <f t="shared" si="7"/>
        <v>875</v>
      </c>
      <c r="L40" s="256">
        <f t="shared" si="7"/>
        <v>2439</v>
      </c>
      <c r="M40" s="256">
        <f t="shared" si="7"/>
        <v>6127</v>
      </c>
      <c r="N40" s="256">
        <f>SUM(N33:N39)</f>
        <v>9434</v>
      </c>
      <c r="O40" s="256">
        <f>SUM(O33:O39)</f>
        <v>6260</v>
      </c>
      <c r="P40" s="256">
        <f t="shared" si="6"/>
        <v>29740</v>
      </c>
      <c r="Q40" s="156"/>
      <c r="R40" s="137"/>
    </row>
    <row r="41" spans="1:18" ht="12.75">
      <c r="A41" s="182" t="s">
        <v>326</v>
      </c>
      <c r="B41" s="254">
        <f t="shared" si="5"/>
        <v>0</v>
      </c>
      <c r="C41" s="252"/>
      <c r="D41" s="252"/>
      <c r="E41" s="252"/>
      <c r="F41" s="252"/>
      <c r="G41" s="254">
        <f>'Clean Power Choice'!B9</f>
        <v>0</v>
      </c>
      <c r="H41" s="254">
        <f>'Clean Power Choice'!C9</f>
        <v>8867</v>
      </c>
      <c r="I41" s="254">
        <f>'Clean Power Choice'!D9</f>
        <v>13473</v>
      </c>
      <c r="J41" s="254">
        <f>'Clean Power Choice'!E9</f>
        <v>14456</v>
      </c>
      <c r="K41" s="254">
        <f>'Clean Power Choice'!F9</f>
        <v>14135</v>
      </c>
      <c r="L41" s="254">
        <f>'Clean Power Choice'!G9</f>
        <v>8933</v>
      </c>
      <c r="M41" s="254">
        <f>'Clean Power Choice'!H9</f>
        <v>10388</v>
      </c>
      <c r="N41" s="254">
        <f>'Clean Power Choice'!I9</f>
        <v>9566</v>
      </c>
      <c r="O41" s="254">
        <f>'Clean Power Choice'!J9</f>
        <v>0</v>
      </c>
      <c r="P41" s="254">
        <v>0</v>
      </c>
      <c r="Q41" s="156" t="s">
        <v>416</v>
      </c>
      <c r="R41" s="137"/>
    </row>
    <row r="42" spans="1:18" s="1" customFormat="1" ht="12.75">
      <c r="A42" s="14" t="s">
        <v>172</v>
      </c>
      <c r="B42" s="256">
        <f t="shared" si="5"/>
        <v>906</v>
      </c>
      <c r="C42" s="265">
        <f>C41+C40</f>
        <v>6</v>
      </c>
      <c r="D42" s="265">
        <f aca="true" t="shared" si="8" ref="D42:J42">D41+D40</f>
        <v>46</v>
      </c>
      <c r="E42" s="265">
        <f t="shared" si="8"/>
        <v>68</v>
      </c>
      <c r="F42" s="265">
        <f t="shared" si="8"/>
        <v>284</v>
      </c>
      <c r="G42" s="256">
        <f t="shared" si="8"/>
        <v>502</v>
      </c>
      <c r="H42" s="256">
        <f t="shared" si="8"/>
        <v>9876</v>
      </c>
      <c r="I42" s="256">
        <f t="shared" si="8"/>
        <v>14311</v>
      </c>
      <c r="J42" s="256">
        <f t="shared" si="8"/>
        <v>16308</v>
      </c>
      <c r="K42" s="256">
        <f>K41+K40</f>
        <v>15010</v>
      </c>
      <c r="L42" s="256">
        <f>L41+L40</f>
        <v>11372</v>
      </c>
      <c r="M42" s="256">
        <f>M41+M40</f>
        <v>16515</v>
      </c>
      <c r="N42" s="256">
        <f>N41+N40</f>
        <v>19000</v>
      </c>
      <c r="O42" s="256">
        <f>O41+O40</f>
        <v>6260</v>
      </c>
      <c r="P42" s="256">
        <f>P40+P41</f>
        <v>29740</v>
      </c>
      <c r="Q42" s="156"/>
      <c r="R42" s="157"/>
    </row>
    <row r="43" spans="1:18" ht="12.75">
      <c r="A43" s="30"/>
      <c r="B43" s="58"/>
      <c r="C43" s="35"/>
      <c r="D43" s="35"/>
      <c r="E43" s="35"/>
      <c r="F43" s="35"/>
      <c r="G43" s="140"/>
      <c r="H43" s="140"/>
      <c r="I43" s="58"/>
      <c r="J43" s="58"/>
      <c r="K43" s="58"/>
      <c r="L43" s="58"/>
      <c r="M43" s="58"/>
      <c r="N43" s="58"/>
      <c r="O43" s="58"/>
      <c r="P43" s="133"/>
      <c r="Q43" s="139"/>
      <c r="R43" s="137"/>
    </row>
    <row r="44" spans="1:18" ht="12.75">
      <c r="A44" s="428" t="s">
        <v>171</v>
      </c>
      <c r="B44" s="256">
        <f>SUM(C44:G44)</f>
        <v>4748564</v>
      </c>
      <c r="C44" s="265">
        <f>'Energy Star'!C45</f>
        <v>0</v>
      </c>
      <c r="D44" s="265">
        <f>'Energy Star'!D45</f>
        <v>0</v>
      </c>
      <c r="E44" s="265">
        <f>'Energy Star'!E45</f>
        <v>1496339</v>
      </c>
      <c r="F44" s="265">
        <f>'Energy Star'!F45</f>
        <v>2014151</v>
      </c>
      <c r="G44" s="256">
        <f>'Energy Star'!G45</f>
        <v>1238074</v>
      </c>
      <c r="H44" s="256">
        <f>'Energy Star'!H45</f>
        <v>0</v>
      </c>
      <c r="I44" s="256">
        <f>'Energy Star'!I45</f>
        <v>3162034</v>
      </c>
      <c r="J44" s="256">
        <f>'Energy Star'!J45</f>
        <v>4399641</v>
      </c>
      <c r="K44" s="256">
        <f>'Energy Star'!K45</f>
        <v>6643677</v>
      </c>
      <c r="L44" s="256">
        <f>'Energy Star'!L45</f>
        <v>3986463</v>
      </c>
      <c r="M44" s="256">
        <f>'Energy Star'!M45</f>
        <v>5269102</v>
      </c>
      <c r="N44" s="256">
        <f>'Energy Star'!N45</f>
        <v>7751359</v>
      </c>
      <c r="O44" s="256">
        <f>'Energy Star'!O45</f>
        <v>6444990</v>
      </c>
      <c r="P44" s="256">
        <f>SUM(C44:O44)</f>
        <v>42405830</v>
      </c>
      <c r="Q44" s="139"/>
      <c r="R44" s="137"/>
    </row>
    <row r="45" spans="1:18" ht="12.75">
      <c r="A45" s="428" t="s">
        <v>122</v>
      </c>
      <c r="B45" s="256">
        <f>SUM(C45:G45)</f>
        <v>8553</v>
      </c>
      <c r="C45" s="265">
        <v>0</v>
      </c>
      <c r="D45" s="265">
        <v>0</v>
      </c>
      <c r="E45" s="265">
        <f>'Cool Cities'!B16</f>
        <v>2216</v>
      </c>
      <c r="F45" s="265">
        <f>'Cool Cities'!C16</f>
        <v>1487</v>
      </c>
      <c r="G45" s="256">
        <f>'Cool Cities'!D16</f>
        <v>4850</v>
      </c>
      <c r="H45" s="256">
        <f>'Cool Cities'!E16</f>
        <v>2004</v>
      </c>
      <c r="I45" s="256">
        <f>'Cool Cities'!F16</f>
        <v>1978</v>
      </c>
      <c r="J45" s="256">
        <f>'Cool Cities'!G16</f>
        <v>8982</v>
      </c>
      <c r="K45" s="256">
        <f>'Cool Cities'!H16</f>
        <v>11256</v>
      </c>
      <c r="L45" s="256"/>
      <c r="M45" s="256"/>
      <c r="N45" s="256"/>
      <c r="O45" s="256"/>
      <c r="P45" s="256">
        <f>SUM(C45:O45)</f>
        <v>32773</v>
      </c>
      <c r="Q45" s="139"/>
      <c r="R45" s="137"/>
    </row>
    <row r="46" spans="1:18" ht="12.75">
      <c r="A46" s="82"/>
      <c r="B46" s="58"/>
      <c r="C46" s="44"/>
      <c r="D46" s="44"/>
      <c r="E46" s="44"/>
      <c r="F46" s="44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139"/>
      <c r="R46" s="137"/>
    </row>
    <row r="47" spans="1:15" ht="15">
      <c r="A47" s="414" t="s">
        <v>19</v>
      </c>
      <c r="B47" s="3"/>
      <c r="I47" s="3"/>
      <c r="J47" s="3"/>
      <c r="K47" s="3"/>
      <c r="L47" s="3"/>
      <c r="M47" s="3"/>
      <c r="N47" s="3"/>
      <c r="O47" s="3"/>
    </row>
    <row r="48" spans="1:15" ht="25.5">
      <c r="A48" s="1" t="s">
        <v>169</v>
      </c>
      <c r="B48" s="81" t="s">
        <v>289</v>
      </c>
      <c r="C48" s="25">
        <v>2001</v>
      </c>
      <c r="D48" s="25">
        <v>2002</v>
      </c>
      <c r="E48" s="25">
        <v>2003</v>
      </c>
      <c r="F48" s="25">
        <v>2004</v>
      </c>
      <c r="G48" s="25">
        <v>2005</v>
      </c>
      <c r="H48" s="25">
        <v>2006</v>
      </c>
      <c r="I48" s="25">
        <v>2007</v>
      </c>
      <c r="J48" s="25">
        <v>2008</v>
      </c>
      <c r="K48" s="25">
        <v>2009</v>
      </c>
      <c r="L48" s="25">
        <v>2010</v>
      </c>
      <c r="M48" s="25">
        <v>2011</v>
      </c>
      <c r="N48" s="127" t="s">
        <v>347</v>
      </c>
      <c r="O48" s="127" t="s">
        <v>353</v>
      </c>
    </row>
    <row r="49" spans="1:16" ht="12.75">
      <c r="A49" s="209" t="s">
        <v>67</v>
      </c>
      <c r="B49" s="252">
        <f>SUM(C49:G49)</f>
        <v>42074</v>
      </c>
      <c r="C49" s="252">
        <f>RNC!C17</f>
        <v>4553</v>
      </c>
      <c r="D49" s="252">
        <f>RNC!D17</f>
        <v>10490</v>
      </c>
      <c r="E49" s="252">
        <f>RNC!E17</f>
        <v>12168</v>
      </c>
      <c r="F49" s="252">
        <f>RNC!F17</f>
        <v>6526</v>
      </c>
      <c r="G49" s="252">
        <f>RNC!G17</f>
        <v>8337</v>
      </c>
      <c r="H49" s="252">
        <f>RNC!H17</f>
        <v>6808</v>
      </c>
      <c r="I49" s="252">
        <f>RNC!I17</f>
        <v>7137</v>
      </c>
      <c r="J49" s="252">
        <f>RNC!J17</f>
        <v>10170</v>
      </c>
      <c r="K49" s="252">
        <f>RNC!K17</f>
        <v>7865</v>
      </c>
      <c r="L49" s="252">
        <f>RNC!L17</f>
        <v>3647</v>
      </c>
      <c r="M49" s="252">
        <f>RNC!M17</f>
        <v>1893</v>
      </c>
      <c r="N49" s="252">
        <f>RNC!N17</f>
        <v>7120</v>
      </c>
      <c r="O49" s="252">
        <f>RNC!O17</f>
        <v>3398</v>
      </c>
      <c r="P49" s="35"/>
    </row>
    <row r="50" spans="1:16" ht="12.75">
      <c r="A50" s="209" t="s">
        <v>74</v>
      </c>
      <c r="B50" s="252">
        <f>SUM(C50:G50)</f>
        <v>13837</v>
      </c>
      <c r="C50" s="252">
        <f>'C&amp;I'!C42</f>
        <v>4205</v>
      </c>
      <c r="D50" s="252">
        <f>'C&amp;I'!D42</f>
        <v>2016</v>
      </c>
      <c r="E50" s="252">
        <f>'C&amp;I'!E42</f>
        <v>2603</v>
      </c>
      <c r="F50" s="252">
        <f>'C&amp;I'!F42</f>
        <v>2707</v>
      </c>
      <c r="G50" s="252">
        <f>'C&amp;I'!G42</f>
        <v>2306</v>
      </c>
      <c r="H50" s="252">
        <f>'C&amp;I'!H42</f>
        <v>1150</v>
      </c>
      <c r="I50" s="252">
        <f>'C&amp;I'!I42</f>
        <v>1026</v>
      </c>
      <c r="J50" s="252">
        <f>'C&amp;I'!J42</f>
        <v>1709</v>
      </c>
      <c r="K50" s="252">
        <f>'C&amp;I'!K42</f>
        <v>2306</v>
      </c>
      <c r="L50" s="252">
        <f>'C&amp;I'!L42</f>
        <v>1993</v>
      </c>
      <c r="M50" s="254">
        <f>'C&amp;I'!M43</f>
        <v>105</v>
      </c>
      <c r="N50" s="254">
        <f>'C&amp;I'!N43</f>
        <v>118</v>
      </c>
      <c r="O50" s="254">
        <f>'C&amp;I'!O43</f>
        <v>59</v>
      </c>
      <c r="P50" s="130"/>
    </row>
    <row r="51" spans="1:16" ht="12.75">
      <c r="A51" s="209" t="s">
        <v>81</v>
      </c>
      <c r="B51" s="252">
        <f>SUM(C51:G51)</f>
        <v>0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>
        <f>'P4P '!I19</f>
        <v>121</v>
      </c>
      <c r="M51" s="254">
        <f>'P4P '!J19</f>
        <v>0</v>
      </c>
      <c r="N51" s="254">
        <f>'P4P '!K19</f>
        <v>0</v>
      </c>
      <c r="O51" s="254">
        <f>'P4P '!L19</f>
        <v>0</v>
      </c>
      <c r="P51" s="35"/>
    </row>
    <row r="52" spans="1:16" ht="12.75">
      <c r="A52" s="209" t="s">
        <v>238</v>
      </c>
      <c r="B52" s="252">
        <f>SUM(C52:G52)</f>
        <v>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>
        <f>'P4P NC'!B19</f>
        <v>0</v>
      </c>
      <c r="M52" s="254">
        <f>'P4P NC'!C19</f>
        <v>0</v>
      </c>
      <c r="N52" s="254">
        <f>'P4P NC'!D19</f>
        <v>0</v>
      </c>
      <c r="O52" s="254">
        <f>'P4P NC'!E19</f>
        <v>0</v>
      </c>
      <c r="P52" s="35"/>
    </row>
    <row r="53" spans="1:16" ht="12.75">
      <c r="A53" s="182" t="s">
        <v>342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4"/>
      <c r="N53" s="254">
        <f>LEUP!C14</f>
        <v>20</v>
      </c>
      <c r="O53" s="254">
        <f>LEUP!D14</f>
        <v>11</v>
      </c>
      <c r="P53" s="35"/>
    </row>
    <row r="54" spans="1:17" ht="12.75">
      <c r="A54" s="48" t="s">
        <v>1</v>
      </c>
      <c r="B54" s="265">
        <f>SUM(C54:G54)</f>
        <v>55911</v>
      </c>
      <c r="C54" s="265">
        <f>SUM(C49:C52)</f>
        <v>8758</v>
      </c>
      <c r="D54" s="265">
        <f>SUM(D49:D52)</f>
        <v>12506</v>
      </c>
      <c r="E54" s="265">
        <f>SUM(E49:E52)</f>
        <v>14771</v>
      </c>
      <c r="F54" s="265">
        <f>SUM(F49:F52)</f>
        <v>9233</v>
      </c>
      <c r="G54" s="265">
        <f>SUM(G49:G52)</f>
        <v>10643</v>
      </c>
      <c r="H54" s="265">
        <f aca="true" t="shared" si="9" ref="H54:M54">SUM(H49:H53)</f>
        <v>7958</v>
      </c>
      <c r="I54" s="265">
        <f t="shared" si="9"/>
        <v>8163</v>
      </c>
      <c r="J54" s="265">
        <f t="shared" si="9"/>
        <v>11879</v>
      </c>
      <c r="K54" s="265">
        <f t="shared" si="9"/>
        <v>10171</v>
      </c>
      <c r="L54" s="265">
        <f t="shared" si="9"/>
        <v>5761</v>
      </c>
      <c r="M54" s="265">
        <f t="shared" si="9"/>
        <v>1998</v>
      </c>
      <c r="N54" s="265">
        <f>SUM(N49:N53)</f>
        <v>7258</v>
      </c>
      <c r="O54" s="265">
        <f>SUM(O49:O53)</f>
        <v>3468</v>
      </c>
      <c r="P54" s="60"/>
      <c r="Q54" s="23"/>
    </row>
    <row r="55" spans="1:16" ht="12.75">
      <c r="A55" s="34"/>
      <c r="B55" s="44"/>
      <c r="C55" s="35"/>
      <c r="D55" s="35"/>
      <c r="E55" s="35"/>
      <c r="F55" s="35"/>
      <c r="G55" s="35"/>
      <c r="H55" s="35"/>
      <c r="I55" s="44"/>
      <c r="J55" s="44"/>
      <c r="K55" s="44"/>
      <c r="L55" s="44"/>
      <c r="M55" s="44"/>
      <c r="N55" s="44"/>
      <c r="O55" s="44"/>
      <c r="P55" s="35"/>
    </row>
    <row r="56" spans="1:16" ht="12.75">
      <c r="A56" s="14" t="s">
        <v>93</v>
      </c>
      <c r="B56" s="265">
        <f>SUM(C56:G56)</f>
        <v>2099</v>
      </c>
      <c r="C56" s="265">
        <f>CORE!C15</f>
        <v>45</v>
      </c>
      <c r="D56" s="265">
        <f>CORE!D15</f>
        <v>59</v>
      </c>
      <c r="E56" s="265">
        <f>CORE!E15</f>
        <v>226</v>
      </c>
      <c r="F56" s="265">
        <f>CORE!F15</f>
        <v>587</v>
      </c>
      <c r="G56" s="265">
        <f>CORE!G15</f>
        <v>1182</v>
      </c>
      <c r="H56" s="265">
        <f>CORE!H15</f>
        <v>565</v>
      </c>
      <c r="I56" s="265">
        <f>CORE!I15</f>
        <v>1070</v>
      </c>
      <c r="J56" s="265">
        <f>CORE!J15</f>
        <v>1047</v>
      </c>
      <c r="K56" s="265">
        <f>CORE!K15</f>
        <v>665</v>
      </c>
      <c r="L56" s="265">
        <f>CORE!L15</f>
        <v>101</v>
      </c>
      <c r="M56" s="265">
        <f>CORE!M15</f>
        <v>0</v>
      </c>
      <c r="N56" s="265">
        <f>CORE!N15</f>
        <v>0</v>
      </c>
      <c r="O56" s="265">
        <f>CORE!O15</f>
        <v>0</v>
      </c>
      <c r="P56" s="35"/>
    </row>
    <row r="57" spans="1:15" ht="12.75">
      <c r="A57" s="14" t="s">
        <v>170</v>
      </c>
      <c r="B57" s="247">
        <f>SUM(C57:G57)</f>
        <v>0</v>
      </c>
      <c r="C57" s="247">
        <f>'CHP-FuelCell_Lrg-Small'!C20</f>
        <v>0</v>
      </c>
      <c r="D57" s="247">
        <f>'CHP-FuelCell_Lrg-Small'!D20</f>
        <v>0</v>
      </c>
      <c r="E57" s="247">
        <f>'CHP-FuelCell_Lrg-Small'!E20</f>
        <v>0</v>
      </c>
      <c r="F57" s="247">
        <f>'CHP-FuelCell_Lrg-Small'!F20</f>
        <v>0</v>
      </c>
      <c r="G57" s="247">
        <f>'CHP-FuelCell_Lrg-Small'!G20</f>
        <v>0</v>
      </c>
      <c r="H57" s="247">
        <f>'CHP-FuelCell_Lrg-Small'!H20</f>
        <v>0</v>
      </c>
      <c r="I57" s="247">
        <f>'CHP-FuelCell_Lrg-Small'!I20</f>
        <v>13</v>
      </c>
      <c r="J57" s="247">
        <f>'CHP-FuelCell_Lrg-Small'!J20</f>
        <v>15</v>
      </c>
      <c r="K57" s="247">
        <f>'CHP-FuelCell_Lrg-Small'!K20</f>
        <v>9</v>
      </c>
      <c r="L57" s="247">
        <f>'CHP-FuelCell_Lrg-Small'!L20</f>
        <v>2</v>
      </c>
      <c r="M57" s="247">
        <f>'CHP-FuelCell_Lrg-Small'!M20</f>
        <v>0</v>
      </c>
      <c r="N57" s="247">
        <f>'CHP-FuelCell_Lrg-Small'!N20</f>
        <v>18</v>
      </c>
      <c r="O57" s="247">
        <f>'CHP-FuelCell_Lrg-Small'!O20</f>
        <v>5</v>
      </c>
    </row>
    <row r="58" ht="12.75">
      <c r="A58" s="2" t="s">
        <v>291</v>
      </c>
    </row>
    <row r="59" ht="12.75">
      <c r="A59" s="361" t="s">
        <v>352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73" r:id="rId1"/>
  <headerFooter scaleWithDoc="0" alignWithMargins="0">
    <oddFooter>&amp;L&amp;6&amp;A - Results by Program Year&amp;R&amp;6printed &amp;D at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51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32.8515625" style="0" customWidth="1"/>
    <col min="2" max="2" width="12.57421875" style="0" bestFit="1" customWidth="1"/>
    <col min="3" max="7" width="9.57421875" style="0" hidden="1" customWidth="1"/>
    <col min="8" max="12" width="9.7109375" style="0" customWidth="1"/>
    <col min="13" max="15" width="9.7109375" style="137" customWidth="1"/>
    <col min="16" max="16" width="16.28125" style="0" bestFit="1" customWidth="1"/>
    <col min="17" max="17" width="10.140625" style="0" bestFit="1" customWidth="1"/>
  </cols>
  <sheetData>
    <row r="1" spans="1:16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</row>
    <row r="2" spans="1:16" ht="12.75">
      <c r="A2" s="458" t="s">
        <v>152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</row>
    <row r="3" spans="1:16" ht="15">
      <c r="A3" s="414" t="s">
        <v>402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26.25">
      <c r="A4" s="414" t="s">
        <v>344</v>
      </c>
      <c r="B4" s="81" t="s">
        <v>289</v>
      </c>
      <c r="C4" s="25">
        <v>2001</v>
      </c>
      <c r="D4" s="25">
        <v>2002</v>
      </c>
      <c r="E4" s="25">
        <v>2003</v>
      </c>
      <c r="F4" s="25">
        <v>2004</v>
      </c>
      <c r="G4" s="25">
        <v>2005</v>
      </c>
      <c r="H4" s="25">
        <v>2006</v>
      </c>
      <c r="I4" s="25">
        <v>2007</v>
      </c>
      <c r="J4" s="25">
        <v>2008</v>
      </c>
      <c r="K4" s="25">
        <v>2009</v>
      </c>
      <c r="L4" s="25">
        <v>2010</v>
      </c>
      <c r="M4" s="148">
        <v>2011</v>
      </c>
      <c r="N4" s="344" t="s">
        <v>347</v>
      </c>
      <c r="O4" s="344" t="s">
        <v>353</v>
      </c>
      <c r="P4" s="81" t="str">
        <f>"Total "&amp;CHAR(10)&amp;C4&amp;" ~ "&amp;O4</f>
        <v>Total 
2001 ~ FY2014</v>
      </c>
    </row>
    <row r="5" spans="1:16" ht="12.75">
      <c r="A5" s="1" t="s">
        <v>444</v>
      </c>
      <c r="B5" s="26" t="s">
        <v>411</v>
      </c>
      <c r="C5" s="26" t="s">
        <v>411</v>
      </c>
      <c r="D5" s="26" t="s">
        <v>411</v>
      </c>
      <c r="E5" s="26" t="s">
        <v>411</v>
      </c>
      <c r="F5" s="26" t="s">
        <v>411</v>
      </c>
      <c r="G5" s="26" t="s">
        <v>411</v>
      </c>
      <c r="H5" s="26" t="s">
        <v>411</v>
      </c>
      <c r="I5" s="26" t="s">
        <v>411</v>
      </c>
      <c r="J5" s="26" t="s">
        <v>411</v>
      </c>
      <c r="K5" s="26" t="s">
        <v>411</v>
      </c>
      <c r="L5" s="26" t="s">
        <v>411</v>
      </c>
      <c r="M5" s="149" t="s">
        <v>411</v>
      </c>
      <c r="N5" s="149" t="s">
        <v>411</v>
      </c>
      <c r="O5" s="149" t="s">
        <v>411</v>
      </c>
      <c r="P5" s="26" t="s">
        <v>411</v>
      </c>
    </row>
    <row r="6" spans="1:16" ht="12.75">
      <c r="A6" s="209" t="s">
        <v>66</v>
      </c>
      <c r="B6" s="252">
        <f>SUM(C6:G6)</f>
        <v>62634</v>
      </c>
      <c r="C6" s="252">
        <f>'Res HVAC'!C31</f>
        <v>10761</v>
      </c>
      <c r="D6" s="252">
        <f>'Res HVAC'!D31</f>
        <v>13825</v>
      </c>
      <c r="E6" s="252">
        <f>'Res HVAC'!E31</f>
        <v>12254</v>
      </c>
      <c r="F6" s="252">
        <f>'Res HVAC'!F31</f>
        <v>13065</v>
      </c>
      <c r="G6" s="252">
        <f>'Res HVAC'!G31</f>
        <v>12729</v>
      </c>
      <c r="H6" s="252">
        <f>'Res HVAC'!H31</f>
        <v>9651</v>
      </c>
      <c r="I6" s="252">
        <f>'Res HVAC'!I31</f>
        <v>10666</v>
      </c>
      <c r="J6" s="252">
        <f>'Res HVAC'!J31</f>
        <v>2710</v>
      </c>
      <c r="K6" s="252">
        <f>'Res HVAC'!K31</f>
        <v>1804</v>
      </c>
      <c r="L6" s="252">
        <f>'Res HVAC'!L31</f>
        <v>4825</v>
      </c>
      <c r="M6" s="254">
        <f>'Res HVAC'!M31</f>
        <v>6845</v>
      </c>
      <c r="N6" s="254">
        <f>'Res HVAC'!N31</f>
        <v>6715</v>
      </c>
      <c r="O6" s="254">
        <f>'Res HVAC'!O31</f>
        <v>1307</v>
      </c>
      <c r="P6" s="252">
        <f>SUM(C6:O6)</f>
        <v>107157</v>
      </c>
    </row>
    <row r="7" spans="1:16" ht="12.75">
      <c r="A7" s="209" t="s">
        <v>67</v>
      </c>
      <c r="B7" s="252">
        <f aca="true" t="shared" si="0" ref="B7:B38">SUM(C7:G7)</f>
        <v>48393</v>
      </c>
      <c r="C7" s="252">
        <f>RNC!C29</f>
        <v>11</v>
      </c>
      <c r="D7" s="252">
        <f>RNC!D29</f>
        <v>3415</v>
      </c>
      <c r="E7" s="252">
        <f>RNC!E29</f>
        <v>11201</v>
      </c>
      <c r="F7" s="252">
        <f>RNC!F29</f>
        <v>14869</v>
      </c>
      <c r="G7" s="252">
        <f>RNC!G29</f>
        <v>18897</v>
      </c>
      <c r="H7" s="252">
        <f>RNC!H29</f>
        <v>13285</v>
      </c>
      <c r="I7" s="252">
        <f>RNC!I29</f>
        <v>12497</v>
      </c>
      <c r="J7" s="252">
        <f>RNC!J29</f>
        <v>8179</v>
      </c>
      <c r="K7" s="252">
        <f>RNC!K29</f>
        <v>5736</v>
      </c>
      <c r="L7" s="252">
        <f>RNC!L29</f>
        <v>6841</v>
      </c>
      <c r="M7" s="254">
        <f>RNC!M29</f>
        <v>4616</v>
      </c>
      <c r="N7" s="254">
        <f>RNC!N29</f>
        <v>7298</v>
      </c>
      <c r="O7" s="254">
        <f>RNC!O29</f>
        <v>3836</v>
      </c>
      <c r="P7" s="252">
        <f>SUM(C7:O7)</f>
        <v>110681</v>
      </c>
    </row>
    <row r="8" spans="1:16" ht="12.75">
      <c r="A8" s="209" t="s">
        <v>68</v>
      </c>
      <c r="B8" s="286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326"/>
      <c r="N8" s="326"/>
      <c r="O8" s="326"/>
      <c r="P8" s="312"/>
    </row>
    <row r="9" spans="1:20" ht="12.75">
      <c r="A9" s="209" t="s">
        <v>69</v>
      </c>
      <c r="B9" s="252">
        <f t="shared" si="0"/>
        <v>4602</v>
      </c>
      <c r="C9" s="252">
        <f>'Energy Star'!C73</f>
        <v>0</v>
      </c>
      <c r="D9" s="252">
        <f>'Energy Star'!D73</f>
        <v>0</v>
      </c>
      <c r="E9" s="252">
        <f>'Energy Star'!E73</f>
        <v>1499</v>
      </c>
      <c r="F9" s="252">
        <f>'Energy Star'!F73</f>
        <v>1441</v>
      </c>
      <c r="G9" s="252">
        <f>'Energy Star'!G73</f>
        <v>1662</v>
      </c>
      <c r="H9" s="252">
        <f>'Energy Star'!H73</f>
        <v>567</v>
      </c>
      <c r="I9" s="252">
        <f>'Energy Star'!I73</f>
        <v>803</v>
      </c>
      <c r="J9" s="252">
        <f>'Energy Star'!J73</f>
        <v>808</v>
      </c>
      <c r="K9" s="252">
        <f>'Energy Star'!K73</f>
        <v>444</v>
      </c>
      <c r="L9" s="252">
        <f>'Energy Star'!L73</f>
        <v>668</v>
      </c>
      <c r="M9" s="254">
        <f>'Energy Star'!M73</f>
        <v>13.6</v>
      </c>
      <c r="N9" s="318"/>
      <c r="O9" s="318"/>
      <c r="P9" s="252">
        <f aca="true" t="shared" si="1" ref="P9:P19">SUM(C9:O9)</f>
        <v>7905.6</v>
      </c>
      <c r="Q9" s="137"/>
      <c r="R9" s="137"/>
      <c r="S9" s="137"/>
      <c r="T9" s="137"/>
    </row>
    <row r="10" spans="1:17" ht="12.75">
      <c r="A10" s="209" t="s">
        <v>70</v>
      </c>
      <c r="B10" s="252">
        <f t="shared" si="0"/>
        <v>11898</v>
      </c>
      <c r="C10" s="252">
        <f>'Energy Star'!C72</f>
        <v>0</v>
      </c>
      <c r="D10" s="252">
        <f>'Energy Star'!D72</f>
        <v>0</v>
      </c>
      <c r="E10" s="252">
        <f>'Energy Star'!E72</f>
        <v>3587</v>
      </c>
      <c r="F10" s="252">
        <f>'Energy Star'!F72</f>
        <v>5089</v>
      </c>
      <c r="G10" s="252">
        <f>'Energy Star'!G72</f>
        <v>3222</v>
      </c>
      <c r="H10" s="252">
        <f>'Energy Star'!H72</f>
        <v>0</v>
      </c>
      <c r="I10" s="252">
        <f>'Energy Star'!I72</f>
        <v>5792</v>
      </c>
      <c r="J10" s="252">
        <f>'Energy Star'!J72</f>
        <v>10752</v>
      </c>
      <c r="K10" s="252">
        <f>'Energy Star'!K72</f>
        <v>16252</v>
      </c>
      <c r="L10" s="252">
        <f>'Energy Star'!L72</f>
        <v>19190.4</v>
      </c>
      <c r="M10" s="254">
        <f>'Energy Star'!M72</f>
        <v>25435.7</v>
      </c>
      <c r="N10" s="254">
        <f>'Energy Star'!N72</f>
        <v>45156.8</v>
      </c>
      <c r="O10" s="254">
        <f>'Energy Star'!O72</f>
        <v>26146</v>
      </c>
      <c r="P10" s="252">
        <f t="shared" si="1"/>
        <v>160622.90000000002</v>
      </c>
      <c r="Q10" s="23"/>
    </row>
    <row r="11" spans="1:16" ht="12.75">
      <c r="A11" s="209" t="s">
        <v>71</v>
      </c>
      <c r="B11" s="252">
        <f t="shared" si="0"/>
        <v>0</v>
      </c>
      <c r="C11" s="252"/>
      <c r="D11" s="252"/>
      <c r="E11" s="252"/>
      <c r="F11" s="252"/>
      <c r="G11" s="252"/>
      <c r="H11" s="318"/>
      <c r="I11" s="318"/>
      <c r="J11" s="318"/>
      <c r="K11" s="318"/>
      <c r="L11" s="318"/>
      <c r="M11" s="318"/>
      <c r="N11" s="318"/>
      <c r="O11" s="318"/>
      <c r="P11" s="252">
        <f t="shared" si="1"/>
        <v>0</v>
      </c>
    </row>
    <row r="12" spans="1:16" ht="12.75">
      <c r="A12" s="182" t="s">
        <v>174</v>
      </c>
      <c r="B12" s="252">
        <f t="shared" si="0"/>
        <v>0</v>
      </c>
      <c r="C12" s="252"/>
      <c r="D12" s="252"/>
      <c r="E12" s="252"/>
      <c r="F12" s="252"/>
      <c r="G12" s="252"/>
      <c r="H12" s="252"/>
      <c r="I12" s="252"/>
      <c r="J12" s="252">
        <f>'Energy Star'!J74</f>
        <v>377</v>
      </c>
      <c r="K12" s="252">
        <f>'Energy Star'!K74</f>
        <v>431</v>
      </c>
      <c r="L12" s="252">
        <f>'Energy Star'!L74</f>
        <v>497</v>
      </c>
      <c r="M12" s="254">
        <f>'Energy Star'!M74</f>
        <v>498.4</v>
      </c>
      <c r="N12" s="254">
        <f>'Energy Star'!N74</f>
        <v>1415.8</v>
      </c>
      <c r="O12" s="254">
        <f>'Energy Star'!O74</f>
        <v>418</v>
      </c>
      <c r="P12" s="252">
        <f t="shared" si="1"/>
        <v>3637.2</v>
      </c>
    </row>
    <row r="13" spans="1:16" ht="12.75">
      <c r="A13" s="182" t="s">
        <v>189</v>
      </c>
      <c r="B13" s="252">
        <f t="shared" si="0"/>
        <v>0</v>
      </c>
      <c r="C13" s="252"/>
      <c r="D13" s="252"/>
      <c r="E13" s="252"/>
      <c r="F13" s="252"/>
      <c r="G13" s="252"/>
      <c r="H13" s="252"/>
      <c r="I13" s="252"/>
      <c r="J13" s="252">
        <f>'Energy Star'!J75</f>
        <v>53</v>
      </c>
      <c r="K13" s="252">
        <f>'Energy Star'!K75</f>
        <v>79</v>
      </c>
      <c r="L13" s="252">
        <f>'Energy Star'!L75</f>
        <v>57</v>
      </c>
      <c r="M13" s="254">
        <f>'Energy Star'!M75</f>
        <v>3.9</v>
      </c>
      <c r="N13" s="318"/>
      <c r="O13" s="318"/>
      <c r="P13" s="252">
        <f t="shared" si="1"/>
        <v>192.9</v>
      </c>
    </row>
    <row r="14" spans="1:16" ht="12.75">
      <c r="A14" s="182" t="s">
        <v>198</v>
      </c>
      <c r="B14" s="252">
        <f t="shared" si="0"/>
        <v>0</v>
      </c>
      <c r="C14" s="252"/>
      <c r="D14" s="252"/>
      <c r="E14" s="252"/>
      <c r="F14" s="252"/>
      <c r="G14" s="252"/>
      <c r="H14" s="252"/>
      <c r="I14" s="252"/>
      <c r="J14" s="252"/>
      <c r="K14" s="252">
        <f>'Energy Star'!K77</f>
        <v>1385</v>
      </c>
      <c r="L14" s="252">
        <f>'Energy Star'!L77</f>
        <v>3748.3</v>
      </c>
      <c r="M14" s="254">
        <f>'Energy Star'!M77</f>
        <v>3765.8</v>
      </c>
      <c r="N14" s="254">
        <f>'Energy Star'!N77</f>
        <v>2846.1</v>
      </c>
      <c r="O14" s="254">
        <f>'Energy Star'!O77</f>
        <v>2660</v>
      </c>
      <c r="P14" s="252">
        <f t="shared" si="1"/>
        <v>14405.2</v>
      </c>
    </row>
    <row r="15" spans="1:16" ht="12.75">
      <c r="A15" s="182" t="s">
        <v>276</v>
      </c>
      <c r="B15" s="252">
        <f t="shared" si="0"/>
        <v>0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4">
        <f>'Energy Star'!M76</f>
        <v>60.2</v>
      </c>
      <c r="N15" s="254">
        <f>'Energy Star'!N76</f>
        <v>12.9</v>
      </c>
      <c r="O15" s="254">
        <f>'Energy Star'!O76</f>
        <v>83</v>
      </c>
      <c r="P15" s="252">
        <f t="shared" si="1"/>
        <v>156.10000000000002</v>
      </c>
    </row>
    <row r="16" spans="1:16" ht="12.75">
      <c r="A16" s="182" t="s">
        <v>275</v>
      </c>
      <c r="B16" s="252">
        <f t="shared" si="0"/>
        <v>0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4">
        <f>'Energy Star'!M79</f>
        <v>32.1</v>
      </c>
      <c r="N16" s="318"/>
      <c r="O16" s="318"/>
      <c r="P16" s="252">
        <f t="shared" si="1"/>
        <v>32.1</v>
      </c>
    </row>
    <row r="17" spans="1:16" ht="12.75">
      <c r="A17" s="182" t="s">
        <v>252</v>
      </c>
      <c r="B17" s="252">
        <f t="shared" si="0"/>
        <v>0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>
        <f>'Energy Star'!L78</f>
        <v>526.9</v>
      </c>
      <c r="M17" s="254">
        <f>'Energy Star'!M78</f>
        <v>1005.1</v>
      </c>
      <c r="N17" s="254">
        <f>'Energy Star'!N78</f>
        <v>651.3</v>
      </c>
      <c r="O17" s="254">
        <f>'Energy Star'!O78</f>
        <v>342</v>
      </c>
      <c r="P17" s="252">
        <f t="shared" si="1"/>
        <v>2525.3</v>
      </c>
    </row>
    <row r="18" spans="1:16" ht="12.75">
      <c r="A18" s="209" t="s">
        <v>158</v>
      </c>
      <c r="B18" s="252">
        <f t="shared" si="0"/>
        <v>0</v>
      </c>
      <c r="C18" s="252"/>
      <c r="D18" s="252"/>
      <c r="E18" s="252"/>
      <c r="F18" s="252"/>
      <c r="G18" s="252"/>
      <c r="H18" s="252">
        <f>'Home Perf'!B31</f>
        <v>0</v>
      </c>
      <c r="I18" s="252">
        <f>'Home Perf'!C31</f>
        <v>0</v>
      </c>
      <c r="J18" s="252">
        <f>'Home Perf'!D31</f>
        <v>51</v>
      </c>
      <c r="K18" s="252">
        <f>'Home Perf'!E31</f>
        <v>366</v>
      </c>
      <c r="L18" s="252">
        <f>'Home Perf'!F31</f>
        <v>815</v>
      </c>
      <c r="M18" s="254">
        <f>'Home Perf'!G31</f>
        <v>894</v>
      </c>
      <c r="N18" s="254">
        <f>'Home Perf'!H31</f>
        <v>1081</v>
      </c>
      <c r="O18" s="254">
        <f>'Home Perf'!I31</f>
        <v>1551</v>
      </c>
      <c r="P18" s="252">
        <f t="shared" si="1"/>
        <v>4758</v>
      </c>
    </row>
    <row r="19" spans="1:17" ht="12.75">
      <c r="A19" s="29" t="s">
        <v>73</v>
      </c>
      <c r="B19" s="265">
        <f t="shared" si="0"/>
        <v>127527</v>
      </c>
      <c r="C19" s="265">
        <f>SUM(C6:C18)</f>
        <v>10772</v>
      </c>
      <c r="D19" s="265">
        <f aca="true" t="shared" si="2" ref="D19:L19">SUM(D6:D18)</f>
        <v>17240</v>
      </c>
      <c r="E19" s="265">
        <f t="shared" si="2"/>
        <v>28541</v>
      </c>
      <c r="F19" s="265">
        <f t="shared" si="2"/>
        <v>34464</v>
      </c>
      <c r="G19" s="265">
        <f t="shared" si="2"/>
        <v>36510</v>
      </c>
      <c r="H19" s="265">
        <f t="shared" si="2"/>
        <v>23503</v>
      </c>
      <c r="I19" s="265">
        <f t="shared" si="2"/>
        <v>29758</v>
      </c>
      <c r="J19" s="265">
        <f t="shared" si="2"/>
        <v>22930</v>
      </c>
      <c r="K19" s="265">
        <f t="shared" si="2"/>
        <v>26497</v>
      </c>
      <c r="L19" s="265">
        <f t="shared" si="2"/>
        <v>37168.600000000006</v>
      </c>
      <c r="M19" s="256">
        <f>SUM(M6:M18)</f>
        <v>43169.8</v>
      </c>
      <c r="N19" s="256">
        <f>SUM(N6:N18)</f>
        <v>65176.90000000001</v>
      </c>
      <c r="O19" s="256">
        <f>SUM(O6:O18)</f>
        <v>36343</v>
      </c>
      <c r="P19" s="265">
        <f t="shared" si="1"/>
        <v>412073.3</v>
      </c>
      <c r="Q19" s="23"/>
    </row>
    <row r="20" spans="1:17" ht="12.75">
      <c r="A20" s="34"/>
      <c r="B20" s="20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  <c r="N20" s="69"/>
      <c r="O20" s="69"/>
      <c r="P20" s="68"/>
      <c r="Q20" s="23"/>
    </row>
    <row r="21" spans="1:17" ht="12.75">
      <c r="A21" s="421" t="s">
        <v>2</v>
      </c>
      <c r="B21" s="265">
        <f t="shared" si="0"/>
        <v>3916</v>
      </c>
      <c r="C21" s="265">
        <f>'Low-income'!C37</f>
        <v>1032</v>
      </c>
      <c r="D21" s="265">
        <f>'Low-income'!D37</f>
        <v>627</v>
      </c>
      <c r="E21" s="265">
        <f>'Low-income'!E37</f>
        <v>868</v>
      </c>
      <c r="F21" s="265">
        <f>'Low-income'!F37</f>
        <v>820</v>
      </c>
      <c r="G21" s="265">
        <f>'Low-income'!G37</f>
        <v>569</v>
      </c>
      <c r="H21" s="265">
        <f>'Low-income'!H37</f>
        <v>1645</v>
      </c>
      <c r="I21" s="265">
        <f>'Low-income'!I37</f>
        <v>1600</v>
      </c>
      <c r="J21" s="265">
        <f>'Low-income'!J37</f>
        <v>1268</v>
      </c>
      <c r="K21" s="265">
        <f>'Low-income'!K37</f>
        <v>1071</v>
      </c>
      <c r="L21" s="265">
        <f>'Low-income'!L37</f>
        <v>937</v>
      </c>
      <c r="M21" s="256">
        <f>'Low-income'!M37</f>
        <v>1072</v>
      </c>
      <c r="N21" s="256">
        <f>'Low-income'!N37</f>
        <v>1368</v>
      </c>
      <c r="O21" s="256">
        <f>'Low-income'!O37</f>
        <v>601</v>
      </c>
      <c r="P21" s="265">
        <f>SUM(C21:O21)</f>
        <v>13478</v>
      </c>
      <c r="Q21" s="23"/>
    </row>
    <row r="22" spans="1:17" ht="12.75">
      <c r="A22" s="34"/>
      <c r="B22" s="20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9"/>
      <c r="N22" s="69"/>
      <c r="O22" s="69"/>
      <c r="P22" s="68"/>
      <c r="Q22" s="23"/>
    </row>
    <row r="23" spans="1:17" ht="12.75">
      <c r="A23" s="229" t="s">
        <v>49</v>
      </c>
      <c r="B23" s="252">
        <f t="shared" si="0"/>
        <v>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>
        <f>'C&amp;I'!L62</f>
        <v>1915</v>
      </c>
      <c r="M23" s="254">
        <f>'C&amp;I'!M62</f>
        <v>4650</v>
      </c>
      <c r="N23" s="254">
        <f>'C&amp;I'!N62</f>
        <v>1736</v>
      </c>
      <c r="O23" s="254">
        <f>'C&amp;I'!O62</f>
        <v>678</v>
      </c>
      <c r="P23" s="252">
        <f aca="true" t="shared" si="3" ref="P23:P29">SUM(C23:O23)</f>
        <v>8979</v>
      </c>
      <c r="Q23" s="23"/>
    </row>
    <row r="24" spans="1:17" ht="12.75">
      <c r="A24" s="182" t="s">
        <v>52</v>
      </c>
      <c r="B24" s="252">
        <f t="shared" si="0"/>
        <v>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>
        <f>'C&amp;I'!L63</f>
        <v>20887</v>
      </c>
      <c r="M24" s="254">
        <f>'C&amp;I'!M63</f>
        <v>69567</v>
      </c>
      <c r="N24" s="254">
        <f>'C&amp;I'!N63</f>
        <v>28158</v>
      </c>
      <c r="O24" s="254">
        <f>'C&amp;I'!O63</f>
        <v>20492</v>
      </c>
      <c r="P24" s="252">
        <f t="shared" si="3"/>
        <v>139104</v>
      </c>
      <c r="Q24" s="23"/>
    </row>
    <row r="25" spans="1:17" ht="12.75">
      <c r="A25" s="182" t="s">
        <v>317</v>
      </c>
      <c r="B25" s="252">
        <f t="shared" si="0"/>
        <v>0</v>
      </c>
      <c r="C25" s="252"/>
      <c r="D25" s="252"/>
      <c r="E25" s="252"/>
      <c r="F25" s="252"/>
      <c r="G25" s="252"/>
      <c r="H25" s="318"/>
      <c r="I25" s="318"/>
      <c r="J25" s="318"/>
      <c r="K25" s="318"/>
      <c r="L25" s="318"/>
      <c r="M25" s="318"/>
      <c r="N25" s="318"/>
      <c r="O25" s="318"/>
      <c r="P25" s="252">
        <f t="shared" si="3"/>
        <v>0</v>
      </c>
      <c r="Q25" s="23"/>
    </row>
    <row r="26" spans="1:17" ht="12.75">
      <c r="A26" s="209" t="s">
        <v>81</v>
      </c>
      <c r="B26" s="252">
        <f t="shared" si="0"/>
        <v>0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>
        <f>'P4P '!I37</f>
        <v>62</v>
      </c>
      <c r="M26" s="254">
        <f>'P4P '!J37</f>
        <v>2514</v>
      </c>
      <c r="N26" s="254">
        <f>'P4P '!K35</f>
        <v>7626</v>
      </c>
      <c r="O26" s="254">
        <f>'P4P '!L35</f>
        <v>5847</v>
      </c>
      <c r="P26" s="252">
        <f t="shared" si="3"/>
        <v>16049</v>
      </c>
      <c r="Q26" s="23"/>
    </row>
    <row r="27" spans="1:17" ht="12.75">
      <c r="A27" s="182" t="s">
        <v>341</v>
      </c>
      <c r="B27" s="252">
        <f t="shared" si="0"/>
        <v>0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4"/>
      <c r="N27" s="254">
        <f>'P4P '!K36</f>
        <v>0</v>
      </c>
      <c r="O27" s="254">
        <f>'P4P '!L36</f>
        <v>0</v>
      </c>
      <c r="P27" s="252">
        <f t="shared" si="3"/>
        <v>0</v>
      </c>
      <c r="Q27" s="23"/>
    </row>
    <row r="28" spans="1:17" ht="12.75">
      <c r="A28" s="209" t="s">
        <v>238</v>
      </c>
      <c r="B28" s="252">
        <f t="shared" si="0"/>
        <v>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>
        <f>'P4P NC'!B30</f>
        <v>0</v>
      </c>
      <c r="M28" s="254">
        <f>'P4P NC'!C30</f>
        <v>0</v>
      </c>
      <c r="N28" s="254">
        <f>'P4P NC'!D30</f>
        <v>0</v>
      </c>
      <c r="O28" s="254">
        <f>'P4P NC'!E30</f>
        <v>990</v>
      </c>
      <c r="P28" s="252">
        <f t="shared" si="3"/>
        <v>990</v>
      </c>
      <c r="Q28" s="23"/>
    </row>
    <row r="29" spans="1:17" ht="12.75">
      <c r="A29" s="209" t="s">
        <v>183</v>
      </c>
      <c r="B29" s="252">
        <f t="shared" si="0"/>
        <v>0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>
        <f>'Direct Install'!D26</f>
        <v>1276</v>
      </c>
      <c r="M29" s="254">
        <f>'Direct Install'!E26</f>
        <v>8693</v>
      </c>
      <c r="N29" s="254">
        <f>'Direct Install'!F26</f>
        <v>14288</v>
      </c>
      <c r="O29" s="254">
        <f>'Direct Install'!G26</f>
        <v>9390</v>
      </c>
      <c r="P29" s="252">
        <f t="shared" si="3"/>
        <v>33647</v>
      </c>
      <c r="Q29" s="23"/>
    </row>
    <row r="30" spans="1:17" ht="12.75">
      <c r="A30" s="182" t="s">
        <v>342</v>
      </c>
      <c r="B30" s="252">
        <f t="shared" si="0"/>
        <v>0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4"/>
      <c r="N30" s="254">
        <f>LEUP!C26</f>
        <v>440</v>
      </c>
      <c r="O30" s="254">
        <f>LEUP!D26</f>
        <v>5904</v>
      </c>
      <c r="P30" s="252"/>
      <c r="Q30" s="23"/>
    </row>
    <row r="31" spans="1:16" ht="12.75">
      <c r="A31" s="228" t="s">
        <v>314</v>
      </c>
      <c r="B31" s="265">
        <f t="shared" si="0"/>
        <v>151121</v>
      </c>
      <c r="C31" s="265">
        <f>'C&amp;I'!C65</f>
        <v>6364</v>
      </c>
      <c r="D31" s="265">
        <f>'C&amp;I'!D65</f>
        <v>26750</v>
      </c>
      <c r="E31" s="265">
        <f>'C&amp;I'!E65</f>
        <v>38155</v>
      </c>
      <c r="F31" s="265">
        <f>'C&amp;I'!F65</f>
        <v>43470</v>
      </c>
      <c r="G31" s="265">
        <f>'C&amp;I'!G65</f>
        <v>36382</v>
      </c>
      <c r="H31" s="265">
        <f>'C&amp;I'!H65</f>
        <v>26301</v>
      </c>
      <c r="I31" s="265">
        <f>'C&amp;I'!I65</f>
        <v>17502</v>
      </c>
      <c r="J31" s="265">
        <f>'C&amp;I'!J65</f>
        <v>16438</v>
      </c>
      <c r="K31" s="265">
        <f>'C&amp;I'!K65</f>
        <v>18781</v>
      </c>
      <c r="L31" s="265">
        <f>SUM(L23:L30)</f>
        <v>24140</v>
      </c>
      <c r="M31" s="265">
        <f>SUM(M23:M30)</f>
        <v>85424</v>
      </c>
      <c r="N31" s="265">
        <f>SUM(N23:N30)</f>
        <v>52248</v>
      </c>
      <c r="O31" s="265">
        <f>SUM(O23:O30)</f>
        <v>43301</v>
      </c>
      <c r="P31" s="265">
        <f aca="true" t="shared" si="4" ref="P31:P38">SUM(C31:O31)</f>
        <v>435256</v>
      </c>
    </row>
    <row r="32" spans="1:16" ht="12.75">
      <c r="A32" s="182" t="s">
        <v>318</v>
      </c>
      <c r="B32" s="252">
        <f t="shared" si="0"/>
        <v>0</v>
      </c>
      <c r="C32" s="252"/>
      <c r="D32" s="252"/>
      <c r="E32" s="252"/>
      <c r="F32" s="252"/>
      <c r="G32" s="252"/>
      <c r="H32" s="252"/>
      <c r="I32" s="252"/>
      <c r="J32" s="252">
        <f>'CHP-FuelCell_Lrg-Small'!J39</f>
        <v>30</v>
      </c>
      <c r="K32" s="252">
        <f>'CHP-FuelCell_Lrg-Small'!K39</f>
        <v>0</v>
      </c>
      <c r="L32" s="252">
        <f>'CHP-FuelCell_Lrg-Small'!L39</f>
        <v>275</v>
      </c>
      <c r="M32" s="254">
        <f>'CHP-FuelCell_Lrg-Small'!M39</f>
        <v>0</v>
      </c>
      <c r="N32" s="254">
        <f>'CHP-FuelCell_Lrg-Small'!N39</f>
        <v>0</v>
      </c>
      <c r="O32" s="254">
        <f>'CHP-FuelCell_Lrg-Small'!O39</f>
        <v>0</v>
      </c>
      <c r="P32" s="252">
        <f t="shared" si="4"/>
        <v>305</v>
      </c>
    </row>
    <row r="33" spans="1:16" ht="12.75">
      <c r="A33" s="209" t="s">
        <v>122</v>
      </c>
      <c r="B33" s="252">
        <f t="shared" si="0"/>
        <v>0</v>
      </c>
      <c r="C33" s="252"/>
      <c r="D33" s="252"/>
      <c r="E33" s="252"/>
      <c r="F33" s="252"/>
      <c r="G33" s="252"/>
      <c r="H33" s="318"/>
      <c r="I33" s="318"/>
      <c r="J33" s="318"/>
      <c r="K33" s="318"/>
      <c r="L33" s="318"/>
      <c r="M33" s="318"/>
      <c r="N33" s="318"/>
      <c r="O33" s="318"/>
      <c r="P33" s="252">
        <f t="shared" si="4"/>
        <v>0</v>
      </c>
    </row>
    <row r="34" spans="1:16" ht="12.75">
      <c r="A34" s="228" t="s">
        <v>126</v>
      </c>
      <c r="B34" s="265">
        <f t="shared" si="0"/>
        <v>151121</v>
      </c>
      <c r="C34" s="265">
        <f>C33+C31</f>
        <v>6364</v>
      </c>
      <c r="D34" s="265">
        <f>D33+D31</f>
        <v>26750</v>
      </c>
      <c r="E34" s="265">
        <f>E33+E31</f>
        <v>38155</v>
      </c>
      <c r="F34" s="265">
        <f>F33+F31</f>
        <v>43470</v>
      </c>
      <c r="G34" s="265">
        <f>G33+G31</f>
        <v>36382</v>
      </c>
      <c r="H34" s="265">
        <f aca="true" t="shared" si="5" ref="H34:N34">SUM(H31:H33)</f>
        <v>26301</v>
      </c>
      <c r="I34" s="265">
        <f t="shared" si="5"/>
        <v>17502</v>
      </c>
      <c r="J34" s="265">
        <f t="shared" si="5"/>
        <v>16468</v>
      </c>
      <c r="K34" s="265">
        <f t="shared" si="5"/>
        <v>18781</v>
      </c>
      <c r="L34" s="265">
        <f t="shared" si="5"/>
        <v>24415</v>
      </c>
      <c r="M34" s="256">
        <f t="shared" si="5"/>
        <v>85424</v>
      </c>
      <c r="N34" s="256">
        <f t="shared" si="5"/>
        <v>52248</v>
      </c>
      <c r="O34" s="256">
        <f>SUM(O31:O33)</f>
        <v>43301</v>
      </c>
      <c r="P34" s="265">
        <f t="shared" si="4"/>
        <v>435561</v>
      </c>
    </row>
    <row r="35" spans="1:17" ht="12.75">
      <c r="A35" s="29" t="s">
        <v>418</v>
      </c>
      <c r="B35" s="265">
        <f t="shared" si="0"/>
        <v>282564</v>
      </c>
      <c r="C35" s="265">
        <f>C19+C34+C21</f>
        <v>18168</v>
      </c>
      <c r="D35" s="265">
        <f aca="true" t="shared" si="6" ref="D35:K35">D19+D34+D21</f>
        <v>44617</v>
      </c>
      <c r="E35" s="265">
        <f t="shared" si="6"/>
        <v>67564</v>
      </c>
      <c r="F35" s="265">
        <f t="shared" si="6"/>
        <v>78754</v>
      </c>
      <c r="G35" s="265">
        <f t="shared" si="6"/>
        <v>73461</v>
      </c>
      <c r="H35" s="265">
        <f t="shared" si="6"/>
        <v>51449</v>
      </c>
      <c r="I35" s="265">
        <f t="shared" si="6"/>
        <v>48860</v>
      </c>
      <c r="J35" s="265">
        <f t="shared" si="6"/>
        <v>40666</v>
      </c>
      <c r="K35" s="265">
        <f t="shared" si="6"/>
        <v>46349</v>
      </c>
      <c r="L35" s="265">
        <f>L19+L34+L21</f>
        <v>62520.600000000006</v>
      </c>
      <c r="M35" s="256">
        <f>M19+M34+M21</f>
        <v>129665.8</v>
      </c>
      <c r="N35" s="256">
        <f>N19+N34+N21</f>
        <v>118792.90000000001</v>
      </c>
      <c r="O35" s="256">
        <f>O19+O34+O21</f>
        <v>80245</v>
      </c>
      <c r="P35" s="265">
        <f t="shared" si="4"/>
        <v>861112.3</v>
      </c>
      <c r="Q35" s="23"/>
    </row>
    <row r="36" spans="1:17" ht="12.75">
      <c r="A36" s="424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70"/>
      <c r="N36" s="270"/>
      <c r="O36" s="270"/>
      <c r="P36" s="429"/>
      <c r="Q36" s="23"/>
    </row>
    <row r="37" spans="1:17" ht="12.75">
      <c r="A37" s="430" t="s">
        <v>453</v>
      </c>
      <c r="B37" s="265">
        <f t="shared" si="0"/>
        <v>140</v>
      </c>
      <c r="C37" s="265">
        <f>'CHP-FuelCell_Lrg-Small'!C55</f>
        <v>0</v>
      </c>
      <c r="D37" s="265">
        <f>'CHP-FuelCell_Lrg-Small'!D55</f>
        <v>0</v>
      </c>
      <c r="E37" s="265">
        <f>'CHP-FuelCell_Lrg-Small'!E55</f>
        <v>0</v>
      </c>
      <c r="F37" s="265">
        <f>'CHP-FuelCell_Lrg-Small'!F55</f>
        <v>0</v>
      </c>
      <c r="G37" s="265">
        <f>'CHP-FuelCell_Lrg-Small'!G55</f>
        <v>140</v>
      </c>
      <c r="H37" s="265">
        <f>'CHP-FuelCell_Lrg-Small'!H55</f>
        <v>3175</v>
      </c>
      <c r="I37" s="265">
        <f>'CHP-FuelCell_Lrg-Small'!I55</f>
        <v>4925</v>
      </c>
      <c r="J37" s="265">
        <f>'CHP-FuelCell_Lrg-Small'!J55</f>
        <v>1276</v>
      </c>
      <c r="K37" s="265">
        <f>'CHP-FuelCell_Lrg-Small'!K55</f>
        <v>4700</v>
      </c>
      <c r="L37" s="265">
        <f>'CHP-FuelCell_Lrg-Small'!L55</f>
        <v>5535</v>
      </c>
      <c r="M37" s="256">
        <f>'CHP-FuelCell_Lrg-Small'!M55</f>
        <v>0</v>
      </c>
      <c r="N37" s="256">
        <f>'CHP-FuelCell_Lrg-Small'!N55</f>
        <v>0</v>
      </c>
      <c r="O37" s="256">
        <f>'CHP-FuelCell_Lrg-Small'!O55</f>
        <v>410</v>
      </c>
      <c r="P37" s="265">
        <f t="shared" si="4"/>
        <v>20161</v>
      </c>
      <c r="Q37" s="23"/>
    </row>
    <row r="38" spans="1:17" ht="12.75">
      <c r="A38" s="456" t="s">
        <v>447</v>
      </c>
      <c r="B38" s="265">
        <f t="shared" si="0"/>
        <v>282704</v>
      </c>
      <c r="C38" s="265">
        <f>C37+C35</f>
        <v>18168</v>
      </c>
      <c r="D38" s="265">
        <f aca="true" t="shared" si="7" ref="D38:I38">D37+D35</f>
        <v>44617</v>
      </c>
      <c r="E38" s="265">
        <f t="shared" si="7"/>
        <v>67564</v>
      </c>
      <c r="F38" s="265">
        <f t="shared" si="7"/>
        <v>78754</v>
      </c>
      <c r="G38" s="265">
        <f t="shared" si="7"/>
        <v>73601</v>
      </c>
      <c r="H38" s="265">
        <f t="shared" si="7"/>
        <v>54624</v>
      </c>
      <c r="I38" s="265">
        <f t="shared" si="7"/>
        <v>53785</v>
      </c>
      <c r="J38" s="265">
        <f aca="true" t="shared" si="8" ref="J38:O38">J37+J35</f>
        <v>41942</v>
      </c>
      <c r="K38" s="265">
        <f t="shared" si="8"/>
        <v>51049</v>
      </c>
      <c r="L38" s="265">
        <f t="shared" si="8"/>
        <v>68055.6</v>
      </c>
      <c r="M38" s="256">
        <f t="shared" si="8"/>
        <v>129665.8</v>
      </c>
      <c r="N38" s="256">
        <f t="shared" si="8"/>
        <v>118792.90000000001</v>
      </c>
      <c r="O38" s="256">
        <f t="shared" si="8"/>
        <v>80655</v>
      </c>
      <c r="P38" s="265">
        <f t="shared" si="4"/>
        <v>881273.3</v>
      </c>
      <c r="Q38" s="23"/>
    </row>
    <row r="39" spans="3:16" ht="12.75"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38"/>
      <c r="N39" s="138"/>
      <c r="O39" s="138"/>
      <c r="P39" s="102"/>
    </row>
    <row r="40" spans="1:16" ht="12.75">
      <c r="A40" s="43" t="s">
        <v>454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49"/>
      <c r="N40" s="149"/>
      <c r="O40" s="149"/>
      <c r="P40" s="26"/>
    </row>
    <row r="41" spans="1:17" ht="12.75">
      <c r="A41" s="182" t="s">
        <v>93</v>
      </c>
      <c r="B41" s="252">
        <f aca="true" t="shared" si="9" ref="B41:B46">SUM(C41:G41)</f>
        <v>12923</v>
      </c>
      <c r="C41" s="252">
        <f>CORE!C27</f>
        <v>8</v>
      </c>
      <c r="D41" s="252">
        <f>CORE!D27</f>
        <v>1142</v>
      </c>
      <c r="E41" s="252">
        <f>CORE!E27</f>
        <v>1743</v>
      </c>
      <c r="F41" s="252">
        <f>CORE!F27</f>
        <v>2644</v>
      </c>
      <c r="G41" s="252">
        <f>CORE!G27</f>
        <v>7386</v>
      </c>
      <c r="H41" s="252">
        <f>CORE!H27</f>
        <v>18725</v>
      </c>
      <c r="I41" s="252">
        <f>CORE!I27</f>
        <v>20307</v>
      </c>
      <c r="J41" s="252">
        <f>CORE!J27</f>
        <v>14772</v>
      </c>
      <c r="K41" s="252">
        <f>CORE!K27</f>
        <v>12860</v>
      </c>
      <c r="L41" s="252">
        <f>CORE!L27</f>
        <v>15151</v>
      </c>
      <c r="M41" s="254">
        <f>CORE!M27</f>
        <v>5800</v>
      </c>
      <c r="N41" s="254">
        <f>CORE!N27</f>
        <v>2314</v>
      </c>
      <c r="O41" s="254">
        <f>CORE!O27</f>
        <v>0</v>
      </c>
      <c r="P41" s="252">
        <f aca="true" t="shared" si="10" ref="P41:P46">SUM(C41:O41)</f>
        <v>102852</v>
      </c>
      <c r="Q41" s="23"/>
    </row>
    <row r="42" spans="1:17" ht="12.75">
      <c r="A42" s="182" t="s">
        <v>201</v>
      </c>
      <c r="B42" s="252">
        <f t="shared" si="9"/>
        <v>0</v>
      </c>
      <c r="C42" s="252"/>
      <c r="D42" s="252"/>
      <c r="E42" s="252"/>
      <c r="F42" s="252"/>
      <c r="G42" s="252"/>
      <c r="H42" s="252"/>
      <c r="I42" s="252"/>
      <c r="J42" s="252"/>
      <c r="K42" s="252">
        <f>REIP!B26</f>
        <v>2149</v>
      </c>
      <c r="L42" s="252">
        <f>REIP!C26</f>
        <v>16127</v>
      </c>
      <c r="M42" s="254">
        <f>REIP!D26</f>
        <v>17842</v>
      </c>
      <c r="N42" s="254">
        <f>REIP!E26</f>
        <v>2251</v>
      </c>
      <c r="O42" s="254">
        <f>REIP!F26</f>
        <v>312</v>
      </c>
      <c r="P42" s="254">
        <f t="shared" si="10"/>
        <v>38681</v>
      </c>
      <c r="Q42" s="139"/>
    </row>
    <row r="43" spans="1:17" ht="12.75">
      <c r="A43" s="182" t="s">
        <v>250</v>
      </c>
      <c r="B43" s="252">
        <f t="shared" si="9"/>
        <v>0</v>
      </c>
      <c r="C43" s="252"/>
      <c r="D43" s="252"/>
      <c r="E43" s="252"/>
      <c r="F43" s="252"/>
      <c r="G43" s="252"/>
      <c r="H43" s="252"/>
      <c r="I43" s="252"/>
      <c r="J43" s="252"/>
      <c r="K43" s="252">
        <f>'RE Grid Connected'!B23</f>
        <v>0</v>
      </c>
      <c r="L43" s="252">
        <f>'RE Grid Connected'!C23</f>
        <v>0</v>
      </c>
      <c r="M43" s="254">
        <f>'RE Grid Connected'!D23</f>
        <v>0</v>
      </c>
      <c r="N43" s="254">
        <f>'RE Grid Connected'!E23</f>
        <v>0</v>
      </c>
      <c r="O43" s="254">
        <f>'RE Grid Connected'!F23</f>
        <v>2000</v>
      </c>
      <c r="P43" s="254">
        <f t="shared" si="10"/>
        <v>2000</v>
      </c>
      <c r="Q43" s="139"/>
    </row>
    <row r="44" spans="1:17" ht="12.75">
      <c r="A44" s="182" t="s">
        <v>319</v>
      </c>
      <c r="B44" s="252">
        <f t="shared" si="9"/>
        <v>1600</v>
      </c>
      <c r="C44" s="252">
        <f>'RE Grants and Financing'!B42</f>
        <v>0</v>
      </c>
      <c r="D44" s="252">
        <f>'RE Grants and Financing'!C42</f>
        <v>0</v>
      </c>
      <c r="E44" s="252">
        <f>'RE Grants and Financing'!D42</f>
        <v>0</v>
      </c>
      <c r="F44" s="252">
        <f>'RE Grants and Financing'!E42</f>
        <v>0</v>
      </c>
      <c r="G44" s="252">
        <f>'RE Grants and Financing'!F42</f>
        <v>1600</v>
      </c>
      <c r="H44" s="252">
        <f>'RE Grants and Financing'!G42</f>
        <v>0</v>
      </c>
      <c r="I44" s="252">
        <f>'RE Grants and Financing'!H42</f>
        <v>8600</v>
      </c>
      <c r="J44" s="252">
        <f>'RE Grants and Financing'!I42</f>
        <v>9600</v>
      </c>
      <c r="K44" s="252">
        <f>'RE Grants and Financing'!J42</f>
        <v>1500</v>
      </c>
      <c r="L44" s="252">
        <f>'RE Grants and Financing'!K42</f>
        <v>6200</v>
      </c>
      <c r="M44" s="318"/>
      <c r="N44" s="318"/>
      <c r="O44" s="318"/>
      <c r="P44" s="254">
        <f t="shared" si="10"/>
        <v>27500</v>
      </c>
      <c r="Q44" s="147"/>
    </row>
    <row r="45" spans="1:17" ht="12.75">
      <c r="A45" s="182" t="s">
        <v>320</v>
      </c>
      <c r="B45" s="252">
        <f t="shared" si="9"/>
        <v>0</v>
      </c>
      <c r="C45" s="252"/>
      <c r="D45" s="252"/>
      <c r="E45" s="252"/>
      <c r="F45" s="252"/>
      <c r="G45" s="252"/>
      <c r="H45" s="252"/>
      <c r="I45" s="252">
        <f>REC!B22</f>
        <v>13</v>
      </c>
      <c r="J45" s="252">
        <f>REC!C22</f>
        <v>8433</v>
      </c>
      <c r="K45" s="252">
        <f>REC!D22</f>
        <v>34269</v>
      </c>
      <c r="L45" s="252">
        <f>REC!E22</f>
        <v>145766</v>
      </c>
      <c r="M45" s="254">
        <f>REC!F22</f>
        <v>294745</v>
      </c>
      <c r="N45" s="254">
        <f>REC!G22</f>
        <v>528585</v>
      </c>
      <c r="O45" s="254">
        <f>REC!H22</f>
        <v>205085</v>
      </c>
      <c r="P45" s="254">
        <f t="shared" si="10"/>
        <v>1216896</v>
      </c>
      <c r="Q45" s="137"/>
    </row>
    <row r="46" spans="1:17" ht="12.75">
      <c r="A46" s="228" t="s">
        <v>442</v>
      </c>
      <c r="B46" s="265">
        <f t="shared" si="9"/>
        <v>14523</v>
      </c>
      <c r="C46" s="265">
        <f>SUM(C41:C45)</f>
        <v>8</v>
      </c>
      <c r="D46" s="265">
        <f aca="true" t="shared" si="11" ref="D46:K46">SUM(D41:D45)</f>
        <v>1142</v>
      </c>
      <c r="E46" s="265">
        <f t="shared" si="11"/>
        <v>1743</v>
      </c>
      <c r="F46" s="265">
        <f t="shared" si="11"/>
        <v>2644</v>
      </c>
      <c r="G46" s="265">
        <f t="shared" si="11"/>
        <v>8986</v>
      </c>
      <c r="H46" s="265">
        <f t="shared" si="11"/>
        <v>18725</v>
      </c>
      <c r="I46" s="265">
        <f t="shared" si="11"/>
        <v>28920</v>
      </c>
      <c r="J46" s="265">
        <f t="shared" si="11"/>
        <v>32805</v>
      </c>
      <c r="K46" s="265">
        <f t="shared" si="11"/>
        <v>50778</v>
      </c>
      <c r="L46" s="265">
        <f>SUM(L41:L45)</f>
        <v>183244</v>
      </c>
      <c r="M46" s="256">
        <f>SUM(M41:M45)</f>
        <v>318387</v>
      </c>
      <c r="N46" s="256">
        <f>SUM(N41:N45)</f>
        <v>533150</v>
      </c>
      <c r="O46" s="256">
        <f>SUM(O41:O45)</f>
        <v>207397</v>
      </c>
      <c r="P46" s="256">
        <f t="shared" si="10"/>
        <v>1387929</v>
      </c>
      <c r="Q46" s="139"/>
    </row>
    <row r="47" spans="1:17" ht="12.75">
      <c r="A47" s="86" t="s">
        <v>413</v>
      </c>
      <c r="B47" s="265">
        <f>SUM(C47:G47)</f>
        <v>297227</v>
      </c>
      <c r="C47" s="265">
        <f aca="true" t="shared" si="12" ref="C47:O47">C46+C38</f>
        <v>18176</v>
      </c>
      <c r="D47" s="265">
        <f t="shared" si="12"/>
        <v>45759</v>
      </c>
      <c r="E47" s="265">
        <f t="shared" si="12"/>
        <v>69307</v>
      </c>
      <c r="F47" s="265">
        <f t="shared" si="12"/>
        <v>81398</v>
      </c>
      <c r="G47" s="265">
        <f t="shared" si="12"/>
        <v>82587</v>
      </c>
      <c r="H47" s="265">
        <f t="shared" si="12"/>
        <v>73349</v>
      </c>
      <c r="I47" s="265">
        <f t="shared" si="12"/>
        <v>82705</v>
      </c>
      <c r="J47" s="265">
        <f t="shared" si="12"/>
        <v>74747</v>
      </c>
      <c r="K47" s="265">
        <f t="shared" si="12"/>
        <v>101827</v>
      </c>
      <c r="L47" s="265">
        <f t="shared" si="12"/>
        <v>251299.6</v>
      </c>
      <c r="M47" s="256">
        <f t="shared" si="12"/>
        <v>448052.8</v>
      </c>
      <c r="N47" s="256">
        <f t="shared" si="12"/>
        <v>651942.9</v>
      </c>
      <c r="O47" s="256">
        <f t="shared" si="12"/>
        <v>288052</v>
      </c>
      <c r="P47" s="265">
        <f>SUM(C47:O47)</f>
        <v>2269202.3</v>
      </c>
      <c r="Q47" s="23"/>
    </row>
    <row r="48" spans="2:16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38"/>
      <c r="N48" s="138"/>
      <c r="O48" s="138"/>
      <c r="P48" s="103"/>
    </row>
    <row r="49" spans="1:16" ht="12.75">
      <c r="A49" s="73" t="s">
        <v>110</v>
      </c>
      <c r="B49" s="265">
        <f>SUM(C49:G49)</f>
        <v>768888</v>
      </c>
      <c r="C49" s="252">
        <f>'Appliance Cycling'!B15</f>
        <v>204971</v>
      </c>
      <c r="D49" s="252">
        <f>'Appliance Cycling'!C15</f>
        <v>196222</v>
      </c>
      <c r="E49" s="252">
        <f>'Appliance Cycling'!D15</f>
        <v>194531</v>
      </c>
      <c r="F49" s="252">
        <f>'Appliance Cycling'!E15</f>
        <v>173164</v>
      </c>
      <c r="G49" s="252">
        <f>'Appliance Cycling'!F15</f>
        <v>0</v>
      </c>
      <c r="H49" s="318"/>
      <c r="I49" s="318"/>
      <c r="J49" s="318"/>
      <c r="K49" s="318"/>
      <c r="L49" s="318"/>
      <c r="M49" s="318"/>
      <c r="N49" s="318"/>
      <c r="O49" s="318"/>
      <c r="P49" s="252"/>
    </row>
    <row r="50" ht="12.75">
      <c r="A50" s="2" t="s">
        <v>291</v>
      </c>
    </row>
    <row r="51" ht="12.75">
      <c r="I51" s="87" t="s">
        <v>88</v>
      </c>
    </row>
  </sheetData>
  <sheetProtection/>
  <mergeCells count="2">
    <mergeCell ref="A2:P2"/>
    <mergeCell ref="A1:P1"/>
  </mergeCells>
  <printOptions/>
  <pageMargins left="0.17" right="0.17" top="0.4" bottom="0.6" header="0.24" footer="0.24"/>
  <pageSetup fitToHeight="1" fitToWidth="1" horizontalDpi="600" verticalDpi="600" orientation="landscape" scale="83" r:id="rId1"/>
  <headerFooter scaleWithDoc="0" alignWithMargins="0">
    <oddFooter>&amp;L&amp;6&amp;A - Results by Program Year&amp;R&amp;6printed &amp;D at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64"/>
  <sheetViews>
    <sheetView showGridLines="0" zoomScalePageLayoutView="0" workbookViewId="0" topLeftCell="A1">
      <selection activeCell="A1" sqref="A1:E1"/>
    </sheetView>
  </sheetViews>
  <sheetFormatPr defaultColWidth="9.140625" defaultRowHeight="12.75"/>
  <cols>
    <col min="1" max="1" width="31.00390625" style="0" customWidth="1"/>
    <col min="2" max="2" width="15.00390625" style="0" customWidth="1"/>
    <col min="3" max="3" width="16.421875" style="0" customWidth="1"/>
    <col min="4" max="4" width="15.28125" style="0" customWidth="1"/>
    <col min="5" max="5" width="15.00390625" style="0" customWidth="1"/>
    <col min="6" max="6" width="12.7109375" style="0" customWidth="1"/>
    <col min="7" max="7" width="16.28125" style="0" customWidth="1"/>
  </cols>
  <sheetData>
    <row r="1" spans="1:6" ht="12.75">
      <c r="A1" s="459" t="s">
        <v>353</v>
      </c>
      <c r="B1" s="459"/>
      <c r="C1" s="459"/>
      <c r="D1" s="459"/>
      <c r="E1" s="459"/>
      <c r="F1" s="24"/>
    </row>
    <row r="2" spans="1:6" ht="12.75">
      <c r="A2" s="458" t="s">
        <v>379</v>
      </c>
      <c r="B2" s="458"/>
      <c r="C2" s="458"/>
      <c r="D2" s="458"/>
      <c r="E2" s="458"/>
      <c r="F2" s="24"/>
    </row>
    <row r="3" spans="1:6" ht="38.25">
      <c r="A3" s="396"/>
      <c r="B3" s="119" t="s">
        <v>148</v>
      </c>
      <c r="C3" s="119" t="s">
        <v>230</v>
      </c>
      <c r="D3" s="128" t="s">
        <v>231</v>
      </c>
      <c r="E3" s="128" t="s">
        <v>272</v>
      </c>
      <c r="F3" s="24"/>
    </row>
    <row r="4" spans="1:6" ht="12.75">
      <c r="A4" s="227" t="s">
        <v>83</v>
      </c>
      <c r="B4" s="243">
        <f>'Program Summary'!O13</f>
        <v>304264392.03</v>
      </c>
      <c r="C4" s="242">
        <f>'Program Summary'!O22</f>
        <v>178097681.61</v>
      </c>
      <c r="D4" s="243">
        <f>'Program Summary'!O31</f>
        <v>95187313.75</v>
      </c>
      <c r="E4" s="243">
        <f aca="true" t="shared" si="0" ref="E4:E9">C4+D4</f>
        <v>273284995.36</v>
      </c>
      <c r="F4" s="108"/>
    </row>
    <row r="5" spans="1:6" ht="12.75">
      <c r="A5" s="227" t="s">
        <v>365</v>
      </c>
      <c r="B5" s="243">
        <f>'Program Summary'!O14</f>
        <v>37964525.92</v>
      </c>
      <c r="C5" s="242">
        <f>'Program Summary'!O23</f>
        <v>1474906.46</v>
      </c>
      <c r="D5" s="243">
        <f>'Program Summary'!O32</f>
        <v>6050795.1</v>
      </c>
      <c r="E5" s="243">
        <f t="shared" si="0"/>
        <v>7525701.56</v>
      </c>
      <c r="F5" s="108"/>
    </row>
    <row r="6" spans="1:6" ht="12.75">
      <c r="A6" s="227" t="s">
        <v>84</v>
      </c>
      <c r="B6" s="243">
        <f>'Program Summary'!O15</f>
        <v>20311137.42</v>
      </c>
      <c r="C6" s="242">
        <f>'Program Summary'!O24</f>
        <v>4193889.84</v>
      </c>
      <c r="D6" s="243">
        <f>'Program Summary'!O33</f>
        <v>7755043.27</v>
      </c>
      <c r="E6" s="243">
        <f t="shared" si="0"/>
        <v>11948933.11</v>
      </c>
      <c r="F6" s="109"/>
    </row>
    <row r="7" spans="1:6" ht="12.75">
      <c r="A7" s="182" t="s">
        <v>270</v>
      </c>
      <c r="B7" s="243">
        <f>'Program Summary'!O16</f>
        <v>31367385.35</v>
      </c>
      <c r="C7" s="242">
        <f>'Program Summary'!O25</f>
        <v>5524016.06</v>
      </c>
      <c r="D7" s="243">
        <f>'Program Summary'!O34</f>
        <v>8106179.38</v>
      </c>
      <c r="E7" s="243">
        <f t="shared" si="0"/>
        <v>13630195.44</v>
      </c>
      <c r="F7" s="109"/>
    </row>
    <row r="8" spans="1:6" ht="12.75">
      <c r="A8" s="182" t="s">
        <v>149</v>
      </c>
      <c r="B8" s="243">
        <f>'Program Summary'!O17</f>
        <v>11385232.61</v>
      </c>
      <c r="C8" s="242">
        <f>'Program Summary'!O26</f>
        <v>5511570.11</v>
      </c>
      <c r="D8" s="243">
        <f>'Program Summary'!O35</f>
        <v>0</v>
      </c>
      <c r="E8" s="243">
        <f t="shared" si="0"/>
        <v>5511570.11</v>
      </c>
      <c r="F8" s="33" t="s">
        <v>88</v>
      </c>
    </row>
    <row r="9" spans="1:7" ht="12.75">
      <c r="A9" s="182" t="s">
        <v>271</v>
      </c>
      <c r="B9" s="243">
        <f>'Program Summary'!O18</f>
        <v>12793600.21</v>
      </c>
      <c r="C9" s="242">
        <f>'Program Summary'!O27</f>
        <v>7419100.21</v>
      </c>
      <c r="D9" s="243">
        <f>'Program Summary'!O36</f>
        <v>1874500</v>
      </c>
      <c r="E9" s="243">
        <f t="shared" si="0"/>
        <v>9293600.21</v>
      </c>
      <c r="F9" s="33"/>
      <c r="G9" s="12"/>
    </row>
    <row r="10" spans="1:6" ht="12.75">
      <c r="A10" s="14" t="s">
        <v>1</v>
      </c>
      <c r="B10" s="244">
        <f>SUM(B4:B9)</f>
        <v>418086273.54</v>
      </c>
      <c r="C10" s="244">
        <f>SUM(C4:C9)</f>
        <v>202221164.29000005</v>
      </c>
      <c r="D10" s="244">
        <f>SUM(D4:D9)</f>
        <v>118973831.49999999</v>
      </c>
      <c r="E10" s="244">
        <f>SUM(E4:E9)</f>
        <v>321194995.79</v>
      </c>
      <c r="F10" s="33"/>
    </row>
    <row r="12" spans="1:4" ht="12.75">
      <c r="A12" s="134" t="s">
        <v>363</v>
      </c>
      <c r="B12" s="24"/>
      <c r="C12" s="24"/>
      <c r="D12" s="24"/>
    </row>
    <row r="13" spans="1:4" ht="12.75">
      <c r="A13" s="24"/>
      <c r="B13" s="28" t="s">
        <v>20</v>
      </c>
      <c r="C13" s="28" t="s">
        <v>19</v>
      </c>
      <c r="D13" s="28" t="s">
        <v>1</v>
      </c>
    </row>
    <row r="14" spans="1:4" ht="12.75">
      <c r="A14" s="30" t="s">
        <v>85</v>
      </c>
      <c r="B14" s="24"/>
      <c r="C14" s="24"/>
      <c r="D14" s="24"/>
    </row>
    <row r="15" spans="1:4" ht="12.75">
      <c r="A15" s="22" t="s">
        <v>64</v>
      </c>
      <c r="B15" s="248">
        <f>'Annual Savings'!O34</f>
        <v>518814</v>
      </c>
      <c r="C15" s="248">
        <f>'Annual Savings'!O136</f>
        <v>231428</v>
      </c>
      <c r="D15" s="248">
        <f>SUM(B15:C15)</f>
        <v>750242</v>
      </c>
    </row>
    <row r="16" spans="1:4" ht="6" customHeight="1">
      <c r="A16" s="24"/>
      <c r="B16" s="257"/>
      <c r="C16" s="257"/>
      <c r="D16" s="257"/>
    </row>
    <row r="17" spans="1:4" ht="12.75">
      <c r="A17" s="30" t="s">
        <v>86</v>
      </c>
      <c r="B17" s="257"/>
      <c r="C17" s="257"/>
      <c r="D17" s="257"/>
    </row>
    <row r="18" spans="1:4" ht="12.75">
      <c r="A18" s="22" t="s">
        <v>64</v>
      </c>
      <c r="B18" s="248">
        <f>'Annual Savings'!O122</f>
        <v>921791</v>
      </c>
      <c r="C18" s="248">
        <f>'Annual Savings'!O189</f>
        <v>559033</v>
      </c>
      <c r="D18" s="248">
        <f>SUM(B18:C18)</f>
        <v>1480824</v>
      </c>
    </row>
    <row r="19" spans="1:4" ht="6" customHeight="1">
      <c r="A19" s="24"/>
      <c r="B19" s="257"/>
      <c r="C19" s="257"/>
      <c r="D19" s="257"/>
    </row>
    <row r="20" spans="1:4" ht="12.75">
      <c r="A20" s="30" t="s">
        <v>107</v>
      </c>
      <c r="B20" s="257"/>
      <c r="C20" s="257"/>
      <c r="D20" s="257"/>
    </row>
    <row r="21" spans="1:4" ht="12.75">
      <c r="A21" s="22" t="s">
        <v>64</v>
      </c>
      <c r="B21" s="258">
        <f>'Lifetime Savings'!O34</f>
        <v>6040321</v>
      </c>
      <c r="C21" s="258">
        <f>'Lifetime Savings'!O86</f>
        <v>3854105</v>
      </c>
      <c r="D21" s="248">
        <f>SUM(B21:C21)</f>
        <v>9894426</v>
      </c>
    </row>
    <row r="22" spans="1:4" ht="6" customHeight="1">
      <c r="A22" s="24"/>
      <c r="B22" s="259"/>
      <c r="C22" s="259"/>
      <c r="D22" s="257"/>
    </row>
    <row r="23" spans="1:4" ht="12.75">
      <c r="A23" s="30" t="s">
        <v>108</v>
      </c>
      <c r="B23" s="259"/>
      <c r="C23" s="259"/>
      <c r="D23" s="257"/>
    </row>
    <row r="24" spans="1:4" ht="12.75">
      <c r="A24" s="22" t="s">
        <v>64</v>
      </c>
      <c r="B24" s="258">
        <f>'Lifetime Savings'!O71</f>
        <v>16657595</v>
      </c>
      <c r="C24" s="258">
        <f>'Lifetime Savings'!O112</f>
        <v>10019055</v>
      </c>
      <c r="D24" s="248">
        <f>SUM(B24:C24)</f>
        <v>26676650</v>
      </c>
    </row>
    <row r="25" spans="1:4" ht="6" customHeight="1">
      <c r="A25" s="30"/>
      <c r="B25" s="257"/>
      <c r="C25" s="257"/>
      <c r="D25" s="257"/>
    </row>
    <row r="26" spans="1:4" ht="12.75">
      <c r="A26" s="30" t="s">
        <v>87</v>
      </c>
      <c r="B26" s="259"/>
      <c r="C26" s="259"/>
      <c r="D26" s="257"/>
    </row>
    <row r="27" spans="1:4" ht="12.75">
      <c r="A27" s="22" t="s">
        <v>64</v>
      </c>
      <c r="B27" s="258">
        <f>'Lifetime Savings'!P34</f>
        <v>47771091.7</v>
      </c>
      <c r="C27" s="260" t="s">
        <v>4</v>
      </c>
      <c r="D27" s="253">
        <f>B27</f>
        <v>47771091.7</v>
      </c>
    </row>
    <row r="28" spans="1:4" ht="6" customHeight="1">
      <c r="A28" s="24"/>
      <c r="B28" s="259"/>
      <c r="C28" s="259"/>
      <c r="D28" s="261"/>
    </row>
    <row r="29" spans="1:4" ht="12.75">
      <c r="A29" s="30" t="s">
        <v>91</v>
      </c>
      <c r="B29" s="259"/>
      <c r="C29" s="259"/>
      <c r="D29" s="261"/>
    </row>
    <row r="30" spans="1:4" ht="12.75">
      <c r="A30" s="18" t="s">
        <v>192</v>
      </c>
      <c r="B30" s="258">
        <f>'Lifetime Savings'!P71</f>
        <v>150862209.84</v>
      </c>
      <c r="C30" s="260" t="s">
        <v>4</v>
      </c>
      <c r="D30" s="253">
        <f>B30</f>
        <v>150862209.84</v>
      </c>
    </row>
    <row r="31" spans="1:4" ht="6" customHeight="1">
      <c r="A31" s="24"/>
      <c r="B31" s="257"/>
      <c r="C31" s="257"/>
      <c r="D31" s="257"/>
    </row>
    <row r="32" spans="1:4" ht="12.75">
      <c r="A32" s="30" t="s">
        <v>450</v>
      </c>
      <c r="B32" s="257"/>
      <c r="C32" s="257"/>
      <c r="D32" s="257"/>
    </row>
    <row r="33" spans="1:4" ht="12.75">
      <c r="A33" s="22" t="s">
        <v>64</v>
      </c>
      <c r="B33" s="248">
        <f>'Annual Savings'!O80</f>
        <v>80245</v>
      </c>
      <c r="C33" s="248">
        <f>'Annual Savings'!O161</f>
        <v>48155</v>
      </c>
      <c r="D33" s="248">
        <f>SUM(B33:C33)</f>
        <v>128400</v>
      </c>
    </row>
    <row r="35" spans="1:4" ht="12.75">
      <c r="A35" s="436" t="s">
        <v>448</v>
      </c>
      <c r="B35" s="24"/>
      <c r="C35" s="24"/>
      <c r="D35" s="24"/>
    </row>
    <row r="36" spans="1:4" ht="12.75">
      <c r="A36" s="24"/>
      <c r="B36" s="28" t="s">
        <v>20</v>
      </c>
      <c r="C36" s="28" t="s">
        <v>19</v>
      </c>
      <c r="D36" s="28" t="s">
        <v>1</v>
      </c>
    </row>
    <row r="37" spans="1:4" ht="12.75">
      <c r="A37" s="30" t="s">
        <v>85</v>
      </c>
      <c r="B37" s="24"/>
      <c r="C37" s="24"/>
      <c r="D37" s="24"/>
    </row>
    <row r="38" spans="1:4" ht="12.75">
      <c r="A38" s="22" t="s">
        <v>65</v>
      </c>
      <c r="B38" s="262">
        <f>'Annual Savings'!O48</f>
        <v>261660</v>
      </c>
      <c r="C38" s="262">
        <f>'Annual Savings'!O150</f>
        <v>438752</v>
      </c>
      <c r="D38" s="262">
        <f>SUM(B38:C38)</f>
        <v>700412</v>
      </c>
    </row>
    <row r="39" spans="1:4" ht="6" customHeight="1">
      <c r="A39" s="24"/>
      <c r="B39" s="257"/>
      <c r="C39" s="257"/>
      <c r="D39" s="257"/>
    </row>
    <row r="40" spans="1:4" ht="12.75">
      <c r="A40" s="30" t="s">
        <v>107</v>
      </c>
      <c r="B40" s="257"/>
      <c r="C40" s="257"/>
      <c r="D40" s="257"/>
    </row>
    <row r="41" spans="1:6" ht="12.75">
      <c r="A41" s="22" t="s">
        <v>65</v>
      </c>
      <c r="B41" s="263">
        <f>'Lifetime Savings'!O47</f>
        <v>5233196</v>
      </c>
      <c r="C41" s="263">
        <f>'Lifetime Savings'!O99</f>
        <v>8775000</v>
      </c>
      <c r="D41" s="262">
        <f>SUM(B41:C41)</f>
        <v>14008196</v>
      </c>
      <c r="E41" s="137"/>
      <c r="F41" s="137"/>
    </row>
    <row r="42" spans="1:4" ht="6" customHeight="1">
      <c r="A42" s="30"/>
      <c r="B42" s="257"/>
      <c r="C42" s="257"/>
      <c r="D42" s="257"/>
    </row>
    <row r="43" spans="1:4" ht="12.75">
      <c r="A43" s="30" t="s">
        <v>87</v>
      </c>
      <c r="B43" s="259"/>
      <c r="C43" s="259"/>
      <c r="D43" s="257"/>
    </row>
    <row r="44" spans="1:4" ht="12.75">
      <c r="A44" s="22" t="s">
        <v>65</v>
      </c>
      <c r="B44" s="263">
        <f>'Lifetime Savings'!P47</f>
        <v>36094193</v>
      </c>
      <c r="C44" s="260" t="s">
        <v>4</v>
      </c>
      <c r="D44" s="255">
        <f>B44</f>
        <v>36094193</v>
      </c>
    </row>
    <row r="45" spans="1:4" ht="6" customHeight="1">
      <c r="A45" s="24"/>
      <c r="B45" s="257"/>
      <c r="C45" s="257"/>
      <c r="D45" s="257"/>
    </row>
    <row r="46" spans="1:4" ht="12.75">
      <c r="A46" s="30" t="s">
        <v>449</v>
      </c>
      <c r="B46" s="257"/>
      <c r="C46" s="257"/>
      <c r="D46" s="257"/>
    </row>
    <row r="47" spans="1:4" ht="12.75">
      <c r="A47" s="22" t="s">
        <v>65</v>
      </c>
      <c r="B47" s="248">
        <f>'Annual Savings'!O94</f>
        <v>207397</v>
      </c>
      <c r="C47" s="262">
        <f>'Annual Savings'!O174</f>
        <v>348938</v>
      </c>
      <c r="D47" s="262">
        <f>SUM(B47:C47)</f>
        <v>556335</v>
      </c>
    </row>
    <row r="48" spans="1:4" ht="12.75">
      <c r="A48" s="24"/>
      <c r="B48" s="62"/>
      <c r="C48" s="72"/>
      <c r="D48" s="72"/>
    </row>
    <row r="49" spans="1:4" ht="12.75">
      <c r="A49" s="343" t="s">
        <v>364</v>
      </c>
      <c r="B49" s="24"/>
      <c r="C49" s="24"/>
      <c r="D49" s="24"/>
    </row>
    <row r="50" spans="1:4" ht="12.75">
      <c r="A50" s="24"/>
      <c r="B50" s="28" t="s">
        <v>20</v>
      </c>
      <c r="C50" s="28" t="s">
        <v>19</v>
      </c>
      <c r="D50" s="28" t="s">
        <v>1</v>
      </c>
    </row>
    <row r="51" spans="1:4" ht="12.75">
      <c r="A51" s="30" t="s">
        <v>85</v>
      </c>
      <c r="B51" s="24"/>
      <c r="C51" s="24"/>
      <c r="D51" s="24"/>
    </row>
    <row r="52" spans="1:4" ht="12.75">
      <c r="A52" s="22" t="s">
        <v>50</v>
      </c>
      <c r="B52" s="262">
        <f>'Annual Savings'!O39</f>
        <v>9409</v>
      </c>
      <c r="C52" s="262">
        <f>'Annual Savings'!O141</f>
        <v>33222</v>
      </c>
      <c r="D52" s="262">
        <f>SUM(B52:C52)</f>
        <v>42631</v>
      </c>
    </row>
    <row r="53" spans="1:4" ht="6" customHeight="1">
      <c r="A53" s="24"/>
      <c r="B53" s="257"/>
      <c r="C53" s="257"/>
      <c r="D53" s="257"/>
    </row>
    <row r="54" spans="1:4" ht="12.75">
      <c r="A54" s="30" t="s">
        <v>107</v>
      </c>
      <c r="B54" s="257"/>
      <c r="C54" s="257"/>
      <c r="D54" s="257"/>
    </row>
    <row r="55" spans="1:6" ht="12.75">
      <c r="A55" s="22" t="s">
        <v>50</v>
      </c>
      <c r="B55" s="263">
        <f>'Lifetime Savings'!O39</f>
        <v>112909</v>
      </c>
      <c r="C55" s="263">
        <f>'Lifetime Savings'!O91</f>
        <v>440093</v>
      </c>
      <c r="D55" s="263">
        <f>SUM(B55:C55)</f>
        <v>553002</v>
      </c>
      <c r="E55" s="137"/>
      <c r="F55" s="137"/>
    </row>
    <row r="56" spans="1:6" ht="6" customHeight="1">
      <c r="A56" s="30"/>
      <c r="B56" s="259"/>
      <c r="C56" s="259"/>
      <c r="D56" s="259"/>
      <c r="E56" s="137"/>
      <c r="F56" s="137"/>
    </row>
    <row r="57" spans="1:6" ht="12.75">
      <c r="A57" s="30" t="s">
        <v>87</v>
      </c>
      <c r="B57" s="259"/>
      <c r="C57" s="259"/>
      <c r="D57" s="259"/>
      <c r="E57" s="137"/>
      <c r="F57" s="137"/>
    </row>
    <row r="58" spans="1:6" ht="12.75">
      <c r="A58" s="22" t="s">
        <v>50</v>
      </c>
      <c r="B58" s="263">
        <f>'Lifetime Savings'!P39</f>
        <v>2730152</v>
      </c>
      <c r="C58" s="260" t="s">
        <v>4</v>
      </c>
      <c r="D58" s="255">
        <f>B58</f>
        <v>2730152</v>
      </c>
      <c r="E58" s="137"/>
      <c r="F58" s="137"/>
    </row>
    <row r="59" spans="1:6" ht="6" customHeight="1">
      <c r="A59" s="24"/>
      <c r="B59" s="259"/>
      <c r="C59" s="259"/>
      <c r="D59" s="259"/>
      <c r="E59" s="137"/>
      <c r="F59" s="137"/>
    </row>
    <row r="60" spans="1:6" ht="12.75">
      <c r="A60" s="30" t="s">
        <v>449</v>
      </c>
      <c r="B60" s="259"/>
      <c r="C60" s="259"/>
      <c r="D60" s="259"/>
      <c r="E60" s="137"/>
      <c r="F60" s="137"/>
    </row>
    <row r="61" spans="1:6" ht="12.75">
      <c r="A61" s="22" t="s">
        <v>50</v>
      </c>
      <c r="B61" s="258">
        <f>'Annual Savings'!O85</f>
        <v>2205</v>
      </c>
      <c r="C61" s="263">
        <f>'Annual Savings'!O166</f>
        <v>4243</v>
      </c>
      <c r="D61" s="263">
        <f>SUM(B61:C61)</f>
        <v>6448</v>
      </c>
      <c r="E61" s="137"/>
      <c r="F61" s="137"/>
    </row>
    <row r="64" ht="14.25">
      <c r="A64" s="87" t="s">
        <v>349</v>
      </c>
    </row>
  </sheetData>
  <sheetProtection/>
  <mergeCells count="2">
    <mergeCell ref="A1:E1"/>
    <mergeCell ref="A2:E2"/>
  </mergeCells>
  <printOptions/>
  <pageMargins left="0.55" right="0.57" top="0.42" bottom="0.54" header="0.3" footer="0.24"/>
  <pageSetup fitToHeight="1" fitToWidth="1" horizontalDpi="600" verticalDpi="600" orientation="landscape" scale="77" r:id="rId1"/>
  <headerFooter scaleWithDoc="0" alignWithMargins="0">
    <oddFooter>&amp;L&amp;6&amp;A&amp;R&amp;6printed &amp;D at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showGridLines="0" zoomScalePageLayoutView="0" workbookViewId="0" topLeftCell="A1">
      <selection activeCell="A1" sqref="A1:R1"/>
    </sheetView>
  </sheetViews>
  <sheetFormatPr defaultColWidth="10.7109375" defaultRowHeight="12.75"/>
  <cols>
    <col min="1" max="1" width="32.57421875" style="3" customWidth="1"/>
    <col min="2" max="2" width="15.00390625" style="3" bestFit="1" customWidth="1"/>
    <col min="3" max="5" width="12.7109375" style="6" hidden="1" customWidth="1"/>
    <col min="6" max="6" width="13.8515625" style="6" hidden="1" customWidth="1"/>
    <col min="7" max="7" width="12.7109375" style="6" hidden="1" customWidth="1"/>
    <col min="8" max="8" width="14.00390625" style="6" bestFit="1" customWidth="1"/>
    <col min="9" max="12" width="14.8515625" style="6" customWidth="1"/>
    <col min="13" max="15" width="14.8515625" style="65" customWidth="1"/>
    <col min="16" max="16" width="16.00390625" style="6" bestFit="1" customWidth="1"/>
    <col min="17" max="17" width="10.7109375" style="65" customWidth="1"/>
    <col min="18" max="19" width="10.7109375" style="6" customWidth="1"/>
    <col min="20" max="20" width="14.421875" style="6" bestFit="1" customWidth="1"/>
    <col min="21" max="16384" width="10.7109375" style="6" customWidth="1"/>
  </cols>
  <sheetData>
    <row r="1" spans="1:17" ht="12.75">
      <c r="A1" s="458" t="s">
        <v>407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137"/>
    </row>
    <row r="2" spans="1:17" ht="12.75">
      <c r="A2" s="458" t="s">
        <v>419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8"/>
      <c r="Q2" s="137"/>
    </row>
    <row r="3" spans="1:17" ht="12.75">
      <c r="A3" s="40"/>
      <c r="B3" s="40"/>
      <c r="Q3" s="137"/>
    </row>
    <row r="4" spans="1:17" ht="25.5">
      <c r="A4" s="30" t="s">
        <v>254</v>
      </c>
      <c r="B4" s="197" t="s">
        <v>289</v>
      </c>
      <c r="C4" s="28">
        <v>2001</v>
      </c>
      <c r="D4" s="28">
        <v>2002</v>
      </c>
      <c r="E4" s="28">
        <v>2003</v>
      </c>
      <c r="F4" s="28">
        <v>2004</v>
      </c>
      <c r="G4" s="28">
        <v>2005</v>
      </c>
      <c r="H4" s="28">
        <v>2006</v>
      </c>
      <c r="I4" s="28">
        <v>2007</v>
      </c>
      <c r="J4" s="28">
        <v>2008</v>
      </c>
      <c r="K4" s="28">
        <v>2009</v>
      </c>
      <c r="L4" s="28">
        <v>2010</v>
      </c>
      <c r="M4" s="106">
        <v>2011</v>
      </c>
      <c r="N4" s="345" t="s">
        <v>347</v>
      </c>
      <c r="O4" s="345" t="s">
        <v>353</v>
      </c>
      <c r="P4" s="346" t="str">
        <f>"Total "&amp;CHAR(10)&amp;C4&amp;" ~ "&amp;O4</f>
        <v>Total 
2001 ~ FY2014</v>
      </c>
      <c r="Q4" s="137"/>
    </row>
    <row r="5" spans="1:17" ht="12.75">
      <c r="A5" s="227" t="s">
        <v>21</v>
      </c>
      <c r="B5" s="274">
        <f>SUM(C5:G5)</f>
        <v>1010</v>
      </c>
      <c r="C5" s="274">
        <v>1010</v>
      </c>
      <c r="D5" s="274"/>
      <c r="E5" s="274"/>
      <c r="F5" s="274"/>
      <c r="G5" s="274"/>
      <c r="H5" s="274"/>
      <c r="I5" s="378"/>
      <c r="J5" s="378"/>
      <c r="K5" s="378"/>
      <c r="L5" s="378"/>
      <c r="M5" s="378"/>
      <c r="N5" s="378"/>
      <c r="O5" s="378"/>
      <c r="P5" s="274">
        <f aca="true" t="shared" si="0" ref="P5:P16">SUM(C5:O5)</f>
        <v>1010</v>
      </c>
      <c r="Q5" s="137"/>
    </row>
    <row r="6" spans="1:17" ht="12.75">
      <c r="A6" s="227" t="s">
        <v>35</v>
      </c>
      <c r="B6" s="274">
        <f aca="true" t="shared" si="1" ref="B6:B16">SUM(C6:G6)</f>
        <v>1661</v>
      </c>
      <c r="C6" s="274">
        <v>1661</v>
      </c>
      <c r="D6" s="274"/>
      <c r="E6" s="274"/>
      <c r="F6" s="274"/>
      <c r="G6" s="274"/>
      <c r="H6" s="274"/>
      <c r="I6" s="378"/>
      <c r="J6" s="378"/>
      <c r="K6" s="378"/>
      <c r="L6" s="378"/>
      <c r="M6" s="378"/>
      <c r="N6" s="378"/>
      <c r="O6" s="378"/>
      <c r="P6" s="274">
        <f t="shared" si="0"/>
        <v>1661</v>
      </c>
      <c r="Q6" s="137"/>
    </row>
    <row r="7" spans="1:17" ht="12.75">
      <c r="A7" s="227" t="s">
        <v>22</v>
      </c>
      <c r="B7" s="274">
        <f t="shared" si="1"/>
        <v>1210</v>
      </c>
      <c r="C7" s="274">
        <v>1210</v>
      </c>
      <c r="D7" s="274"/>
      <c r="E7" s="274"/>
      <c r="F7" s="274"/>
      <c r="G7" s="274"/>
      <c r="H7" s="274"/>
      <c r="I7" s="378"/>
      <c r="J7" s="378"/>
      <c r="K7" s="378"/>
      <c r="L7" s="378"/>
      <c r="M7" s="378"/>
      <c r="N7" s="378"/>
      <c r="O7" s="378"/>
      <c r="P7" s="274">
        <f t="shared" si="0"/>
        <v>1210</v>
      </c>
      <c r="Q7" s="137"/>
    </row>
    <row r="8" spans="1:17" ht="12.75">
      <c r="A8" s="227" t="s">
        <v>285</v>
      </c>
      <c r="B8" s="274">
        <f t="shared" si="1"/>
        <v>2500</v>
      </c>
      <c r="C8" s="274"/>
      <c r="D8" s="274"/>
      <c r="E8" s="274"/>
      <c r="F8" s="274">
        <v>2500</v>
      </c>
      <c r="G8" s="274">
        <v>0</v>
      </c>
      <c r="H8" s="274">
        <v>0</v>
      </c>
      <c r="I8" s="378"/>
      <c r="J8" s="378"/>
      <c r="K8" s="378"/>
      <c r="L8" s="378"/>
      <c r="M8" s="378"/>
      <c r="N8" s="378"/>
      <c r="O8" s="378"/>
      <c r="P8" s="274">
        <f t="shared" si="0"/>
        <v>2500</v>
      </c>
      <c r="Q8" s="137"/>
    </row>
    <row r="9" spans="1:17" ht="12.75">
      <c r="A9" s="227" t="s">
        <v>23</v>
      </c>
      <c r="B9" s="274">
        <f t="shared" si="1"/>
        <v>7533</v>
      </c>
      <c r="C9" s="274"/>
      <c r="D9" s="274">
        <v>7533</v>
      </c>
      <c r="E9" s="274"/>
      <c r="F9" s="274"/>
      <c r="G9" s="274"/>
      <c r="H9" s="274"/>
      <c r="I9" s="378"/>
      <c r="J9" s="378"/>
      <c r="K9" s="378"/>
      <c r="L9" s="378"/>
      <c r="M9" s="378"/>
      <c r="N9" s="378"/>
      <c r="O9" s="378"/>
      <c r="P9" s="274">
        <f t="shared" si="0"/>
        <v>7533</v>
      </c>
      <c r="Q9" s="137"/>
    </row>
    <row r="10" spans="1:17" ht="12.75">
      <c r="A10" s="227" t="s">
        <v>36</v>
      </c>
      <c r="B10" s="274">
        <f t="shared" si="1"/>
        <v>2471</v>
      </c>
      <c r="C10" s="274"/>
      <c r="D10" s="274"/>
      <c r="E10" s="274">
        <v>882</v>
      </c>
      <c r="F10" s="274">
        <v>754</v>
      </c>
      <c r="G10" s="274">
        <v>835</v>
      </c>
      <c r="H10" s="274">
        <v>1054</v>
      </c>
      <c r="I10" s="378"/>
      <c r="J10" s="378"/>
      <c r="K10" s="378"/>
      <c r="L10" s="378"/>
      <c r="M10" s="378"/>
      <c r="N10" s="378"/>
      <c r="O10" s="378"/>
      <c r="P10" s="274">
        <f t="shared" si="0"/>
        <v>3525</v>
      </c>
      <c r="Q10" s="137"/>
    </row>
    <row r="11" spans="1:17" ht="12.75">
      <c r="A11" s="227" t="s">
        <v>37</v>
      </c>
      <c r="B11" s="274">
        <f t="shared" si="1"/>
        <v>4517</v>
      </c>
      <c r="C11" s="274"/>
      <c r="D11" s="274"/>
      <c r="E11" s="274">
        <v>2472</v>
      </c>
      <c r="F11" s="274">
        <v>1170</v>
      </c>
      <c r="G11" s="274">
        <v>875</v>
      </c>
      <c r="H11" s="274">
        <v>875</v>
      </c>
      <c r="I11" s="378"/>
      <c r="J11" s="378"/>
      <c r="K11" s="378"/>
      <c r="L11" s="378"/>
      <c r="M11" s="378"/>
      <c r="N11" s="378"/>
      <c r="O11" s="378"/>
      <c r="P11" s="274">
        <f t="shared" si="0"/>
        <v>5392</v>
      </c>
      <c r="Q11" s="137"/>
    </row>
    <row r="12" spans="1:17" ht="12.75">
      <c r="A12" s="227" t="s">
        <v>38</v>
      </c>
      <c r="B12" s="274">
        <f t="shared" si="1"/>
        <v>15002</v>
      </c>
      <c r="C12" s="274"/>
      <c r="D12" s="274"/>
      <c r="E12" s="274">
        <v>3800</v>
      </c>
      <c r="F12" s="274">
        <v>7152</v>
      </c>
      <c r="G12" s="274">
        <v>4050</v>
      </c>
      <c r="H12" s="274">
        <v>1320</v>
      </c>
      <c r="I12" s="378"/>
      <c r="J12" s="378"/>
      <c r="K12" s="378"/>
      <c r="L12" s="378"/>
      <c r="M12" s="378"/>
      <c r="N12" s="378"/>
      <c r="O12" s="378"/>
      <c r="P12" s="274">
        <f t="shared" si="0"/>
        <v>16322</v>
      </c>
      <c r="Q12" s="137"/>
    </row>
    <row r="13" spans="1:17" ht="12.75">
      <c r="A13" s="227" t="s">
        <v>39</v>
      </c>
      <c r="B13" s="274">
        <f t="shared" si="1"/>
        <v>4676</v>
      </c>
      <c r="C13" s="274">
        <v>1474</v>
      </c>
      <c r="D13" s="274">
        <v>1235</v>
      </c>
      <c r="E13" s="274">
        <v>151</v>
      </c>
      <c r="F13" s="274">
        <v>946</v>
      </c>
      <c r="G13" s="274">
        <v>870</v>
      </c>
      <c r="H13" s="274">
        <v>870</v>
      </c>
      <c r="I13" s="378"/>
      <c r="J13" s="378"/>
      <c r="K13" s="378"/>
      <c r="L13" s="378"/>
      <c r="M13" s="378"/>
      <c r="N13" s="378"/>
      <c r="O13" s="378"/>
      <c r="P13" s="274">
        <f t="shared" si="0"/>
        <v>5546</v>
      </c>
      <c r="Q13" s="144"/>
    </row>
    <row r="14" spans="1:17" ht="12.75">
      <c r="A14" s="227" t="s">
        <v>79</v>
      </c>
      <c r="B14" s="274">
        <f t="shared" si="1"/>
        <v>200</v>
      </c>
      <c r="C14" s="274"/>
      <c r="D14" s="274"/>
      <c r="E14" s="274"/>
      <c r="F14" s="274"/>
      <c r="G14" s="274">
        <v>200</v>
      </c>
      <c r="H14" s="274">
        <v>3595</v>
      </c>
      <c r="I14" s="378"/>
      <c r="J14" s="378"/>
      <c r="K14" s="378"/>
      <c r="L14" s="378"/>
      <c r="M14" s="378"/>
      <c r="N14" s="378"/>
      <c r="O14" s="378"/>
      <c r="P14" s="274">
        <f t="shared" si="0"/>
        <v>3795</v>
      </c>
      <c r="Q14" s="144"/>
    </row>
    <row r="15" spans="1:17" ht="12.75">
      <c r="A15" s="16" t="s">
        <v>1</v>
      </c>
      <c r="B15" s="274">
        <f t="shared" si="1"/>
        <v>40780</v>
      </c>
      <c r="C15" s="274">
        <f>SUM(C5:C14)</f>
        <v>5355</v>
      </c>
      <c r="D15" s="274">
        <f>SUM(D5:D14)</f>
        <v>8768</v>
      </c>
      <c r="E15" s="274">
        <f>SUM(E5:E14)</f>
        <v>7305</v>
      </c>
      <c r="F15" s="274">
        <f>SUM(F5:F14)</f>
        <v>12522</v>
      </c>
      <c r="G15" s="274">
        <f>SUM(G5:G14)</f>
        <v>6830</v>
      </c>
      <c r="H15" s="274">
        <f>SUM(H10:H14)</f>
        <v>7714</v>
      </c>
      <c r="I15" s="274">
        <v>11083</v>
      </c>
      <c r="J15" s="274">
        <v>20142</v>
      </c>
      <c r="K15" s="274"/>
      <c r="L15" s="274"/>
      <c r="M15" s="249"/>
      <c r="N15" s="249"/>
      <c r="O15" s="249"/>
      <c r="P15" s="274">
        <f t="shared" si="0"/>
        <v>79719</v>
      </c>
      <c r="Q15" s="144"/>
    </row>
    <row r="16" spans="1:17" ht="12.75">
      <c r="A16" s="16" t="s">
        <v>205</v>
      </c>
      <c r="B16" s="275">
        <f t="shared" si="1"/>
        <v>40780000</v>
      </c>
      <c r="C16" s="275">
        <f>C15*1000</f>
        <v>5355000</v>
      </c>
      <c r="D16" s="275">
        <f aca="true" t="shared" si="2" ref="D16:J16">D15*1000</f>
        <v>8768000</v>
      </c>
      <c r="E16" s="275">
        <f t="shared" si="2"/>
        <v>7305000</v>
      </c>
      <c r="F16" s="275">
        <f t="shared" si="2"/>
        <v>12522000</v>
      </c>
      <c r="G16" s="275">
        <f t="shared" si="2"/>
        <v>6830000</v>
      </c>
      <c r="H16" s="275">
        <f t="shared" si="2"/>
        <v>7714000</v>
      </c>
      <c r="I16" s="275">
        <f t="shared" si="2"/>
        <v>11083000</v>
      </c>
      <c r="J16" s="275">
        <f t="shared" si="2"/>
        <v>20142000</v>
      </c>
      <c r="K16" s="275">
        <v>25315444.47</v>
      </c>
      <c r="L16" s="275">
        <v>17936073.74</v>
      </c>
      <c r="M16" s="276">
        <v>18193381.04</v>
      </c>
      <c r="N16" s="276">
        <v>26137799.26</v>
      </c>
      <c r="O16" s="276">
        <v>20033816.93</v>
      </c>
      <c r="P16" s="275">
        <f t="shared" si="0"/>
        <v>187335515.44</v>
      </c>
      <c r="Q16" s="144"/>
    </row>
    <row r="17" spans="1:17" ht="27.75" customHeight="1">
      <c r="A17" s="460" t="s">
        <v>313</v>
      </c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144"/>
    </row>
    <row r="18" spans="1:18" ht="12.75">
      <c r="A18" s="21"/>
      <c r="B18" s="21"/>
      <c r="C18" s="44"/>
      <c r="D18" s="44"/>
      <c r="E18" s="44"/>
      <c r="F18" s="44"/>
      <c r="G18" s="35"/>
      <c r="H18" s="35"/>
      <c r="I18" s="35"/>
      <c r="J18" s="35"/>
      <c r="K18" s="35"/>
      <c r="L18" s="35"/>
      <c r="M18" s="140"/>
      <c r="N18" s="140"/>
      <c r="O18" s="140"/>
      <c r="P18" s="35"/>
      <c r="Q18" s="142"/>
      <c r="R18" s="3"/>
    </row>
    <row r="19" spans="1:18" ht="12.75">
      <c r="A19" s="30" t="s">
        <v>207</v>
      </c>
      <c r="B19" s="30"/>
      <c r="C19" s="41"/>
      <c r="D19" s="41"/>
      <c r="E19" s="41"/>
      <c r="F19" s="41"/>
      <c r="G19" s="122"/>
      <c r="H19" s="122"/>
      <c r="I19" s="122"/>
      <c r="J19" s="122"/>
      <c r="K19" s="122"/>
      <c r="L19" s="122"/>
      <c r="M19" s="141"/>
      <c r="N19" s="141"/>
      <c r="O19" s="141"/>
      <c r="P19" s="103"/>
      <c r="Q19" s="142"/>
      <c r="R19" s="3"/>
    </row>
    <row r="20" spans="1:17" s="3" customFormat="1" ht="12.75">
      <c r="A20" s="227" t="s">
        <v>21</v>
      </c>
      <c r="B20" s="205">
        <f aca="true" t="shared" si="3" ref="B20:B31">SUM(C20:G20)</f>
        <v>276</v>
      </c>
      <c r="C20" s="205">
        <v>276</v>
      </c>
      <c r="D20" s="205"/>
      <c r="E20" s="205"/>
      <c r="F20" s="205"/>
      <c r="G20" s="205"/>
      <c r="H20" s="205"/>
      <c r="I20" s="394"/>
      <c r="J20" s="394"/>
      <c r="K20" s="394"/>
      <c r="L20" s="394"/>
      <c r="M20" s="394"/>
      <c r="N20" s="394"/>
      <c r="O20" s="394"/>
      <c r="P20" s="205">
        <f aca="true" t="shared" si="4" ref="P20:P31">SUM(C20:O20)</f>
        <v>276</v>
      </c>
      <c r="Q20" s="142"/>
    </row>
    <row r="21" spans="1:17" s="3" customFormat="1" ht="12.75">
      <c r="A21" s="227" t="s">
        <v>35</v>
      </c>
      <c r="B21" s="205">
        <f t="shared" si="3"/>
        <v>713</v>
      </c>
      <c r="C21" s="205">
        <v>713</v>
      </c>
      <c r="D21" s="205"/>
      <c r="E21" s="205"/>
      <c r="F21" s="205"/>
      <c r="G21" s="205"/>
      <c r="H21" s="205"/>
      <c r="I21" s="394"/>
      <c r="J21" s="394"/>
      <c r="K21" s="394"/>
      <c r="L21" s="394"/>
      <c r="M21" s="394"/>
      <c r="N21" s="394"/>
      <c r="O21" s="394"/>
      <c r="P21" s="205">
        <f t="shared" si="4"/>
        <v>713</v>
      </c>
      <c r="Q21" s="142"/>
    </row>
    <row r="22" spans="1:17" s="3" customFormat="1" ht="12.75">
      <c r="A22" s="227" t="s">
        <v>22</v>
      </c>
      <c r="B22" s="205">
        <f t="shared" si="3"/>
        <v>247</v>
      </c>
      <c r="C22" s="205">
        <v>247</v>
      </c>
      <c r="D22" s="205"/>
      <c r="E22" s="205"/>
      <c r="F22" s="205"/>
      <c r="G22" s="205"/>
      <c r="H22" s="205"/>
      <c r="I22" s="394"/>
      <c r="J22" s="394"/>
      <c r="K22" s="394"/>
      <c r="L22" s="394"/>
      <c r="M22" s="394"/>
      <c r="N22" s="394"/>
      <c r="O22" s="394"/>
      <c r="P22" s="205">
        <f t="shared" si="4"/>
        <v>247</v>
      </c>
      <c r="Q22" s="142"/>
    </row>
    <row r="23" spans="1:17" s="3" customFormat="1" ht="12.75">
      <c r="A23" s="227" t="s">
        <v>285</v>
      </c>
      <c r="B23" s="205">
        <f t="shared" si="3"/>
        <v>16</v>
      </c>
      <c r="C23" s="205"/>
      <c r="D23" s="205"/>
      <c r="E23" s="205"/>
      <c r="F23" s="205">
        <v>16</v>
      </c>
      <c r="G23" s="205">
        <v>0</v>
      </c>
      <c r="H23" s="205"/>
      <c r="I23" s="394"/>
      <c r="J23" s="394"/>
      <c r="K23" s="394"/>
      <c r="L23" s="394"/>
      <c r="M23" s="394"/>
      <c r="N23" s="394"/>
      <c r="O23" s="394"/>
      <c r="P23" s="205">
        <f t="shared" si="4"/>
        <v>16</v>
      </c>
      <c r="Q23" s="142"/>
    </row>
    <row r="24" spans="1:17" s="3" customFormat="1" ht="12.75">
      <c r="A24" s="227" t="s">
        <v>23</v>
      </c>
      <c r="B24" s="205">
        <f t="shared" si="3"/>
        <v>2803</v>
      </c>
      <c r="C24" s="205"/>
      <c r="D24" s="205">
        <v>2803</v>
      </c>
      <c r="E24" s="205"/>
      <c r="F24" s="205"/>
      <c r="G24" s="205"/>
      <c r="H24" s="205"/>
      <c r="I24" s="394"/>
      <c r="J24" s="394"/>
      <c r="K24" s="394"/>
      <c r="L24" s="394"/>
      <c r="M24" s="394"/>
      <c r="N24" s="394"/>
      <c r="O24" s="394"/>
      <c r="P24" s="205">
        <f t="shared" si="4"/>
        <v>2803</v>
      </c>
      <c r="Q24" s="142"/>
    </row>
    <row r="25" spans="1:17" s="3" customFormat="1" ht="12.75">
      <c r="A25" s="227" t="s">
        <v>36</v>
      </c>
      <c r="B25" s="205">
        <f t="shared" si="3"/>
        <v>3586</v>
      </c>
      <c r="C25" s="205"/>
      <c r="D25" s="205"/>
      <c r="E25" s="205">
        <v>911</v>
      </c>
      <c r="F25" s="205">
        <v>1654</v>
      </c>
      <c r="G25" s="205">
        <v>1021</v>
      </c>
      <c r="H25" s="205">
        <v>606</v>
      </c>
      <c r="I25" s="394"/>
      <c r="J25" s="394"/>
      <c r="K25" s="394"/>
      <c r="L25" s="394"/>
      <c r="M25" s="394"/>
      <c r="N25" s="394"/>
      <c r="O25" s="394"/>
      <c r="P25" s="205">
        <f t="shared" si="4"/>
        <v>4192</v>
      </c>
      <c r="Q25" s="142"/>
    </row>
    <row r="26" spans="1:17" s="3" customFormat="1" ht="12.75">
      <c r="A26" s="227" t="s">
        <v>37</v>
      </c>
      <c r="B26" s="205">
        <f t="shared" si="3"/>
        <v>1665</v>
      </c>
      <c r="C26" s="205"/>
      <c r="D26" s="205"/>
      <c r="E26" s="205">
        <v>872</v>
      </c>
      <c r="F26" s="205">
        <v>397</v>
      </c>
      <c r="G26" s="205">
        <v>396</v>
      </c>
      <c r="H26" s="205">
        <v>481</v>
      </c>
      <c r="I26" s="394"/>
      <c r="J26" s="394"/>
      <c r="K26" s="394"/>
      <c r="L26" s="394"/>
      <c r="M26" s="394"/>
      <c r="N26" s="394"/>
      <c r="O26" s="394"/>
      <c r="P26" s="205">
        <f t="shared" si="4"/>
        <v>2146</v>
      </c>
      <c r="Q26" s="142"/>
    </row>
    <row r="27" spans="1:17" s="3" customFormat="1" ht="12.75">
      <c r="A27" s="227" t="s">
        <v>38</v>
      </c>
      <c r="B27" s="205">
        <f t="shared" si="3"/>
        <v>14283</v>
      </c>
      <c r="C27" s="205"/>
      <c r="D27" s="205"/>
      <c r="E27" s="205">
        <v>4219</v>
      </c>
      <c r="F27" s="205">
        <v>6048</v>
      </c>
      <c r="G27" s="205">
        <v>4016</v>
      </c>
      <c r="H27" s="205">
        <v>-68</v>
      </c>
      <c r="I27" s="394"/>
      <c r="J27" s="394"/>
      <c r="K27" s="394"/>
      <c r="L27" s="394"/>
      <c r="M27" s="394"/>
      <c r="N27" s="394"/>
      <c r="O27" s="394"/>
      <c r="P27" s="205">
        <f t="shared" si="4"/>
        <v>14215</v>
      </c>
      <c r="Q27" s="142"/>
    </row>
    <row r="28" spans="1:17" s="3" customFormat="1" ht="12.75">
      <c r="A28" s="227" t="s">
        <v>39</v>
      </c>
      <c r="B28" s="205">
        <f t="shared" si="3"/>
        <v>3306</v>
      </c>
      <c r="C28" s="205">
        <v>1257</v>
      </c>
      <c r="D28" s="205">
        <v>961</v>
      </c>
      <c r="E28" s="205">
        <v>303</v>
      </c>
      <c r="F28" s="205">
        <v>350</v>
      </c>
      <c r="G28" s="205">
        <v>435</v>
      </c>
      <c r="H28" s="205">
        <v>395</v>
      </c>
      <c r="I28" s="394"/>
      <c r="J28" s="394"/>
      <c r="K28" s="394"/>
      <c r="L28" s="394"/>
      <c r="M28" s="394"/>
      <c r="N28" s="394"/>
      <c r="O28" s="394"/>
      <c r="P28" s="205">
        <f t="shared" si="4"/>
        <v>3701</v>
      </c>
      <c r="Q28" s="142"/>
    </row>
    <row r="29" spans="1:17" s="3" customFormat="1" ht="12.75">
      <c r="A29" s="227" t="s">
        <v>79</v>
      </c>
      <c r="B29" s="205">
        <f t="shared" si="3"/>
        <v>105</v>
      </c>
      <c r="C29" s="205"/>
      <c r="D29" s="205"/>
      <c r="E29" s="205"/>
      <c r="F29" s="205"/>
      <c r="G29" s="205">
        <v>105</v>
      </c>
      <c r="H29" s="205">
        <v>1952</v>
      </c>
      <c r="I29" s="394"/>
      <c r="J29" s="394"/>
      <c r="K29" s="394"/>
      <c r="L29" s="394"/>
      <c r="M29" s="394"/>
      <c r="N29" s="394"/>
      <c r="O29" s="394"/>
      <c r="P29" s="205">
        <f t="shared" si="4"/>
        <v>2057</v>
      </c>
      <c r="Q29" s="142"/>
    </row>
    <row r="30" spans="1:17" s="3" customFormat="1" ht="12.75">
      <c r="A30" s="16" t="s">
        <v>1</v>
      </c>
      <c r="B30" s="205">
        <f t="shared" si="3"/>
        <v>27000</v>
      </c>
      <c r="C30" s="205">
        <f>SUM(C20:C29)</f>
        <v>2493</v>
      </c>
      <c r="D30" s="205">
        <f>SUM(D20:D29)</f>
        <v>3764</v>
      </c>
      <c r="E30" s="205">
        <f>SUM(E20:E29)</f>
        <v>6305</v>
      </c>
      <c r="F30" s="205">
        <f>SUM(F20:F29)</f>
        <v>8465</v>
      </c>
      <c r="G30" s="205">
        <f>SUM(G20:G29)</f>
        <v>5973</v>
      </c>
      <c r="H30" s="205">
        <f>SUM(H25:H29)</f>
        <v>3366</v>
      </c>
      <c r="I30" s="205">
        <v>4654</v>
      </c>
      <c r="J30" s="205">
        <v>14516</v>
      </c>
      <c r="K30" s="205"/>
      <c r="L30" s="205"/>
      <c r="M30" s="206"/>
      <c r="N30" s="206"/>
      <c r="O30" s="206"/>
      <c r="P30" s="205">
        <f t="shared" si="4"/>
        <v>49536</v>
      </c>
      <c r="Q30" s="145"/>
    </row>
    <row r="31" spans="1:17" s="3" customFormat="1" ht="12.75">
      <c r="A31" s="16" t="s">
        <v>205</v>
      </c>
      <c r="B31" s="277">
        <f t="shared" si="3"/>
        <v>27000000</v>
      </c>
      <c r="C31" s="277">
        <f>C30*1000</f>
        <v>2493000</v>
      </c>
      <c r="D31" s="277">
        <f aca="true" t="shared" si="5" ref="D31:J31">D30*1000</f>
        <v>3764000</v>
      </c>
      <c r="E31" s="277">
        <f t="shared" si="5"/>
        <v>6305000</v>
      </c>
      <c r="F31" s="277">
        <f t="shared" si="5"/>
        <v>8465000</v>
      </c>
      <c r="G31" s="277">
        <f t="shared" si="5"/>
        <v>5973000</v>
      </c>
      <c r="H31" s="277">
        <f t="shared" si="5"/>
        <v>3366000</v>
      </c>
      <c r="I31" s="277">
        <f t="shared" si="5"/>
        <v>4654000</v>
      </c>
      <c r="J31" s="277">
        <f t="shared" si="5"/>
        <v>14516000</v>
      </c>
      <c r="K31" s="277">
        <v>19623879.93</v>
      </c>
      <c r="L31" s="277">
        <v>16082752.06</v>
      </c>
      <c r="M31" s="278">
        <v>16643930.61</v>
      </c>
      <c r="N31" s="278">
        <v>21407141.07</v>
      </c>
      <c r="O31" s="278">
        <v>19892048.66</v>
      </c>
      <c r="P31" s="277">
        <f t="shared" si="4"/>
        <v>143185752.33</v>
      </c>
      <c r="Q31" s="145"/>
    </row>
    <row r="32" spans="1:17" s="3" customFormat="1" ht="12.75">
      <c r="A32" s="21"/>
      <c r="B32" s="21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63"/>
      <c r="N32" s="63"/>
      <c r="O32" s="63"/>
      <c r="P32" s="40"/>
      <c r="Q32" s="142"/>
    </row>
    <row r="33" spans="1:17" s="3" customFormat="1" ht="12.75">
      <c r="A33" s="43" t="s">
        <v>428</v>
      </c>
      <c r="B33" s="43"/>
      <c r="C33" s="40"/>
      <c r="D33" s="40"/>
      <c r="E33" s="40"/>
      <c r="F33" s="44"/>
      <c r="G33" s="44"/>
      <c r="H33" s="44"/>
      <c r="I33" s="44"/>
      <c r="J33" s="44"/>
      <c r="K33" s="44"/>
      <c r="L33" s="44"/>
      <c r="M33" s="58"/>
      <c r="N33" s="58"/>
      <c r="O33" s="58"/>
      <c r="P33" s="44"/>
      <c r="Q33" s="142"/>
    </row>
    <row r="34" spans="1:17" s="3" customFormat="1" ht="12.75">
      <c r="A34" s="227" t="s">
        <v>41</v>
      </c>
      <c r="B34" s="27">
        <f aca="true" t="shared" si="6" ref="B34:B43">SUM(C34:G34)</f>
        <v>64515</v>
      </c>
      <c r="C34" s="27"/>
      <c r="D34" s="27"/>
      <c r="E34" s="27">
        <v>25387</v>
      </c>
      <c r="F34" s="27">
        <v>24420</v>
      </c>
      <c r="G34" s="27">
        <v>14708</v>
      </c>
      <c r="H34" s="27">
        <v>9607</v>
      </c>
      <c r="I34" s="27">
        <v>13602</v>
      </c>
      <c r="J34" s="27">
        <v>13691</v>
      </c>
      <c r="K34" s="27">
        <v>7528</v>
      </c>
      <c r="L34" s="27">
        <v>11322</v>
      </c>
      <c r="M34" s="395"/>
      <c r="N34" s="395"/>
      <c r="O34" s="395"/>
      <c r="P34" s="27">
        <f aca="true" t="shared" si="7" ref="P34:P43">SUM(C34:O34)</f>
        <v>120265</v>
      </c>
      <c r="Q34" s="142"/>
    </row>
    <row r="35" spans="1:17" s="3" customFormat="1" ht="12.75">
      <c r="A35" s="227" t="s">
        <v>44</v>
      </c>
      <c r="B35" s="27">
        <f t="shared" si="6"/>
        <v>3681</v>
      </c>
      <c r="C35" s="27"/>
      <c r="D35" s="27"/>
      <c r="E35" s="27"/>
      <c r="F35" s="27">
        <v>3681</v>
      </c>
      <c r="G35" s="27"/>
      <c r="H35" s="27"/>
      <c r="I35" s="27">
        <v>1833</v>
      </c>
      <c r="J35" s="27">
        <v>22761</v>
      </c>
      <c r="K35" s="27">
        <v>25424</v>
      </c>
      <c r="L35" s="27">
        <v>28919</v>
      </c>
      <c r="M35" s="133">
        <v>32202</v>
      </c>
      <c r="N35" s="133">
        <v>27518</v>
      </c>
      <c r="O35" s="133">
        <v>24127</v>
      </c>
      <c r="P35" s="27">
        <f t="shared" si="7"/>
        <v>166465</v>
      </c>
      <c r="Q35" s="142"/>
    </row>
    <row r="36" spans="1:17" s="3" customFormat="1" ht="12.75">
      <c r="A36" s="227" t="s">
        <v>45</v>
      </c>
      <c r="B36" s="27">
        <f t="shared" si="6"/>
        <v>2169</v>
      </c>
      <c r="C36" s="27"/>
      <c r="D36" s="27"/>
      <c r="E36" s="27"/>
      <c r="F36" s="27">
        <v>2169</v>
      </c>
      <c r="G36" s="27"/>
      <c r="H36" s="395"/>
      <c r="I36" s="395"/>
      <c r="J36" s="395"/>
      <c r="K36" s="395"/>
      <c r="L36" s="395"/>
      <c r="M36" s="395"/>
      <c r="N36" s="395"/>
      <c r="O36" s="395"/>
      <c r="P36" s="27">
        <f t="shared" si="7"/>
        <v>2169</v>
      </c>
      <c r="Q36" s="142"/>
    </row>
    <row r="37" spans="1:17" s="3" customFormat="1" ht="12.75">
      <c r="A37" s="227" t="s">
        <v>42</v>
      </c>
      <c r="B37" s="27">
        <f t="shared" si="6"/>
        <v>70281</v>
      </c>
      <c r="C37" s="27">
        <v>7223</v>
      </c>
      <c r="D37" s="27">
        <v>14678</v>
      </c>
      <c r="E37" s="27">
        <v>8762</v>
      </c>
      <c r="F37" s="27">
        <v>11748</v>
      </c>
      <c r="G37" s="27">
        <v>27870</v>
      </c>
      <c r="H37" s="27">
        <v>19979</v>
      </c>
      <c r="I37" s="27">
        <v>7576</v>
      </c>
      <c r="J37" s="27">
        <v>13464</v>
      </c>
      <c r="K37" s="27">
        <v>5836</v>
      </c>
      <c r="L37" s="395"/>
      <c r="M37" s="395"/>
      <c r="N37" s="395"/>
      <c r="O37" s="395"/>
      <c r="P37" s="27">
        <f t="shared" si="7"/>
        <v>117136</v>
      </c>
      <c r="Q37" s="142"/>
    </row>
    <row r="38" spans="1:17" s="3" customFormat="1" ht="12.75">
      <c r="A38" s="182" t="s">
        <v>181</v>
      </c>
      <c r="B38" s="27">
        <f t="shared" si="6"/>
        <v>0</v>
      </c>
      <c r="C38" s="27"/>
      <c r="D38" s="27"/>
      <c r="E38" s="27"/>
      <c r="F38" s="27"/>
      <c r="G38" s="27"/>
      <c r="H38" s="395"/>
      <c r="I38" s="395"/>
      <c r="J38" s="27">
        <v>5380</v>
      </c>
      <c r="K38" s="27">
        <v>8017</v>
      </c>
      <c r="L38" s="27">
        <v>5833</v>
      </c>
      <c r="M38" s="395"/>
      <c r="N38" s="395"/>
      <c r="O38" s="395"/>
      <c r="P38" s="27">
        <f t="shared" si="7"/>
        <v>19230</v>
      </c>
      <c r="Q38" s="142"/>
    </row>
    <row r="39" spans="1:17" s="3" customFormat="1" ht="12.75">
      <c r="A39" s="182" t="s">
        <v>273</v>
      </c>
      <c r="B39" s="27"/>
      <c r="C39" s="27"/>
      <c r="D39" s="27"/>
      <c r="E39" s="27"/>
      <c r="F39" s="27"/>
      <c r="G39" s="27"/>
      <c r="H39" s="395"/>
      <c r="I39" s="395"/>
      <c r="J39" s="395"/>
      <c r="K39" s="395"/>
      <c r="L39" s="395"/>
      <c r="M39" s="395"/>
      <c r="N39" s="395"/>
      <c r="O39" s="133">
        <v>5447</v>
      </c>
      <c r="P39" s="27">
        <f t="shared" si="7"/>
        <v>5447</v>
      </c>
      <c r="Q39" s="142"/>
    </row>
    <row r="40" spans="1:17" s="3" customFormat="1" ht="12.75">
      <c r="A40" s="182" t="s">
        <v>196</v>
      </c>
      <c r="B40" s="27">
        <f t="shared" si="6"/>
        <v>0</v>
      </c>
      <c r="C40" s="27"/>
      <c r="D40" s="27"/>
      <c r="E40" s="27"/>
      <c r="F40" s="27"/>
      <c r="G40" s="27"/>
      <c r="H40" s="395"/>
      <c r="I40" s="395"/>
      <c r="J40" s="395"/>
      <c r="K40" s="395"/>
      <c r="L40" s="27">
        <v>16275</v>
      </c>
      <c r="M40" s="133">
        <v>15769</v>
      </c>
      <c r="N40" s="133">
        <v>18579</v>
      </c>
      <c r="O40" s="133">
        <v>10871</v>
      </c>
      <c r="P40" s="27">
        <f t="shared" si="7"/>
        <v>61494</v>
      </c>
      <c r="Q40" s="142"/>
    </row>
    <row r="41" spans="1:17" s="3" customFormat="1" ht="12.75">
      <c r="A41" s="182" t="s">
        <v>246</v>
      </c>
      <c r="B41" s="27">
        <f t="shared" si="6"/>
        <v>0</v>
      </c>
      <c r="C41" s="27"/>
      <c r="D41" s="27"/>
      <c r="E41" s="27"/>
      <c r="F41" s="27"/>
      <c r="G41" s="27"/>
      <c r="H41" s="395"/>
      <c r="I41" s="395"/>
      <c r="J41" s="395"/>
      <c r="K41" s="395"/>
      <c r="L41" s="27">
        <v>42942</v>
      </c>
      <c r="M41" s="133">
        <v>93930</v>
      </c>
      <c r="N41" s="133">
        <v>85977</v>
      </c>
      <c r="O41" s="133">
        <v>32000</v>
      </c>
      <c r="P41" s="27">
        <f t="shared" si="7"/>
        <v>254849</v>
      </c>
      <c r="Q41" s="142"/>
    </row>
    <row r="42" spans="1:17" s="3" customFormat="1" ht="12.75">
      <c r="A42" s="227" t="s">
        <v>79</v>
      </c>
      <c r="B42" s="27">
        <f t="shared" si="6"/>
        <v>0</v>
      </c>
      <c r="C42" s="27"/>
      <c r="D42" s="27"/>
      <c r="E42" s="27"/>
      <c r="F42" s="27"/>
      <c r="G42" s="27"/>
      <c r="H42" s="27">
        <v>3</v>
      </c>
      <c r="I42" s="395"/>
      <c r="J42" s="395"/>
      <c r="K42" s="395"/>
      <c r="L42" s="395"/>
      <c r="M42" s="395"/>
      <c r="N42" s="395"/>
      <c r="O42" s="395"/>
      <c r="P42" s="27">
        <f t="shared" si="7"/>
        <v>3</v>
      </c>
      <c r="Q42" s="142"/>
    </row>
    <row r="43" spans="1:17" s="3" customFormat="1" ht="12.75">
      <c r="A43" s="16" t="s">
        <v>1</v>
      </c>
      <c r="B43" s="36">
        <f t="shared" si="6"/>
        <v>140646</v>
      </c>
      <c r="C43" s="36">
        <f>SUM(C37)</f>
        <v>7223</v>
      </c>
      <c r="D43" s="36">
        <f>SUM(D37)</f>
        <v>14678</v>
      </c>
      <c r="E43" s="36">
        <f aca="true" t="shared" si="8" ref="E43:J43">SUM(E34:E42)</f>
        <v>34149</v>
      </c>
      <c r="F43" s="36">
        <f t="shared" si="8"/>
        <v>42018</v>
      </c>
      <c r="G43" s="36">
        <f t="shared" si="8"/>
        <v>42578</v>
      </c>
      <c r="H43" s="36">
        <f t="shared" si="8"/>
        <v>29589</v>
      </c>
      <c r="I43" s="36">
        <f t="shared" si="8"/>
        <v>23011</v>
      </c>
      <c r="J43" s="36">
        <f t="shared" si="8"/>
        <v>55296</v>
      </c>
      <c r="K43" s="36">
        <f>SUM(K34:K42)</f>
        <v>46805</v>
      </c>
      <c r="L43" s="36">
        <f>SUM(L34:L42)</f>
        <v>105291</v>
      </c>
      <c r="M43" s="36">
        <f>SUM(M34:M42)</f>
        <v>141901</v>
      </c>
      <c r="N43" s="150">
        <f>SUM(N34:N42)</f>
        <v>132074</v>
      </c>
      <c r="O43" s="150">
        <f>SUM(O34:O42)</f>
        <v>72445</v>
      </c>
      <c r="P43" s="36">
        <f t="shared" si="7"/>
        <v>747058</v>
      </c>
      <c r="Q43" s="142"/>
    </row>
    <row r="44" spans="1:17" s="3" customFormat="1" ht="12.75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58"/>
      <c r="N44" s="58"/>
      <c r="O44" s="58"/>
      <c r="P44" s="44"/>
      <c r="Q44" s="142"/>
    </row>
    <row r="45" spans="1:17" s="3" customFormat="1" ht="12.75">
      <c r="A45" s="16" t="s">
        <v>43</v>
      </c>
      <c r="B45" s="36">
        <f>SUM(C45:G45)</f>
        <v>4748564</v>
      </c>
      <c r="C45" s="36"/>
      <c r="D45" s="36"/>
      <c r="E45" s="36">
        <v>1496339</v>
      </c>
      <c r="F45" s="36">
        <v>2014151</v>
      </c>
      <c r="G45" s="36">
        <v>1238074</v>
      </c>
      <c r="H45" s="36"/>
      <c r="I45" s="36">
        <v>3162034</v>
      </c>
      <c r="J45" s="36">
        <v>4399641</v>
      </c>
      <c r="K45" s="36">
        <v>6643677</v>
      </c>
      <c r="L45" s="36">
        <v>3986463</v>
      </c>
      <c r="M45" s="150">
        <v>5269102</v>
      </c>
      <c r="N45" s="150">
        <v>7751359</v>
      </c>
      <c r="O45" s="150">
        <v>6444990</v>
      </c>
      <c r="P45" s="36">
        <f>SUM(C45:O45)</f>
        <v>42405830</v>
      </c>
      <c r="Q45" s="142"/>
    </row>
    <row r="46" spans="1:17" s="3" customFormat="1" ht="12.75">
      <c r="A46" s="2" t="s">
        <v>291</v>
      </c>
      <c r="B46" s="2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63"/>
      <c r="N46" s="63"/>
      <c r="O46" s="63"/>
      <c r="P46" s="40"/>
      <c r="Q46" s="142"/>
    </row>
    <row r="47" spans="1:17" s="3" customFormat="1" ht="15.75">
      <c r="A47" s="432" t="s">
        <v>402</v>
      </c>
      <c r="B47" s="433"/>
      <c r="C47" s="402"/>
      <c r="D47" s="402"/>
      <c r="E47" s="402"/>
      <c r="F47" s="402"/>
      <c r="G47" s="402"/>
      <c r="H47" s="402"/>
      <c r="I47" s="402"/>
      <c r="J47" s="402"/>
      <c r="K47" s="402"/>
      <c r="L47" s="402"/>
      <c r="M47" s="402"/>
      <c r="N47" s="402"/>
      <c r="O47" s="402"/>
      <c r="P47" s="402"/>
      <c r="Q47" s="142"/>
    </row>
    <row r="48" spans="1:17" s="3" customFormat="1" ht="25.5">
      <c r="A48" s="43" t="s">
        <v>6</v>
      </c>
      <c r="B48" s="207" t="str">
        <f>B4</f>
        <v>Summary 
2001 to 2005*</v>
      </c>
      <c r="C48" s="28">
        <v>2001</v>
      </c>
      <c r="D48" s="28">
        <v>2002</v>
      </c>
      <c r="E48" s="28">
        <v>2003</v>
      </c>
      <c r="F48" s="28">
        <v>2004</v>
      </c>
      <c r="G48" s="28">
        <v>2005</v>
      </c>
      <c r="H48" s="28">
        <v>2006</v>
      </c>
      <c r="I48" s="28">
        <v>2007</v>
      </c>
      <c r="J48" s="28">
        <v>2008</v>
      </c>
      <c r="K48" s="28">
        <v>2009</v>
      </c>
      <c r="L48" s="28">
        <v>2010</v>
      </c>
      <c r="M48" s="106">
        <v>2011</v>
      </c>
      <c r="N48" s="215" t="str">
        <f>N4</f>
        <v>(18 month)
2012-2013</v>
      </c>
      <c r="O48" s="215" t="str">
        <f>O4</f>
        <v>FY2014</v>
      </c>
      <c r="P48" s="125" t="str">
        <f>P4</f>
        <v>Total 
2001 ~ FY2014</v>
      </c>
      <c r="Q48" s="142"/>
    </row>
    <row r="49" spans="1:16" s="3" customFormat="1" ht="12.75">
      <c r="A49" s="43" t="s">
        <v>421</v>
      </c>
      <c r="B49" s="40" t="s">
        <v>8</v>
      </c>
      <c r="C49" s="40" t="s">
        <v>8</v>
      </c>
      <c r="D49" s="40" t="s">
        <v>8</v>
      </c>
      <c r="E49" s="40" t="s">
        <v>8</v>
      </c>
      <c r="F49" s="40" t="s">
        <v>8</v>
      </c>
      <c r="G49" s="40" t="s">
        <v>8</v>
      </c>
      <c r="H49" s="40" t="s">
        <v>8</v>
      </c>
      <c r="I49" s="40" t="s">
        <v>8</v>
      </c>
      <c r="J49" s="45" t="s">
        <v>8</v>
      </c>
      <c r="K49" s="45" t="s">
        <v>8</v>
      </c>
      <c r="L49" s="45" t="s">
        <v>8</v>
      </c>
      <c r="M49" s="88" t="s">
        <v>8</v>
      </c>
      <c r="N49" s="88" t="s">
        <v>8</v>
      </c>
      <c r="O49" s="88"/>
      <c r="P49" s="40" t="s">
        <v>8</v>
      </c>
    </row>
    <row r="50" spans="1:16" s="3" customFormat="1" ht="12.75">
      <c r="A50" s="15" t="s">
        <v>165</v>
      </c>
      <c r="B50" s="252">
        <f aca="true" t="shared" si="9" ref="B50:B58">SUM(C50:G50)</f>
        <v>220165</v>
      </c>
      <c r="C50" s="252">
        <v>0</v>
      </c>
      <c r="D50" s="252">
        <v>0</v>
      </c>
      <c r="E50" s="252">
        <v>61630</v>
      </c>
      <c r="F50" s="252">
        <v>95947</v>
      </c>
      <c r="G50" s="252">
        <v>62588</v>
      </c>
      <c r="H50" s="254">
        <v>0</v>
      </c>
      <c r="I50" s="254">
        <v>106450</v>
      </c>
      <c r="J50" s="254">
        <v>213772</v>
      </c>
      <c r="K50" s="254">
        <v>338254</v>
      </c>
      <c r="L50" s="254">
        <v>166233.2</v>
      </c>
      <c r="M50" s="254">
        <v>218398</v>
      </c>
      <c r="N50" s="254">
        <v>324344.9</v>
      </c>
      <c r="O50" s="254">
        <v>268456</v>
      </c>
      <c r="P50" s="252">
        <f aca="true" t="shared" si="10" ref="P50:P57">SUM(C50:O50)</f>
        <v>1856073.1</v>
      </c>
    </row>
    <row r="51" spans="1:16" s="3" customFormat="1" ht="12.75">
      <c r="A51" s="15" t="s">
        <v>40</v>
      </c>
      <c r="B51" s="252">
        <f t="shared" si="9"/>
        <v>3730</v>
      </c>
      <c r="C51" s="252">
        <v>0</v>
      </c>
      <c r="D51" s="252">
        <v>0</v>
      </c>
      <c r="E51" s="252">
        <v>1432</v>
      </c>
      <c r="F51" s="252">
        <v>1377</v>
      </c>
      <c r="G51" s="252">
        <v>921</v>
      </c>
      <c r="H51" s="254">
        <v>542</v>
      </c>
      <c r="I51" s="254">
        <v>767</v>
      </c>
      <c r="J51" s="254">
        <v>772</v>
      </c>
      <c r="K51" s="254">
        <v>425</v>
      </c>
      <c r="L51" s="254">
        <v>639</v>
      </c>
      <c r="M51" s="254">
        <v>13</v>
      </c>
      <c r="N51" s="318"/>
      <c r="O51" s="318"/>
      <c r="P51" s="252">
        <f t="shared" si="10"/>
        <v>6888</v>
      </c>
    </row>
    <row r="52" spans="1:16" s="3" customFormat="1" ht="12.75">
      <c r="A52" s="19" t="s">
        <v>182</v>
      </c>
      <c r="B52" s="252">
        <f t="shared" si="9"/>
        <v>0</v>
      </c>
      <c r="C52" s="252"/>
      <c r="D52" s="252"/>
      <c r="E52" s="252"/>
      <c r="F52" s="252"/>
      <c r="G52" s="252"/>
      <c r="H52" s="318"/>
      <c r="I52" s="318"/>
      <c r="J52" s="254">
        <v>2837</v>
      </c>
      <c r="K52" s="254">
        <v>3248</v>
      </c>
      <c r="L52" s="254">
        <v>3749</v>
      </c>
      <c r="M52" s="254">
        <f>3106.5+9.9+642.4</f>
        <v>3758.8</v>
      </c>
      <c r="N52" s="255">
        <f>3426.8+49.6</f>
        <v>3476.4</v>
      </c>
      <c r="O52" s="255">
        <v>3149</v>
      </c>
      <c r="P52" s="252">
        <f t="shared" si="10"/>
        <v>20218.2</v>
      </c>
    </row>
    <row r="53" spans="1:16" s="3" customFormat="1" ht="12.75">
      <c r="A53" s="19" t="s">
        <v>181</v>
      </c>
      <c r="B53" s="252">
        <f t="shared" si="9"/>
        <v>0</v>
      </c>
      <c r="C53" s="252"/>
      <c r="D53" s="252"/>
      <c r="E53" s="252"/>
      <c r="F53" s="252"/>
      <c r="G53" s="252"/>
      <c r="H53" s="318"/>
      <c r="I53" s="318"/>
      <c r="J53" s="254">
        <v>382</v>
      </c>
      <c r="K53" s="254">
        <v>569</v>
      </c>
      <c r="L53" s="254">
        <v>414</v>
      </c>
      <c r="M53" s="254">
        <v>28</v>
      </c>
      <c r="N53" s="318"/>
      <c r="O53" s="318"/>
      <c r="P53" s="252">
        <f t="shared" si="10"/>
        <v>1393</v>
      </c>
    </row>
    <row r="54" spans="1:16" s="3" customFormat="1" ht="12.75">
      <c r="A54" s="19" t="s">
        <v>273</v>
      </c>
      <c r="B54" s="252">
        <f>SUM(C54:G54)</f>
        <v>0</v>
      </c>
      <c r="C54" s="252"/>
      <c r="D54" s="252"/>
      <c r="E54" s="252"/>
      <c r="F54" s="252"/>
      <c r="G54" s="252"/>
      <c r="H54" s="318"/>
      <c r="I54" s="318"/>
      <c r="J54" s="318"/>
      <c r="K54" s="318"/>
      <c r="L54" s="318"/>
      <c r="M54" s="254">
        <v>515.9</v>
      </c>
      <c r="N54" s="255">
        <f>26.1+11.4</f>
        <v>37.5</v>
      </c>
      <c r="O54" s="255">
        <v>722</v>
      </c>
      <c r="P54" s="252">
        <f>SUM(C54:O54)</f>
        <v>1275.4</v>
      </c>
    </row>
    <row r="55" spans="1:16" s="3" customFormat="1" ht="12.75">
      <c r="A55" s="19" t="s">
        <v>196</v>
      </c>
      <c r="B55" s="252">
        <f t="shared" si="9"/>
        <v>0</v>
      </c>
      <c r="C55" s="252"/>
      <c r="D55" s="252"/>
      <c r="E55" s="252"/>
      <c r="F55" s="252"/>
      <c r="G55" s="252"/>
      <c r="H55" s="318"/>
      <c r="I55" s="318"/>
      <c r="J55" s="318"/>
      <c r="K55" s="254">
        <v>5540</v>
      </c>
      <c r="L55" s="254">
        <v>15400.6</v>
      </c>
      <c r="M55" s="254">
        <v>15560.9</v>
      </c>
      <c r="N55" s="254">
        <v>17469.5</v>
      </c>
      <c r="O55" s="254">
        <v>10991</v>
      </c>
      <c r="P55" s="252">
        <f t="shared" si="10"/>
        <v>64962</v>
      </c>
    </row>
    <row r="56" spans="1:16" s="3" customFormat="1" ht="12.75">
      <c r="A56" s="19" t="s">
        <v>246</v>
      </c>
      <c r="B56" s="252">
        <f t="shared" si="9"/>
        <v>0</v>
      </c>
      <c r="C56" s="252"/>
      <c r="D56" s="252"/>
      <c r="E56" s="252"/>
      <c r="F56" s="252"/>
      <c r="G56" s="252"/>
      <c r="H56" s="318"/>
      <c r="I56" s="318"/>
      <c r="J56" s="318"/>
      <c r="K56" s="318"/>
      <c r="L56" s="254">
        <v>4707</v>
      </c>
      <c r="M56" s="254">
        <v>8829.4</v>
      </c>
      <c r="N56" s="254">
        <v>7996.7</v>
      </c>
      <c r="O56" s="254">
        <v>3008</v>
      </c>
      <c r="P56" s="252">
        <f t="shared" si="10"/>
        <v>24541.1</v>
      </c>
    </row>
    <row r="57" spans="1:16" s="3" customFormat="1" ht="12.75">
      <c r="A57" s="19" t="s">
        <v>274</v>
      </c>
      <c r="B57" s="252">
        <f t="shared" si="9"/>
        <v>0</v>
      </c>
      <c r="C57" s="252"/>
      <c r="D57" s="252"/>
      <c r="E57" s="252"/>
      <c r="F57" s="252"/>
      <c r="G57" s="252"/>
      <c r="H57" s="318"/>
      <c r="I57" s="318"/>
      <c r="J57" s="318"/>
      <c r="K57" s="318"/>
      <c r="L57" s="318"/>
      <c r="M57" s="254">
        <v>118.1</v>
      </c>
      <c r="N57" s="318"/>
      <c r="O57" s="318"/>
      <c r="P57" s="252">
        <f t="shared" si="10"/>
        <v>118.1</v>
      </c>
    </row>
    <row r="58" spans="1:16" s="3" customFormat="1" ht="12.75">
      <c r="A58" s="16" t="s">
        <v>1</v>
      </c>
      <c r="B58" s="265">
        <f t="shared" si="9"/>
        <v>223895</v>
      </c>
      <c r="C58" s="265">
        <f>SUM(C50:C53)</f>
        <v>0</v>
      </c>
      <c r="D58" s="265">
        <f>SUM(D50:D53)</f>
        <v>0</v>
      </c>
      <c r="E58" s="265">
        <f>SUM(E50:E53)</f>
        <v>63062</v>
      </c>
      <c r="F58" s="265">
        <f>SUM(F50:F53)</f>
        <v>97324</v>
      </c>
      <c r="G58" s="256">
        <f aca="true" t="shared" si="11" ref="G58:P58">SUM(G50:G57)</f>
        <v>63509</v>
      </c>
      <c r="H58" s="256">
        <f t="shared" si="11"/>
        <v>542</v>
      </c>
      <c r="I58" s="256">
        <f t="shared" si="11"/>
        <v>107217</v>
      </c>
      <c r="J58" s="256">
        <f t="shared" si="11"/>
        <v>217763</v>
      </c>
      <c r="K58" s="256">
        <f t="shared" si="11"/>
        <v>348036</v>
      </c>
      <c r="L58" s="256">
        <f t="shared" si="11"/>
        <v>191142.80000000002</v>
      </c>
      <c r="M58" s="256">
        <f t="shared" si="11"/>
        <v>247222.09999999998</v>
      </c>
      <c r="N58" s="256">
        <f t="shared" si="11"/>
        <v>353325.00000000006</v>
      </c>
      <c r="O58" s="256">
        <f t="shared" si="11"/>
        <v>286326</v>
      </c>
      <c r="P58" s="256">
        <f t="shared" si="11"/>
        <v>1975468.9000000001</v>
      </c>
    </row>
    <row r="59" spans="1:20" s="3" customFormat="1" ht="12.75">
      <c r="A59" s="21"/>
      <c r="B59" s="21"/>
      <c r="C59" s="40"/>
      <c r="D59" s="40"/>
      <c r="E59" s="44"/>
      <c r="F59" s="44"/>
      <c r="G59" s="44"/>
      <c r="H59" s="58"/>
      <c r="I59" s="58"/>
      <c r="J59" s="58"/>
      <c r="K59" s="58"/>
      <c r="L59" s="58"/>
      <c r="M59" s="58"/>
      <c r="N59" s="58"/>
      <c r="O59" s="58"/>
      <c r="P59" s="44"/>
      <c r="Q59" s="142"/>
      <c r="R59" s="142"/>
      <c r="S59" s="142"/>
      <c r="T59" s="142"/>
    </row>
    <row r="60" spans="1:20" s="3" customFormat="1" ht="12.75">
      <c r="A60" s="43" t="s">
        <v>422</v>
      </c>
      <c r="B60" s="63" t="s">
        <v>8</v>
      </c>
      <c r="C60" s="40" t="s">
        <v>8</v>
      </c>
      <c r="D60" s="40" t="s">
        <v>8</v>
      </c>
      <c r="E60" s="40" t="s">
        <v>8</v>
      </c>
      <c r="F60" s="40" t="s">
        <v>8</v>
      </c>
      <c r="G60" s="40" t="s">
        <v>8</v>
      </c>
      <c r="H60" s="63" t="s">
        <v>8</v>
      </c>
      <c r="I60" s="40" t="s">
        <v>8</v>
      </c>
      <c r="J60" s="45" t="s">
        <v>8</v>
      </c>
      <c r="K60" s="45" t="s">
        <v>8</v>
      </c>
      <c r="L60" s="45" t="s">
        <v>8</v>
      </c>
      <c r="M60" s="88" t="s">
        <v>8</v>
      </c>
      <c r="N60" s="88" t="s">
        <v>8</v>
      </c>
      <c r="O60" s="88" t="s">
        <v>8</v>
      </c>
      <c r="P60" s="40" t="s">
        <v>8</v>
      </c>
      <c r="Q60" s="142"/>
      <c r="R60" s="142"/>
      <c r="S60" s="142"/>
      <c r="T60" s="142"/>
    </row>
    <row r="61" spans="1:20" s="3" customFormat="1" ht="12.75">
      <c r="A61" s="15" t="s">
        <v>165</v>
      </c>
      <c r="B61" s="252">
        <f aca="true" t="shared" si="12" ref="B61:B69">SUM(C61:G61)</f>
        <v>1677956</v>
      </c>
      <c r="C61" s="252">
        <v>0</v>
      </c>
      <c r="D61" s="252">
        <v>0</v>
      </c>
      <c r="E61" s="252">
        <v>359018</v>
      </c>
      <c r="F61" s="252">
        <v>790151</v>
      </c>
      <c r="G61" s="252">
        <v>528787</v>
      </c>
      <c r="H61" s="254">
        <v>0</v>
      </c>
      <c r="I61" s="254">
        <v>742908</v>
      </c>
      <c r="J61" s="254">
        <v>1368138</v>
      </c>
      <c r="K61" s="254">
        <v>2217915</v>
      </c>
      <c r="L61" s="254">
        <v>1131306</v>
      </c>
      <c r="M61" s="254">
        <v>1461053.1</v>
      </c>
      <c r="N61" s="254">
        <v>2241371.2</v>
      </c>
      <c r="O61" s="254">
        <v>2216737</v>
      </c>
      <c r="P61" s="252">
        <f aca="true" t="shared" si="13" ref="P61:P68">SUM(C61:O61)</f>
        <v>13057384.3</v>
      </c>
      <c r="Q61" s="142"/>
      <c r="R61" s="142"/>
      <c r="S61" s="237"/>
      <c r="T61" s="64"/>
    </row>
    <row r="62" spans="1:20" s="3" customFormat="1" ht="12.75">
      <c r="A62" s="15" t="s">
        <v>40</v>
      </c>
      <c r="B62" s="252">
        <f t="shared" si="12"/>
        <v>37299</v>
      </c>
      <c r="C62" s="252">
        <v>0</v>
      </c>
      <c r="D62" s="252">
        <v>0</v>
      </c>
      <c r="E62" s="252">
        <v>14318</v>
      </c>
      <c r="F62" s="252">
        <v>13773</v>
      </c>
      <c r="G62" s="254">
        <v>9208</v>
      </c>
      <c r="H62" s="254">
        <v>5418</v>
      </c>
      <c r="I62" s="254">
        <v>7672</v>
      </c>
      <c r="J62" s="254">
        <v>7722</v>
      </c>
      <c r="K62" s="254">
        <v>4246</v>
      </c>
      <c r="L62" s="254">
        <v>6386</v>
      </c>
      <c r="M62" s="254">
        <v>129.7</v>
      </c>
      <c r="N62" s="318"/>
      <c r="O62" s="318"/>
      <c r="P62" s="252">
        <f t="shared" si="13"/>
        <v>68872.7</v>
      </c>
      <c r="Q62" s="142"/>
      <c r="R62" s="142"/>
      <c r="S62" s="237"/>
      <c r="T62" s="64"/>
    </row>
    <row r="63" spans="1:20" s="3" customFormat="1" ht="12.75">
      <c r="A63" s="15" t="s">
        <v>44</v>
      </c>
      <c r="B63" s="252">
        <f t="shared" si="12"/>
        <v>0</v>
      </c>
      <c r="C63" s="252"/>
      <c r="D63" s="252"/>
      <c r="E63" s="252"/>
      <c r="F63" s="252"/>
      <c r="G63" s="252"/>
      <c r="H63" s="318"/>
      <c r="I63" s="318"/>
      <c r="J63" s="252">
        <v>42549</v>
      </c>
      <c r="K63" s="252">
        <v>64961</v>
      </c>
      <c r="L63" s="252">
        <v>74979</v>
      </c>
      <c r="M63" s="254">
        <f>62130.4+12848.6+197.9</f>
        <v>75176.9</v>
      </c>
      <c r="N63" s="254">
        <f>69270.1+1003.6</f>
        <v>70273.70000000001</v>
      </c>
      <c r="O63" s="254">
        <v>62984</v>
      </c>
      <c r="P63" s="252">
        <f t="shared" si="13"/>
        <v>390923.6</v>
      </c>
      <c r="Q63" s="142"/>
      <c r="R63" s="142"/>
      <c r="S63" s="237"/>
      <c r="T63" s="64"/>
    </row>
    <row r="64" spans="1:20" s="3" customFormat="1" ht="12.75">
      <c r="A64" s="19" t="s">
        <v>181</v>
      </c>
      <c r="B64" s="252">
        <f t="shared" si="12"/>
        <v>0</v>
      </c>
      <c r="C64" s="252"/>
      <c r="D64" s="252"/>
      <c r="E64" s="252"/>
      <c r="F64" s="252"/>
      <c r="G64" s="252"/>
      <c r="H64" s="318"/>
      <c r="I64" s="318"/>
      <c r="J64" s="254">
        <v>3820</v>
      </c>
      <c r="K64" s="254">
        <v>6261</v>
      </c>
      <c r="L64" s="254">
        <v>4554</v>
      </c>
      <c r="M64" s="254">
        <v>307.7</v>
      </c>
      <c r="N64" s="318"/>
      <c r="O64" s="318"/>
      <c r="P64" s="252">
        <f t="shared" si="13"/>
        <v>14942.7</v>
      </c>
      <c r="Q64" s="142"/>
      <c r="R64" s="142"/>
      <c r="S64" s="237"/>
      <c r="T64" s="64"/>
    </row>
    <row r="65" spans="1:20" s="3" customFormat="1" ht="12.75">
      <c r="A65" s="19" t="s">
        <v>273</v>
      </c>
      <c r="B65" s="252">
        <f>SUM(C65:G65)</f>
        <v>0</v>
      </c>
      <c r="C65" s="252"/>
      <c r="D65" s="252"/>
      <c r="E65" s="252"/>
      <c r="F65" s="252"/>
      <c r="G65" s="252"/>
      <c r="H65" s="318"/>
      <c r="I65" s="318"/>
      <c r="J65" s="318"/>
      <c r="K65" s="318"/>
      <c r="L65" s="318"/>
      <c r="M65" s="254">
        <v>8769.9</v>
      </c>
      <c r="N65" s="254">
        <f>447.7+196</f>
        <v>643.7</v>
      </c>
      <c r="O65" s="254">
        <v>12282</v>
      </c>
      <c r="P65" s="252">
        <f>SUM(C65:O65)</f>
        <v>21695.6</v>
      </c>
      <c r="Q65" s="131"/>
      <c r="R65" s="142"/>
      <c r="S65" s="237"/>
      <c r="T65" s="64"/>
    </row>
    <row r="66" spans="1:20" s="3" customFormat="1" ht="12.75">
      <c r="A66" s="19" t="s">
        <v>196</v>
      </c>
      <c r="B66" s="252">
        <f t="shared" si="12"/>
        <v>0</v>
      </c>
      <c r="C66" s="252"/>
      <c r="D66" s="252"/>
      <c r="E66" s="252"/>
      <c r="F66" s="252"/>
      <c r="G66" s="252"/>
      <c r="H66" s="318"/>
      <c r="I66" s="318"/>
      <c r="J66" s="318"/>
      <c r="K66" s="254">
        <v>44319</v>
      </c>
      <c r="L66" s="254">
        <v>123909.4</v>
      </c>
      <c r="M66" s="254">
        <v>124487.2</v>
      </c>
      <c r="N66" s="254">
        <v>141268.3</v>
      </c>
      <c r="O66" s="254">
        <v>87931</v>
      </c>
      <c r="P66" s="252">
        <f t="shared" si="13"/>
        <v>521914.89999999997</v>
      </c>
      <c r="Q66" s="131"/>
      <c r="R66" s="142"/>
      <c r="S66" s="237"/>
      <c r="T66" s="64"/>
    </row>
    <row r="67" spans="1:20" s="3" customFormat="1" ht="12.75">
      <c r="A67" s="19" t="s">
        <v>246</v>
      </c>
      <c r="B67" s="252">
        <f t="shared" si="12"/>
        <v>0</v>
      </c>
      <c r="C67" s="252"/>
      <c r="D67" s="252"/>
      <c r="E67" s="252"/>
      <c r="F67" s="252"/>
      <c r="G67" s="252"/>
      <c r="H67" s="318"/>
      <c r="I67" s="318"/>
      <c r="J67" s="318"/>
      <c r="K67" s="318"/>
      <c r="L67" s="254">
        <v>30564.8</v>
      </c>
      <c r="M67" s="254">
        <v>35317.7</v>
      </c>
      <c r="N67" s="254">
        <v>32329.3</v>
      </c>
      <c r="O67" s="254">
        <v>12032</v>
      </c>
      <c r="P67" s="252">
        <f t="shared" si="13"/>
        <v>110243.8</v>
      </c>
      <c r="Q67" s="131"/>
      <c r="R67" s="142"/>
      <c r="S67" s="237"/>
      <c r="T67" s="64"/>
    </row>
    <row r="68" spans="1:20" s="3" customFormat="1" ht="12.75">
      <c r="A68" s="19" t="s">
        <v>274</v>
      </c>
      <c r="B68" s="252">
        <f t="shared" si="12"/>
        <v>0</v>
      </c>
      <c r="C68" s="252"/>
      <c r="D68" s="252"/>
      <c r="E68" s="252"/>
      <c r="F68" s="252"/>
      <c r="G68" s="252"/>
      <c r="H68" s="318"/>
      <c r="I68" s="318"/>
      <c r="J68" s="318"/>
      <c r="K68" s="318"/>
      <c r="L68" s="318"/>
      <c r="M68" s="254">
        <v>1535.1</v>
      </c>
      <c r="N68" s="318"/>
      <c r="O68" s="318"/>
      <c r="P68" s="252">
        <f t="shared" si="13"/>
        <v>1535.1</v>
      </c>
      <c r="Q68" s="131"/>
      <c r="R68" s="142"/>
      <c r="S68" s="237"/>
      <c r="T68" s="64"/>
    </row>
    <row r="69" spans="1:20" s="3" customFormat="1" ht="12.75">
      <c r="A69" s="16" t="s">
        <v>1</v>
      </c>
      <c r="B69" s="265">
        <f t="shared" si="12"/>
        <v>1715255</v>
      </c>
      <c r="C69" s="265">
        <f>SUM(C61:C64)</f>
        <v>0</v>
      </c>
      <c r="D69" s="265">
        <f>SUM(D61:D64)</f>
        <v>0</v>
      </c>
      <c r="E69" s="265">
        <f>SUM(E61:E64)</f>
        <v>373336</v>
      </c>
      <c r="F69" s="265">
        <f>SUM(F61:F64)</f>
        <v>803924</v>
      </c>
      <c r="G69" s="265">
        <f aca="true" t="shared" si="14" ref="G69:P69">SUM(G61:G68)</f>
        <v>537995</v>
      </c>
      <c r="H69" s="265">
        <f t="shared" si="14"/>
        <v>5418</v>
      </c>
      <c r="I69" s="265">
        <f t="shared" si="14"/>
        <v>750580</v>
      </c>
      <c r="J69" s="265">
        <f t="shared" si="14"/>
        <v>1422229</v>
      </c>
      <c r="K69" s="265">
        <f t="shared" si="14"/>
        <v>2337702</v>
      </c>
      <c r="L69" s="265">
        <f t="shared" si="14"/>
        <v>1371699.2</v>
      </c>
      <c r="M69" s="265">
        <f t="shared" si="14"/>
        <v>1706777.2999999998</v>
      </c>
      <c r="N69" s="265">
        <f t="shared" si="14"/>
        <v>2485886.2</v>
      </c>
      <c r="O69" s="265">
        <f t="shared" si="14"/>
        <v>2391966</v>
      </c>
      <c r="P69" s="265">
        <f t="shared" si="14"/>
        <v>14187512.7</v>
      </c>
      <c r="Q69" s="65"/>
      <c r="R69" s="142"/>
      <c r="S69" s="237"/>
      <c r="T69" s="64"/>
    </row>
    <row r="70" spans="1:20" s="3" customFormat="1" ht="12.75">
      <c r="A70" s="21"/>
      <c r="B70" s="21"/>
      <c r="C70" s="40"/>
      <c r="D70" s="40"/>
      <c r="E70" s="44"/>
      <c r="F70" s="44"/>
      <c r="G70" s="44"/>
      <c r="H70" s="58"/>
      <c r="I70" s="58"/>
      <c r="J70" s="58"/>
      <c r="K70" s="58"/>
      <c r="L70" s="58"/>
      <c r="M70" s="58"/>
      <c r="N70" s="58"/>
      <c r="O70" s="58"/>
      <c r="P70" s="44"/>
      <c r="Q70" s="142"/>
      <c r="R70" s="142"/>
      <c r="S70" s="142"/>
      <c r="T70" s="142"/>
    </row>
    <row r="71" spans="1:20" s="3" customFormat="1" ht="12.75">
      <c r="A71" s="43" t="s">
        <v>109</v>
      </c>
      <c r="B71" s="63" t="s">
        <v>411</v>
      </c>
      <c r="C71" s="40" t="s">
        <v>411</v>
      </c>
      <c r="D71" s="40" t="s">
        <v>411</v>
      </c>
      <c r="E71" s="40" t="s">
        <v>411</v>
      </c>
      <c r="F71" s="40" t="s">
        <v>411</v>
      </c>
      <c r="G71" s="40" t="s">
        <v>411</v>
      </c>
      <c r="H71" s="63" t="s">
        <v>411</v>
      </c>
      <c r="I71" s="63" t="s">
        <v>411</v>
      </c>
      <c r="J71" s="88" t="s">
        <v>411</v>
      </c>
      <c r="K71" s="88" t="s">
        <v>411</v>
      </c>
      <c r="L71" s="88" t="s">
        <v>411</v>
      </c>
      <c r="M71" s="88" t="s">
        <v>411</v>
      </c>
      <c r="N71" s="88" t="s">
        <v>411</v>
      </c>
      <c r="O71" s="88" t="s">
        <v>411</v>
      </c>
      <c r="P71" s="40" t="s">
        <v>411</v>
      </c>
      <c r="Q71" s="142"/>
      <c r="R71" s="142"/>
      <c r="S71" s="237"/>
      <c r="T71" s="142"/>
    </row>
    <row r="72" spans="1:20" s="3" customFormat="1" ht="12.75">
      <c r="A72" s="15" t="s">
        <v>165</v>
      </c>
      <c r="B72" s="254">
        <f aca="true" t="shared" si="15" ref="B72:B80">SUM(C72:G72)</f>
        <v>11898</v>
      </c>
      <c r="C72" s="252">
        <v>0</v>
      </c>
      <c r="D72" s="252">
        <v>0</v>
      </c>
      <c r="E72" s="252">
        <v>3587</v>
      </c>
      <c r="F72" s="252">
        <v>5089</v>
      </c>
      <c r="G72" s="252">
        <v>3222</v>
      </c>
      <c r="H72" s="254">
        <v>0</v>
      </c>
      <c r="I72" s="254">
        <v>5792</v>
      </c>
      <c r="J72" s="254">
        <v>10752</v>
      </c>
      <c r="K72" s="254">
        <v>16252</v>
      </c>
      <c r="L72" s="254">
        <v>19190.4</v>
      </c>
      <c r="M72" s="254">
        <v>25435.7</v>
      </c>
      <c r="N72" s="255">
        <v>45156.8</v>
      </c>
      <c r="O72" s="255">
        <v>26146</v>
      </c>
      <c r="P72" s="252">
        <f aca="true" t="shared" si="16" ref="P72:P79">SUM(C72:O72)</f>
        <v>160622.90000000002</v>
      </c>
      <c r="Q72" s="142"/>
      <c r="R72" s="158"/>
      <c r="S72" s="237"/>
      <c r="T72" s="64"/>
    </row>
    <row r="73" spans="1:20" s="3" customFormat="1" ht="12.75">
      <c r="A73" s="15" t="s">
        <v>40</v>
      </c>
      <c r="B73" s="254">
        <f t="shared" si="15"/>
        <v>4602</v>
      </c>
      <c r="C73" s="252">
        <v>0</v>
      </c>
      <c r="D73" s="252">
        <v>0</v>
      </c>
      <c r="E73" s="252">
        <v>1499</v>
      </c>
      <c r="F73" s="252">
        <v>1441</v>
      </c>
      <c r="G73" s="252">
        <v>1662</v>
      </c>
      <c r="H73" s="254">
        <v>567</v>
      </c>
      <c r="I73" s="254">
        <v>803</v>
      </c>
      <c r="J73" s="254">
        <v>808</v>
      </c>
      <c r="K73" s="254">
        <v>444</v>
      </c>
      <c r="L73" s="254">
        <v>668</v>
      </c>
      <c r="M73" s="254">
        <v>13.6</v>
      </c>
      <c r="N73" s="318"/>
      <c r="O73" s="318"/>
      <c r="P73" s="252">
        <f t="shared" si="16"/>
        <v>7905.6</v>
      </c>
      <c r="Q73" s="142"/>
      <c r="R73" s="158"/>
      <c r="S73" s="237"/>
      <c r="T73" s="64"/>
    </row>
    <row r="74" spans="1:20" s="3" customFormat="1" ht="12.75">
      <c r="A74" s="15" t="s">
        <v>44</v>
      </c>
      <c r="B74" s="254">
        <f t="shared" si="15"/>
        <v>0</v>
      </c>
      <c r="C74" s="252"/>
      <c r="D74" s="252"/>
      <c r="E74" s="252"/>
      <c r="F74" s="252"/>
      <c r="G74" s="252"/>
      <c r="H74" s="318"/>
      <c r="I74" s="318"/>
      <c r="J74" s="254">
        <v>377</v>
      </c>
      <c r="K74" s="254">
        <v>431</v>
      </c>
      <c r="L74" s="254">
        <v>497</v>
      </c>
      <c r="M74" s="254">
        <f>411.7+85.5+1.2</f>
        <v>498.4</v>
      </c>
      <c r="N74" s="254">
        <f>1395.6+20.2</f>
        <v>1415.8</v>
      </c>
      <c r="O74" s="254">
        <v>418</v>
      </c>
      <c r="P74" s="252">
        <f t="shared" si="16"/>
        <v>3637.2</v>
      </c>
      <c r="Q74" s="142"/>
      <c r="R74" s="158"/>
      <c r="S74" s="237"/>
      <c r="T74" s="64"/>
    </row>
    <row r="75" spans="1:20" s="3" customFormat="1" ht="12.75">
      <c r="A75" s="19" t="s">
        <v>181</v>
      </c>
      <c r="B75" s="252">
        <f t="shared" si="15"/>
        <v>0</v>
      </c>
      <c r="C75" s="252"/>
      <c r="D75" s="252"/>
      <c r="E75" s="252"/>
      <c r="F75" s="252"/>
      <c r="G75" s="252"/>
      <c r="H75" s="318"/>
      <c r="I75" s="318"/>
      <c r="J75" s="252">
        <v>53</v>
      </c>
      <c r="K75" s="252">
        <v>79</v>
      </c>
      <c r="L75" s="252">
        <v>57</v>
      </c>
      <c r="M75" s="254">
        <v>3.9</v>
      </c>
      <c r="N75" s="318"/>
      <c r="O75" s="318"/>
      <c r="P75" s="252">
        <f t="shared" si="16"/>
        <v>192.9</v>
      </c>
      <c r="Q75" s="142"/>
      <c r="R75" s="238"/>
      <c r="S75" s="237"/>
      <c r="T75" s="64"/>
    </row>
    <row r="76" spans="1:20" s="3" customFormat="1" ht="12.75">
      <c r="A76" s="19" t="s">
        <v>273</v>
      </c>
      <c r="B76" s="252">
        <f>SUM(C76:G76)</f>
        <v>0</v>
      </c>
      <c r="C76" s="252"/>
      <c r="D76" s="252"/>
      <c r="E76" s="252"/>
      <c r="F76" s="252"/>
      <c r="G76" s="252"/>
      <c r="H76" s="318"/>
      <c r="I76" s="318"/>
      <c r="J76" s="318"/>
      <c r="K76" s="318"/>
      <c r="L76" s="318"/>
      <c r="M76" s="254">
        <v>60.2</v>
      </c>
      <c r="N76" s="254">
        <f>9+3.9</f>
        <v>12.9</v>
      </c>
      <c r="O76" s="254">
        <v>83</v>
      </c>
      <c r="P76" s="252">
        <f>SUM(C76:O76)</f>
        <v>156.10000000000002</v>
      </c>
      <c r="Q76" s="131"/>
      <c r="R76" s="238"/>
      <c r="S76" s="237"/>
      <c r="T76" s="64"/>
    </row>
    <row r="77" spans="1:20" s="3" customFormat="1" ht="12.75">
      <c r="A77" s="19" t="s">
        <v>196</v>
      </c>
      <c r="B77" s="252">
        <f t="shared" si="15"/>
        <v>0</v>
      </c>
      <c r="C77" s="252"/>
      <c r="D77" s="252"/>
      <c r="E77" s="252"/>
      <c r="F77" s="252"/>
      <c r="G77" s="252"/>
      <c r="H77" s="318"/>
      <c r="I77" s="318"/>
      <c r="J77" s="318"/>
      <c r="K77" s="252">
        <v>1385</v>
      </c>
      <c r="L77" s="252">
        <v>3748.3</v>
      </c>
      <c r="M77" s="254">
        <v>3765.8</v>
      </c>
      <c r="N77" s="254">
        <v>2846.1</v>
      </c>
      <c r="O77" s="254">
        <v>2660</v>
      </c>
      <c r="P77" s="252">
        <f t="shared" si="16"/>
        <v>14405.2</v>
      </c>
      <c r="Q77" s="131"/>
      <c r="R77" s="238"/>
      <c r="S77" s="237"/>
      <c r="T77" s="64"/>
    </row>
    <row r="78" spans="1:20" s="3" customFormat="1" ht="12.75">
      <c r="A78" s="19" t="s">
        <v>246</v>
      </c>
      <c r="B78" s="252">
        <f t="shared" si="15"/>
        <v>0</v>
      </c>
      <c r="C78" s="252"/>
      <c r="D78" s="252"/>
      <c r="E78" s="252"/>
      <c r="F78" s="252"/>
      <c r="G78" s="252"/>
      <c r="H78" s="318"/>
      <c r="I78" s="318"/>
      <c r="J78" s="318"/>
      <c r="K78" s="318"/>
      <c r="L78" s="252">
        <v>526.9</v>
      </c>
      <c r="M78" s="254">
        <v>1005.1</v>
      </c>
      <c r="N78" s="254">
        <v>651.3</v>
      </c>
      <c r="O78" s="254">
        <v>342</v>
      </c>
      <c r="P78" s="252">
        <f t="shared" si="16"/>
        <v>2525.3</v>
      </c>
      <c r="Q78" s="131"/>
      <c r="R78" s="238"/>
      <c r="S78" s="237"/>
      <c r="T78" s="64"/>
    </row>
    <row r="79" spans="1:20" s="3" customFormat="1" ht="12.75">
      <c r="A79" s="19" t="s">
        <v>274</v>
      </c>
      <c r="B79" s="252">
        <f t="shared" si="15"/>
        <v>0</v>
      </c>
      <c r="C79" s="252"/>
      <c r="D79" s="252"/>
      <c r="E79" s="252"/>
      <c r="F79" s="252"/>
      <c r="G79" s="252"/>
      <c r="H79" s="318"/>
      <c r="I79" s="318"/>
      <c r="J79" s="318"/>
      <c r="K79" s="318"/>
      <c r="L79" s="318"/>
      <c r="M79" s="254">
        <v>32.1</v>
      </c>
      <c r="N79" s="318"/>
      <c r="O79" s="318"/>
      <c r="P79" s="252">
        <f t="shared" si="16"/>
        <v>32.1</v>
      </c>
      <c r="Q79" s="131"/>
      <c r="R79" s="238"/>
      <c r="S79" s="237"/>
      <c r="T79" s="64"/>
    </row>
    <row r="80" spans="1:20" s="3" customFormat="1" ht="12.75">
      <c r="A80" s="16" t="s">
        <v>1</v>
      </c>
      <c r="B80" s="265">
        <f t="shared" si="15"/>
        <v>16500</v>
      </c>
      <c r="C80" s="265">
        <f>SUM(C72:C75)</f>
        <v>0</v>
      </c>
      <c r="D80" s="265">
        <f>SUM(D72:D75)</f>
        <v>0</v>
      </c>
      <c r="E80" s="265">
        <f>SUM(E72:E75)</f>
        <v>5086</v>
      </c>
      <c r="F80" s="265">
        <f>SUM(F72:F75)</f>
        <v>6530</v>
      </c>
      <c r="G80" s="265">
        <f aca="true" t="shared" si="17" ref="G80:P80">SUM(G72:G79)</f>
        <v>4884</v>
      </c>
      <c r="H80" s="265">
        <f t="shared" si="17"/>
        <v>567</v>
      </c>
      <c r="I80" s="265">
        <f t="shared" si="17"/>
        <v>6595</v>
      </c>
      <c r="J80" s="265">
        <f t="shared" si="17"/>
        <v>11990</v>
      </c>
      <c r="K80" s="265">
        <f t="shared" si="17"/>
        <v>18591</v>
      </c>
      <c r="L80" s="265">
        <f t="shared" si="17"/>
        <v>24687.600000000002</v>
      </c>
      <c r="M80" s="265">
        <f t="shared" si="17"/>
        <v>30814.8</v>
      </c>
      <c r="N80" s="265">
        <f t="shared" si="17"/>
        <v>50082.90000000001</v>
      </c>
      <c r="O80" s="265">
        <f t="shared" si="17"/>
        <v>29649</v>
      </c>
      <c r="P80" s="265">
        <f t="shared" si="17"/>
        <v>189477.30000000005</v>
      </c>
      <c r="Q80" s="142"/>
      <c r="R80" s="142"/>
      <c r="S80" s="237"/>
      <c r="T80" s="64"/>
    </row>
    <row r="81" spans="1:17" s="3" customFormat="1" ht="12.75">
      <c r="A81" s="5"/>
      <c r="B81" s="5"/>
      <c r="M81" s="142"/>
      <c r="N81" s="142"/>
      <c r="O81" s="142"/>
      <c r="Q81" s="142"/>
    </row>
    <row r="82" spans="1:17" s="3" customFormat="1" ht="12.75">
      <c r="A82" s="1" t="s">
        <v>423</v>
      </c>
      <c r="B82" s="40" t="s">
        <v>11</v>
      </c>
      <c r="C82" s="40" t="s">
        <v>11</v>
      </c>
      <c r="D82" s="40" t="s">
        <v>11</v>
      </c>
      <c r="E82" s="40" t="s">
        <v>11</v>
      </c>
      <c r="F82" s="40" t="s">
        <v>11</v>
      </c>
      <c r="G82" s="40" t="s">
        <v>11</v>
      </c>
      <c r="H82" s="40" t="s">
        <v>11</v>
      </c>
      <c r="I82" s="40" t="s">
        <v>11</v>
      </c>
      <c r="J82" s="40" t="s">
        <v>11</v>
      </c>
      <c r="K82" s="40" t="s">
        <v>11</v>
      </c>
      <c r="L82" s="40" t="s">
        <v>11</v>
      </c>
      <c r="M82" s="63" t="s">
        <v>11</v>
      </c>
      <c r="N82" s="63" t="s">
        <v>11</v>
      </c>
      <c r="O82" s="63" t="s">
        <v>11</v>
      </c>
      <c r="P82" s="40" t="s">
        <v>11</v>
      </c>
      <c r="Q82" s="142"/>
    </row>
    <row r="83" spans="1:17" s="3" customFormat="1" ht="12.75">
      <c r="A83" s="15" t="s">
        <v>165</v>
      </c>
      <c r="B83" s="254">
        <f>SUM(C83:G83)</f>
        <v>0</v>
      </c>
      <c r="C83" s="252">
        <v>0</v>
      </c>
      <c r="D83" s="252">
        <v>0</v>
      </c>
      <c r="E83" s="252">
        <v>0</v>
      </c>
      <c r="F83" s="252">
        <v>0</v>
      </c>
      <c r="G83" s="252">
        <v>0</v>
      </c>
      <c r="H83" s="254">
        <v>0</v>
      </c>
      <c r="I83" s="254">
        <v>1943</v>
      </c>
      <c r="J83" s="318"/>
      <c r="K83" s="318"/>
      <c r="L83" s="318"/>
      <c r="M83" s="318"/>
      <c r="N83" s="318"/>
      <c r="O83" s="318"/>
      <c r="P83" s="252">
        <f>SUM(C83:O83)</f>
        <v>1943</v>
      </c>
      <c r="Q83" s="142"/>
    </row>
    <row r="84" spans="1:17" ht="12.75">
      <c r="A84" s="15" t="s">
        <v>44</v>
      </c>
      <c r="B84" s="254">
        <f>SUM(C84:G84)</f>
        <v>0</v>
      </c>
      <c r="C84" s="252"/>
      <c r="D84" s="252"/>
      <c r="E84" s="252"/>
      <c r="F84" s="252"/>
      <c r="G84" s="252"/>
      <c r="H84" s="254"/>
      <c r="I84" s="254"/>
      <c r="J84" s="254">
        <v>20006</v>
      </c>
      <c r="K84" s="254">
        <v>22843</v>
      </c>
      <c r="L84" s="254">
        <v>26540</v>
      </c>
      <c r="M84" s="254">
        <v>26705</v>
      </c>
      <c r="N84" s="254">
        <v>24756</v>
      </c>
      <c r="O84" s="254">
        <v>22143</v>
      </c>
      <c r="P84" s="252">
        <f>SUM(C84:O84)</f>
        <v>142993</v>
      </c>
      <c r="Q84" s="136"/>
    </row>
    <row r="85" spans="1:16" ht="12.75">
      <c r="A85" s="19" t="s">
        <v>274</v>
      </c>
      <c r="B85" s="254">
        <f>SUM(C85:G85)</f>
        <v>0</v>
      </c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4">
        <v>350.6</v>
      </c>
      <c r="N85" s="318"/>
      <c r="O85" s="318"/>
      <c r="P85" s="252">
        <f>SUM(C85:O85)</f>
        <v>350.6</v>
      </c>
    </row>
    <row r="86" spans="1:16" ht="12.75">
      <c r="A86" s="16" t="s">
        <v>1</v>
      </c>
      <c r="B86" s="256">
        <f>SUM(C86:G86)</f>
        <v>0</v>
      </c>
      <c r="C86" s="265">
        <f aca="true" t="shared" si="18" ref="C86:M86">SUM(C83:C85)</f>
        <v>0</v>
      </c>
      <c r="D86" s="265">
        <f t="shared" si="18"/>
        <v>0</v>
      </c>
      <c r="E86" s="265">
        <f t="shared" si="18"/>
        <v>0</v>
      </c>
      <c r="F86" s="265">
        <f t="shared" si="18"/>
        <v>0</v>
      </c>
      <c r="G86" s="265">
        <f t="shared" si="18"/>
        <v>0</v>
      </c>
      <c r="H86" s="265">
        <f t="shared" si="18"/>
        <v>0</v>
      </c>
      <c r="I86" s="265">
        <f t="shared" si="18"/>
        <v>1943</v>
      </c>
      <c r="J86" s="265">
        <f t="shared" si="18"/>
        <v>20006</v>
      </c>
      <c r="K86" s="265">
        <f t="shared" si="18"/>
        <v>22843</v>
      </c>
      <c r="L86" s="265">
        <f t="shared" si="18"/>
        <v>26540</v>
      </c>
      <c r="M86" s="256">
        <f t="shared" si="18"/>
        <v>27055.6</v>
      </c>
      <c r="N86" s="256">
        <v>24756</v>
      </c>
      <c r="O86" s="256">
        <f>SUM(O83:O85)</f>
        <v>22143</v>
      </c>
      <c r="P86" s="265">
        <f>SUM(C86:O86)</f>
        <v>145286.6</v>
      </c>
    </row>
    <row r="87" spans="1:16" ht="12.75">
      <c r="A87" s="21"/>
      <c r="B87" s="21"/>
      <c r="C87" s="40"/>
      <c r="D87" s="40"/>
      <c r="E87" s="44"/>
      <c r="F87" s="44"/>
      <c r="G87" s="44"/>
      <c r="H87" s="58"/>
      <c r="I87" s="58"/>
      <c r="J87" s="58"/>
      <c r="P87" s="44"/>
    </row>
    <row r="88" spans="1:16" ht="12.75">
      <c r="A88" s="43" t="s">
        <v>424</v>
      </c>
      <c r="B88" s="40" t="s">
        <v>11</v>
      </c>
      <c r="C88" s="40" t="s">
        <v>11</v>
      </c>
      <c r="D88" s="40" t="s">
        <v>11</v>
      </c>
      <c r="E88" s="40" t="s">
        <v>11</v>
      </c>
      <c r="F88" s="40" t="s">
        <v>11</v>
      </c>
      <c r="G88" s="40" t="s">
        <v>11</v>
      </c>
      <c r="H88" s="40" t="s">
        <v>11</v>
      </c>
      <c r="I88" s="40" t="s">
        <v>11</v>
      </c>
      <c r="J88" s="40" t="s">
        <v>11</v>
      </c>
      <c r="K88" s="40" t="s">
        <v>11</v>
      </c>
      <c r="L88" s="40" t="s">
        <v>11</v>
      </c>
      <c r="M88" s="63" t="s">
        <v>11</v>
      </c>
      <c r="N88" s="63" t="s">
        <v>11</v>
      </c>
      <c r="O88" s="63" t="s">
        <v>11</v>
      </c>
      <c r="P88" s="40" t="s">
        <v>11</v>
      </c>
    </row>
    <row r="89" spans="1:16" ht="12.75">
      <c r="A89" s="15" t="s">
        <v>165</v>
      </c>
      <c r="B89" s="254">
        <f>SUM(C89:G89)</f>
        <v>0</v>
      </c>
      <c r="C89" s="252">
        <v>0</v>
      </c>
      <c r="D89" s="252">
        <v>0</v>
      </c>
      <c r="E89" s="252">
        <v>0</v>
      </c>
      <c r="F89" s="252">
        <v>0</v>
      </c>
      <c r="G89" s="252">
        <v>0</v>
      </c>
      <c r="H89" s="254">
        <v>0</v>
      </c>
      <c r="I89" s="254">
        <v>19430</v>
      </c>
      <c r="J89" s="318"/>
      <c r="K89" s="318"/>
      <c r="L89" s="318"/>
      <c r="M89" s="318"/>
      <c r="N89" s="318"/>
      <c r="O89" s="318"/>
      <c r="P89" s="252">
        <f>SUM(C89:O89)</f>
        <v>19430</v>
      </c>
    </row>
    <row r="90" spans="1:17" ht="12.75">
      <c r="A90" s="15" t="s">
        <v>44</v>
      </c>
      <c r="B90" s="254">
        <f>SUM(C90:G90)</f>
        <v>0</v>
      </c>
      <c r="C90" s="252"/>
      <c r="D90" s="252"/>
      <c r="E90" s="252"/>
      <c r="F90" s="252"/>
      <c r="G90" s="254"/>
      <c r="H90" s="318"/>
      <c r="I90" s="318"/>
      <c r="J90" s="254">
        <v>300087</v>
      </c>
      <c r="K90" s="254">
        <v>456858</v>
      </c>
      <c r="L90" s="254">
        <v>530793</v>
      </c>
      <c r="M90" s="254">
        <v>534107</v>
      </c>
      <c r="N90" s="254">
        <v>495126</v>
      </c>
      <c r="O90" s="254">
        <v>442854</v>
      </c>
      <c r="P90" s="252">
        <f>SUM(C90:O90)</f>
        <v>2759825</v>
      </c>
      <c r="Q90" s="136"/>
    </row>
    <row r="91" spans="1:16" ht="12.75">
      <c r="A91" s="19" t="s">
        <v>274</v>
      </c>
      <c r="B91" s="254">
        <f>SUM(C91:G91)</f>
        <v>0</v>
      </c>
      <c r="C91" s="252"/>
      <c r="D91" s="252"/>
      <c r="E91" s="252"/>
      <c r="F91" s="252"/>
      <c r="G91" s="254"/>
      <c r="H91" s="318"/>
      <c r="I91" s="318"/>
      <c r="J91" s="318"/>
      <c r="K91" s="318"/>
      <c r="L91" s="318"/>
      <c r="M91" s="254">
        <v>4558</v>
      </c>
      <c r="N91" s="318"/>
      <c r="O91" s="318"/>
      <c r="P91" s="252">
        <f>SUM(C91:O91)</f>
        <v>4558</v>
      </c>
    </row>
    <row r="92" spans="1:16" ht="12.75">
      <c r="A92" s="16" t="s">
        <v>1</v>
      </c>
      <c r="B92" s="256">
        <f>SUM(C92:G92)</f>
        <v>0</v>
      </c>
      <c r="C92" s="265">
        <f aca="true" t="shared" si="19" ref="C92:M92">SUM(C89:C91)</f>
        <v>0</v>
      </c>
      <c r="D92" s="265">
        <f t="shared" si="19"/>
        <v>0</v>
      </c>
      <c r="E92" s="265">
        <f t="shared" si="19"/>
        <v>0</v>
      </c>
      <c r="F92" s="265">
        <f t="shared" si="19"/>
        <v>0</v>
      </c>
      <c r="G92" s="265">
        <f t="shared" si="19"/>
        <v>0</v>
      </c>
      <c r="H92" s="265">
        <f t="shared" si="19"/>
        <v>0</v>
      </c>
      <c r="I92" s="265">
        <f t="shared" si="19"/>
        <v>19430</v>
      </c>
      <c r="J92" s="265">
        <f t="shared" si="19"/>
        <v>300087</v>
      </c>
      <c r="K92" s="265">
        <f t="shared" si="19"/>
        <v>456858</v>
      </c>
      <c r="L92" s="265">
        <f t="shared" si="19"/>
        <v>530793</v>
      </c>
      <c r="M92" s="256">
        <f t="shared" si="19"/>
        <v>538665</v>
      </c>
      <c r="N92" s="256">
        <v>495126</v>
      </c>
      <c r="O92" s="256">
        <f>SUM(O89:O91)</f>
        <v>442854</v>
      </c>
      <c r="P92" s="265">
        <f>SUM(C92:O92)</f>
        <v>2783813</v>
      </c>
    </row>
    <row r="93" spans="1:17" ht="12.75">
      <c r="A93" s="2" t="str">
        <f>A46</f>
        <v>* These columns/years have been hidden in this worksheet for viewing &amp; printing purposes</v>
      </c>
      <c r="B93" s="2"/>
      <c r="C93" s="8"/>
      <c r="Q93" s="146"/>
    </row>
    <row r="95" spans="1:27" ht="12.75">
      <c r="A95" s="2"/>
      <c r="B95" s="2"/>
      <c r="C95" s="9"/>
      <c r="D95" s="9"/>
      <c r="E95" s="9"/>
      <c r="F95" s="9"/>
      <c r="G95" s="9"/>
      <c r="H95" s="9"/>
      <c r="I95" s="9"/>
      <c r="J95" s="9"/>
      <c r="K95" s="9"/>
      <c r="L95" s="9"/>
      <c r="M95" s="143"/>
      <c r="N95" s="143"/>
      <c r="O95" s="143"/>
      <c r="P95" s="9"/>
      <c r="Q95" s="143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ht="12.75">
      <c r="A96" s="2"/>
      <c r="B96" s="2"/>
      <c r="C96" s="9"/>
      <c r="D96" s="9"/>
      <c r="E96" s="9"/>
      <c r="F96" s="9"/>
      <c r="G96" s="9"/>
      <c r="H96" s="9"/>
      <c r="I96" s="9"/>
      <c r="J96" s="9"/>
      <c r="K96" s="9"/>
      <c r="L96" s="9"/>
      <c r="M96" s="143"/>
      <c r="N96" s="143"/>
      <c r="O96" s="143"/>
      <c r="P96" s="9"/>
      <c r="Q96" s="143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ht="12.75">
      <c r="A97" s="2"/>
      <c r="B97" s="2"/>
      <c r="C97" s="9"/>
      <c r="D97" s="9"/>
      <c r="E97" s="9"/>
      <c r="F97" s="9"/>
      <c r="G97" s="9"/>
      <c r="H97" s="9"/>
      <c r="I97" s="9"/>
      <c r="J97" s="9"/>
      <c r="K97" s="9"/>
      <c r="L97" s="9"/>
      <c r="M97" s="143"/>
      <c r="N97" s="143"/>
      <c r="O97" s="143"/>
      <c r="P97" s="9"/>
      <c r="Q97" s="143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ht="12.75">
      <c r="A98" s="2"/>
      <c r="B98" s="2"/>
      <c r="C98" s="9"/>
      <c r="D98" s="9"/>
      <c r="E98" s="9"/>
      <c r="F98" s="9"/>
      <c r="G98" s="9"/>
      <c r="I98" s="9"/>
      <c r="J98" s="9"/>
      <c r="K98" s="9"/>
      <c r="L98" s="9"/>
      <c r="M98" s="143"/>
      <c r="N98" s="143"/>
      <c r="O98" s="143"/>
      <c r="P98" s="9"/>
      <c r="Q98" s="143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2.75">
      <c r="C99" s="8"/>
    </row>
    <row r="101" spans="1:19" ht="12.75">
      <c r="A101" s="2"/>
      <c r="B101" s="2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43"/>
      <c r="N101" s="143"/>
      <c r="O101" s="143"/>
      <c r="P101" s="9"/>
      <c r="Q101" s="143"/>
      <c r="R101" s="9"/>
      <c r="S101" s="9"/>
    </row>
    <row r="102" spans="1:19" ht="12.75">
      <c r="A102" s="2"/>
      <c r="B102" s="2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3"/>
      <c r="N102" s="143"/>
      <c r="O102" s="143"/>
      <c r="P102" s="9"/>
      <c r="Q102" s="143"/>
      <c r="R102" s="9"/>
      <c r="S102" s="9"/>
    </row>
    <row r="103" spans="1:19" ht="12.75">
      <c r="A103" s="2"/>
      <c r="B103" s="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3"/>
      <c r="N103" s="143"/>
      <c r="O103" s="143"/>
      <c r="P103" s="9"/>
      <c r="Q103" s="143"/>
      <c r="R103" s="9"/>
      <c r="S103" s="9"/>
    </row>
    <row r="104" spans="3:19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3"/>
      <c r="N104" s="143"/>
      <c r="O104" s="143"/>
      <c r="P104" s="9"/>
      <c r="Q104" s="143"/>
      <c r="R104" s="9"/>
      <c r="S104" s="9"/>
    </row>
    <row r="105" spans="1:17" ht="12.75">
      <c r="A105" s="2"/>
      <c r="B105" s="2"/>
      <c r="C105" s="8"/>
      <c r="Q105" s="146"/>
    </row>
    <row r="107" spans="1:19" ht="12.75">
      <c r="A107" s="2"/>
      <c r="B107" s="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43"/>
      <c r="N107" s="143"/>
      <c r="O107" s="143"/>
      <c r="P107" s="9"/>
      <c r="Q107" s="143"/>
      <c r="R107" s="9"/>
      <c r="S107" s="9"/>
    </row>
    <row r="108" spans="1:19" ht="12.75">
      <c r="A108" s="2"/>
      <c r="B108" s="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43"/>
      <c r="N108" s="143"/>
      <c r="O108" s="143"/>
      <c r="P108" s="9"/>
      <c r="Q108" s="143"/>
      <c r="R108" s="9"/>
      <c r="S108" s="9"/>
    </row>
    <row r="109" spans="1:19" ht="12.75">
      <c r="A109" s="2"/>
      <c r="B109" s="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43"/>
      <c r="N109" s="143"/>
      <c r="O109" s="143"/>
      <c r="P109" s="9"/>
      <c r="Q109" s="143"/>
      <c r="R109" s="9"/>
      <c r="S109" s="9"/>
    </row>
    <row r="110" spans="1:19" ht="12.75">
      <c r="A110" s="2"/>
      <c r="B110" s="2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3"/>
      <c r="N110" s="143"/>
      <c r="O110" s="143"/>
      <c r="P110" s="9"/>
      <c r="Q110" s="143"/>
      <c r="R110" s="9"/>
      <c r="S110" s="9"/>
    </row>
    <row r="111" ht="12.75">
      <c r="C111" s="8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</sheetData>
  <sheetProtection/>
  <mergeCells count="3">
    <mergeCell ref="A1:P1"/>
    <mergeCell ref="A17:P17"/>
    <mergeCell ref="A2:P2"/>
  </mergeCells>
  <printOptions/>
  <pageMargins left="0.17" right="0.17" top="0.4" bottom="0.6" header="0.24" footer="0.24"/>
  <pageSetup horizontalDpi="600" verticalDpi="600" orientation="landscape" scale="75" r:id="rId1"/>
  <headerFooter scaleWithDoc="0" alignWithMargins="0">
    <oddFooter>&amp;L&amp;6&amp;A - Results by Program Year&amp;R&amp;6printed &amp;D at &amp;T</oddFooter>
  </headerFooter>
  <rowBreaks count="1" manualBreakCount="1">
    <brk id="46" max="14" man="1"/>
  </rowBreaks>
  <ignoredErrors>
    <ignoredError sqref="C15:G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Gabel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Ambrosio</dc:creator>
  <cp:keywords/>
  <dc:description/>
  <cp:lastModifiedBy>bdeecken</cp:lastModifiedBy>
  <cp:lastPrinted>2015-01-23T13:39:59Z</cp:lastPrinted>
  <dcterms:created xsi:type="dcterms:W3CDTF">2005-05-24T13:44:04Z</dcterms:created>
  <dcterms:modified xsi:type="dcterms:W3CDTF">2015-01-23T13:59:06Z</dcterms:modified>
  <cp:category/>
  <cp:version/>
  <cp:contentType/>
  <cp:contentStatus/>
</cp:coreProperties>
</file>