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AEG Employee Data\Ambrosio\Mikes Clients\Reports\Statewide Compilation Report\FY24\4Q\"/>
    </mc:Choice>
  </mc:AlternateContent>
  <xr:revisionPtr revIDLastSave="0" documentId="8_{41F6CA06-A623-401A-82FE-5E5388F176C4}" xr6:coauthVersionLast="47" xr6:coauthVersionMax="47" xr10:uidLastSave="{00000000-0000-0000-0000-000000000000}"/>
  <bookViews>
    <workbookView xWindow="16212" yWindow="-108" windowWidth="23256" windowHeight="12576" tabRatio="940" firstSheet="1" activeTab="1" xr2:uid="{00000000-000D-0000-FFFF-FFFF00000000}"/>
  </bookViews>
  <sheets>
    <sheet name="Sheet1" sheetId="16" state="hidden" r:id="rId1"/>
    <sheet name="Statewide Totals" sheetId="28" r:id="rId2"/>
    <sheet name="Current Year Programs" sheetId="22" r:id="rId3"/>
    <sheet name="Legacy Programs" sheetId="29" r:id="rId4"/>
    <sheet name="Budgets, Expenses &amp; Incentives" sheetId="20" r:id="rId5"/>
    <sheet name="Participants" sheetId="23" r:id="rId6"/>
    <sheet name="Electric Savings" sheetId="24" r:id="rId7"/>
    <sheet name="Gas Savings" sheetId="25" r:id="rId8"/>
    <sheet name="Emissions Reductions" sheetId="26" r:id="rId9"/>
    <sheet name="Goals" sheetId="18" r:id="rId10"/>
    <sheet name="Performance vs Goals" sheetId="17" r:id="rId11"/>
    <sheet name="Energy Savings % Retail Sales" sheetId="27" r:id="rId12"/>
    <sheet name="Equity" sheetId="30" state="hidden" r:id="rId13"/>
    <sheet name="Qtr Electric Master" sheetId="21" state="hidden" r:id="rId14"/>
  </sheets>
  <externalReferences>
    <externalReference r:id="rId15"/>
  </externalReferences>
  <definedNames>
    <definedName name="_xlnm._FilterDatabase" localSheetId="4" hidden="1">'Budgets, Expenses &amp; Incentives'!#REF!</definedName>
    <definedName name="_xlnm.Print_Area" localSheetId="2">'Current Year Programs'!$A$1:$J$62</definedName>
    <definedName name="wrn.CFC._.QUARTER." localSheetId="13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13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13" hidden="1">'Qtr Electric Master'!#REF!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8" l="1"/>
  <c r="D13" i="28"/>
  <c r="C13" i="28"/>
  <c r="E11" i="28"/>
  <c r="D11" i="28"/>
  <c r="C11" i="28"/>
  <c r="E10" i="28"/>
  <c r="D10" i="28"/>
  <c r="C10" i="28"/>
  <c r="E9" i="28"/>
  <c r="D9" i="28"/>
  <c r="C9" i="28"/>
  <c r="E8" i="28"/>
  <c r="D8" i="28"/>
  <c r="C8" i="28"/>
  <c r="E7" i="28"/>
  <c r="D7" i="28"/>
  <c r="C7" i="28"/>
  <c r="E6" i="28"/>
  <c r="D6" i="28"/>
  <c r="C6" i="28"/>
  <c r="E5" i="28"/>
  <c r="E15" i="28" s="1"/>
  <c r="D5" i="28"/>
  <c r="C5" i="28"/>
  <c r="D15" i="28" l="1"/>
  <c r="C15" i="28"/>
  <c r="E23" i="26" l="1"/>
  <c r="D25" i="26"/>
  <c r="D21" i="26"/>
  <c r="D22" i="26"/>
  <c r="D23" i="26"/>
  <c r="D20" i="26"/>
  <c r="B25" i="26"/>
  <c r="B21" i="26"/>
  <c r="B22" i="26"/>
  <c r="B23" i="26"/>
  <c r="B20" i="26"/>
  <c r="D41" i="28" l="1"/>
  <c r="C41" i="28"/>
  <c r="D37" i="28"/>
  <c r="C37" i="28"/>
  <c r="D28" i="28"/>
  <c r="E28" i="28"/>
  <c r="C28" i="28"/>
  <c r="D25" i="28"/>
  <c r="E25" i="28"/>
  <c r="C25" i="28"/>
  <c r="D23" i="28"/>
  <c r="E23" i="28"/>
  <c r="C23" i="28"/>
  <c r="C35" i="29"/>
  <c r="B35" i="29"/>
  <c r="C24" i="29"/>
  <c r="E41" i="29" s="1"/>
  <c r="D24" i="29"/>
  <c r="F41" i="29" s="1"/>
  <c r="B24" i="29"/>
  <c r="B42" i="29" l="1"/>
  <c r="C42" i="29"/>
  <c r="G42" i="29"/>
  <c r="F42" i="29"/>
  <c r="G41" i="29"/>
  <c r="B41" i="29"/>
  <c r="B43" i="29" s="1"/>
  <c r="C41" i="29"/>
  <c r="D41" i="29"/>
  <c r="H41" i="29"/>
  <c r="I41" i="29"/>
  <c r="I43" i="29" l="1"/>
  <c r="H43" i="29"/>
  <c r="G43" i="29"/>
  <c r="F43" i="29"/>
  <c r="E43" i="29"/>
  <c r="D43" i="29"/>
  <c r="C43" i="29"/>
  <c r="B12" i="29"/>
  <c r="C12" i="29"/>
  <c r="F11" i="23"/>
  <c r="F15" i="23" s="1"/>
  <c r="G5" i="23"/>
  <c r="G6" i="23"/>
  <c r="G7" i="23"/>
  <c r="G8" i="23"/>
  <c r="G9" i="23"/>
  <c r="G10" i="23"/>
  <c r="B25" i="22" s="1"/>
  <c r="G4" i="23"/>
  <c r="C42" i="20"/>
  <c r="C46" i="20" s="1"/>
  <c r="D42" i="20"/>
  <c r="D46" i="20" s="1"/>
  <c r="E42" i="20"/>
  <c r="E46" i="20" s="1"/>
  <c r="F42" i="20"/>
  <c r="F46" i="20" s="1"/>
  <c r="G42" i="20"/>
  <c r="G46" i="20" s="1"/>
  <c r="H36" i="20"/>
  <c r="H37" i="20"/>
  <c r="H38" i="20"/>
  <c r="H39" i="20"/>
  <c r="H40" i="20"/>
  <c r="H41" i="20"/>
  <c r="D11" i="22" s="1"/>
  <c r="H35" i="20"/>
  <c r="F27" i="20"/>
  <c r="F31" i="20" s="1"/>
  <c r="G27" i="20"/>
  <c r="G31" i="20" s="1"/>
  <c r="H26" i="20"/>
  <c r="H25" i="20"/>
  <c r="H24" i="20"/>
  <c r="H23" i="20"/>
  <c r="H22" i="20"/>
  <c r="H21" i="20"/>
  <c r="H20" i="20"/>
  <c r="F12" i="20"/>
  <c r="F16" i="20" s="1"/>
  <c r="G12" i="20"/>
  <c r="G16" i="20" s="1"/>
  <c r="H6" i="20"/>
  <c r="H7" i="20"/>
  <c r="H8" i="20"/>
  <c r="H9" i="20"/>
  <c r="H10" i="20"/>
  <c r="H11" i="20"/>
  <c r="B11" i="22" s="1"/>
  <c r="H5" i="20"/>
  <c r="L21" i="27"/>
  <c r="L22" i="27"/>
  <c r="L23" i="27"/>
  <c r="L24" i="27"/>
  <c r="L8" i="27"/>
  <c r="L9" i="27"/>
  <c r="L10" i="27"/>
  <c r="L11" i="27"/>
  <c r="H21" i="27"/>
  <c r="H22" i="27"/>
  <c r="H23" i="27"/>
  <c r="H24" i="27"/>
  <c r="H8" i="27"/>
  <c r="H9" i="27"/>
  <c r="H10" i="27"/>
  <c r="H11" i="27"/>
  <c r="G17" i="25"/>
  <c r="G18" i="25"/>
  <c r="G19" i="25"/>
  <c r="G16" i="25"/>
  <c r="G6" i="25"/>
  <c r="G7" i="25"/>
  <c r="G8" i="25"/>
  <c r="G5" i="25"/>
  <c r="G28" i="24"/>
  <c r="G29" i="24"/>
  <c r="G30" i="24"/>
  <c r="G27" i="24"/>
  <c r="G17" i="24"/>
  <c r="G18" i="24"/>
  <c r="G19" i="24"/>
  <c r="G16" i="24"/>
  <c r="G6" i="24"/>
  <c r="G7" i="24"/>
  <c r="G8" i="24"/>
  <c r="G5" i="24"/>
  <c r="C11" i="22"/>
  <c r="K22" i="27" l="1"/>
  <c r="K23" i="27"/>
  <c r="K24" i="27"/>
  <c r="K21" i="27"/>
  <c r="K9" i="27"/>
  <c r="K10" i="27"/>
  <c r="K11" i="27"/>
  <c r="K8" i="27"/>
  <c r="G10" i="24"/>
  <c r="G23" i="25"/>
  <c r="F23" i="25"/>
  <c r="F12" i="25"/>
  <c r="E12" i="25"/>
  <c r="E23" i="25"/>
  <c r="G21" i="25"/>
  <c r="G10" i="25"/>
  <c r="F34" i="24"/>
  <c r="F23" i="24"/>
  <c r="F12" i="24"/>
  <c r="C11" i="23"/>
  <c r="C15" i="23" s="1"/>
  <c r="D11" i="23"/>
  <c r="D15" i="23" s="1"/>
  <c r="E11" i="23"/>
  <c r="E15" i="23" s="1"/>
  <c r="B11" i="23"/>
  <c r="B15" i="23" s="1"/>
  <c r="H44" i="20"/>
  <c r="D13" i="22" s="1"/>
  <c r="H42" i="20"/>
  <c r="B42" i="20"/>
  <c r="B46" i="20" s="1"/>
  <c r="H29" i="20"/>
  <c r="C13" i="22" s="1"/>
  <c r="E27" i="20"/>
  <c r="E31" i="20" s="1"/>
  <c r="D27" i="20"/>
  <c r="D31" i="20" s="1"/>
  <c r="C27" i="20"/>
  <c r="C31" i="20" s="1"/>
  <c r="B27" i="20"/>
  <c r="B31" i="20" s="1"/>
  <c r="C12" i="20"/>
  <c r="C16" i="20" s="1"/>
  <c r="D12" i="20"/>
  <c r="D16" i="20" s="1"/>
  <c r="E12" i="20"/>
  <c r="E16" i="20" s="1"/>
  <c r="B12" i="20"/>
  <c r="B16" i="20" s="1"/>
  <c r="H14" i="20"/>
  <c r="B13" i="22" s="1"/>
  <c r="D10" i="22"/>
  <c r="D9" i="22"/>
  <c r="D8" i="22"/>
  <c r="D7" i="22"/>
  <c r="D6" i="22"/>
  <c r="D5" i="22"/>
  <c r="B24" i="27"/>
  <c r="J24" i="27" s="1"/>
  <c r="B23" i="27"/>
  <c r="J23" i="27" s="1"/>
  <c r="B22" i="27"/>
  <c r="J22" i="27" s="1"/>
  <c r="B21" i="27"/>
  <c r="J21" i="27" s="1"/>
  <c r="B11" i="27"/>
  <c r="J11" i="27" s="1"/>
  <c r="B9" i="27"/>
  <c r="J9" i="27" s="1"/>
  <c r="B8" i="27"/>
  <c r="J8" i="27" s="1"/>
  <c r="G11" i="23" l="1"/>
  <c r="H46" i="20"/>
  <c r="D15" i="22"/>
  <c r="F8" i="27"/>
  <c r="F9" i="27"/>
  <c r="F21" i="27"/>
  <c r="F22" i="27"/>
  <c r="F23" i="27"/>
  <c r="F11" i="27"/>
  <c r="F24" i="27"/>
  <c r="D23" i="25"/>
  <c r="D12" i="25"/>
  <c r="C51" i="22"/>
  <c r="C49" i="22"/>
  <c r="C48" i="22"/>
  <c r="C46" i="22"/>
  <c r="B51" i="22"/>
  <c r="B49" i="22"/>
  <c r="B47" i="22"/>
  <c r="B46" i="22"/>
  <c r="G32" i="24"/>
  <c r="D39" i="22" s="1"/>
  <c r="G21" i="24"/>
  <c r="B39" i="22"/>
  <c r="E34" i="24"/>
  <c r="D34" i="24"/>
  <c r="E23" i="24"/>
  <c r="D23" i="24"/>
  <c r="D36" i="22"/>
  <c r="D35" i="22"/>
  <c r="D34" i="22"/>
  <c r="C36" i="22"/>
  <c r="C35" i="22"/>
  <c r="B37" i="22"/>
  <c r="B36" i="22"/>
  <c r="B35" i="22"/>
  <c r="E12" i="24"/>
  <c r="D12" i="24"/>
  <c r="G13" i="23"/>
  <c r="B24" i="22"/>
  <c r="B23" i="22"/>
  <c r="B21" i="22"/>
  <c r="B20" i="22"/>
  <c r="B19" i="22"/>
  <c r="C10" i="22"/>
  <c r="C9" i="22"/>
  <c r="C8" i="22"/>
  <c r="C7" i="22"/>
  <c r="C6" i="22"/>
  <c r="B10" i="22"/>
  <c r="B9" i="22"/>
  <c r="B8" i="22"/>
  <c r="B7" i="22"/>
  <c r="B6" i="22"/>
  <c r="B10" i="27"/>
  <c r="B13" i="27" s="1"/>
  <c r="J26" i="27"/>
  <c r="B26" i="27"/>
  <c r="C23" i="25"/>
  <c r="B23" i="25"/>
  <c r="C12" i="25"/>
  <c r="B12" i="25"/>
  <c r="C34" i="24"/>
  <c r="B34" i="24"/>
  <c r="C23" i="24"/>
  <c r="B23" i="24"/>
  <c r="C12" i="24"/>
  <c r="B12" i="24"/>
  <c r="E9" i="22" l="1"/>
  <c r="C23" i="26"/>
  <c r="H8" i="26"/>
  <c r="F8" i="26"/>
  <c r="G8" i="26"/>
  <c r="I8" i="26"/>
  <c r="I12" i="26"/>
  <c r="H12" i="26"/>
  <c r="G12" i="26"/>
  <c r="F12" i="26"/>
  <c r="F7" i="26"/>
  <c r="H7" i="26"/>
  <c r="G7" i="26"/>
  <c r="I7" i="26"/>
  <c r="G9" i="26"/>
  <c r="I9" i="26"/>
  <c r="F9" i="26"/>
  <c r="H9" i="26"/>
  <c r="E20" i="26"/>
  <c r="E8" i="26"/>
  <c r="D8" i="26"/>
  <c r="C8" i="26"/>
  <c r="B8" i="26"/>
  <c r="C20" i="26"/>
  <c r="C9" i="26"/>
  <c r="B9" i="26"/>
  <c r="E9" i="26"/>
  <c r="D9" i="26"/>
  <c r="E22" i="26"/>
  <c r="C21" i="26"/>
  <c r="C25" i="26"/>
  <c r="E25" i="26"/>
  <c r="B27" i="22"/>
  <c r="G15" i="23"/>
  <c r="C5" i="22"/>
  <c r="H27" i="20"/>
  <c r="H31" i="20" s="1"/>
  <c r="H12" i="20"/>
  <c r="H16" i="20" s="1"/>
  <c r="E13" i="22"/>
  <c r="B5" i="22"/>
  <c r="F26" i="27"/>
  <c r="G12" i="25"/>
  <c r="E8" i="22"/>
  <c r="E6" i="22"/>
  <c r="E7" i="22"/>
  <c r="E10" i="22"/>
  <c r="M11" i="27"/>
  <c r="M21" i="27"/>
  <c r="M23" i="27"/>
  <c r="M9" i="27"/>
  <c r="M24" i="27"/>
  <c r="C37" i="22"/>
  <c r="G12" i="24"/>
  <c r="J10" i="27"/>
  <c r="J13" i="27" s="1"/>
  <c r="F10" i="27"/>
  <c r="F13" i="27" s="1"/>
  <c r="M8" i="27"/>
  <c r="M22" i="27"/>
  <c r="B22" i="22"/>
  <c r="C39" i="22"/>
  <c r="D37" i="22"/>
  <c r="B48" i="22"/>
  <c r="C47" i="22"/>
  <c r="B34" i="22"/>
  <c r="B41" i="22" s="1"/>
  <c r="C34" i="22"/>
  <c r="G34" i="24"/>
  <c r="G23" i="24"/>
  <c r="B26" i="18"/>
  <c r="B14" i="18"/>
  <c r="H12" i="18"/>
  <c r="F12" i="18"/>
  <c r="F12" i="17" s="1"/>
  <c r="H10" i="18"/>
  <c r="J10" i="17" s="1"/>
  <c r="F10" i="18"/>
  <c r="F10" i="17" s="1"/>
  <c r="G36" i="21"/>
  <c r="F36" i="21"/>
  <c r="G32" i="21"/>
  <c r="F32" i="21"/>
  <c r="G26" i="21"/>
  <c r="F26" i="21"/>
  <c r="G13" i="21"/>
  <c r="G19" i="21" s="1"/>
  <c r="F13" i="21"/>
  <c r="F19" i="21" s="1"/>
  <c r="D41" i="22" l="1"/>
  <c r="G10" i="26"/>
  <c r="I10" i="26"/>
  <c r="H10" i="26"/>
  <c r="F10" i="26"/>
  <c r="E12" i="26"/>
  <c r="B12" i="26"/>
  <c r="C12" i="26"/>
  <c r="D12" i="26"/>
  <c r="D7" i="26"/>
  <c r="E7" i="26"/>
  <c r="C7" i="26"/>
  <c r="B7" i="26"/>
  <c r="I14" i="26"/>
  <c r="B10" i="26"/>
  <c r="E10" i="26"/>
  <c r="D10" i="26"/>
  <c r="C10" i="26"/>
  <c r="C53" i="22"/>
  <c r="E21" i="26"/>
  <c r="B53" i="22"/>
  <c r="C22" i="26"/>
  <c r="D12" i="18"/>
  <c r="B12" i="17" s="1"/>
  <c r="D11" i="27"/>
  <c r="D10" i="18"/>
  <c r="B10" i="17" s="1"/>
  <c r="D9" i="27"/>
  <c r="C41" i="22"/>
  <c r="E5" i="22"/>
  <c r="E11" i="22"/>
  <c r="K26" i="27"/>
  <c r="M26" i="27" s="1"/>
  <c r="F38" i="21"/>
  <c r="G38" i="21"/>
  <c r="K13" i="27"/>
  <c r="M13" i="27" s="1"/>
  <c r="M10" i="27"/>
  <c r="E36" i="21"/>
  <c r="D36" i="21"/>
  <c r="C36" i="21"/>
  <c r="E32" i="21"/>
  <c r="D32" i="21"/>
  <c r="C32" i="21"/>
  <c r="E26" i="21"/>
  <c r="D26" i="21"/>
  <c r="C26" i="21"/>
  <c r="E13" i="21"/>
  <c r="E19" i="21" s="1"/>
  <c r="D13" i="21"/>
  <c r="D19" i="21" s="1"/>
  <c r="C13" i="21"/>
  <c r="C19" i="21" s="1"/>
  <c r="B15" i="22"/>
  <c r="C15" i="22"/>
  <c r="B29" i="22"/>
  <c r="D38" i="21" l="1"/>
  <c r="C38" i="21"/>
  <c r="E38" i="21"/>
  <c r="E15" i="22"/>
  <c r="D22" i="27"/>
  <c r="D23" i="27"/>
  <c r="D24" i="27"/>
  <c r="D21" i="27"/>
  <c r="D10" i="27"/>
  <c r="D8" i="27"/>
  <c r="D21" i="18" l="1"/>
  <c r="D24" i="18"/>
  <c r="B24" i="17" s="1"/>
  <c r="D22" i="18"/>
  <c r="B23" i="17" s="1"/>
  <c r="D23" i="18"/>
  <c r="B22" i="17" s="1"/>
  <c r="F21" i="18"/>
  <c r="F24" i="18"/>
  <c r="F24" i="17" s="1"/>
  <c r="F22" i="18"/>
  <c r="F23" i="17" s="1"/>
  <c r="F22" i="17"/>
  <c r="H21" i="18"/>
  <c r="H24" i="18"/>
  <c r="J24" i="17" s="1"/>
  <c r="H22" i="18"/>
  <c r="J23" i="17" s="1"/>
  <c r="H23" i="18"/>
  <c r="J22" i="17" s="1"/>
  <c r="H9" i="18"/>
  <c r="H11" i="18"/>
  <c r="F9" i="18"/>
  <c r="F11" i="18"/>
  <c r="F9" i="17" s="1"/>
  <c r="D9" i="18"/>
  <c r="D11" i="18"/>
  <c r="B9" i="17" s="1"/>
  <c r="F11" i="17" l="1"/>
  <c r="F14" i="18"/>
  <c r="J9" i="17"/>
  <c r="J12" i="17"/>
  <c r="B11" i="17"/>
  <c r="D14" i="18"/>
  <c r="J11" i="17"/>
  <c r="H14" i="18"/>
  <c r="J25" i="17"/>
  <c r="H26" i="18"/>
  <c r="F25" i="17"/>
  <c r="F26" i="18"/>
  <c r="B25" i="17"/>
  <c r="D26" i="18"/>
  <c r="D14" i="17"/>
  <c r="J14" i="17" l="1"/>
  <c r="F27" i="17"/>
  <c r="B27" i="17"/>
  <c r="J27" i="17"/>
  <c r="F14" i="17"/>
  <c r="E26" i="18" l="1"/>
  <c r="H26" i="27" s="1"/>
  <c r="G14" i="18"/>
  <c r="L13" i="27" s="1"/>
  <c r="G26" i="18"/>
  <c r="L26" i="27" s="1"/>
  <c r="C26" i="18"/>
  <c r="D26" i="27" s="1"/>
  <c r="E14" i="18"/>
  <c r="H13" i="27" s="1"/>
  <c r="C14" i="18"/>
  <c r="D13" i="27" s="1"/>
  <c r="B14" i="17"/>
  <c r="H14" i="16" l="1"/>
  <c r="H28" i="16" s="1"/>
  <c r="H13" i="16"/>
  <c r="H27" i="16" s="1"/>
  <c r="H12" i="16"/>
  <c r="H26" i="16" s="1"/>
  <c r="H11" i="16"/>
  <c r="H25" i="16" s="1"/>
  <c r="H7" i="16"/>
  <c r="H21" i="16" s="1"/>
  <c r="H6" i="16"/>
  <c r="H20" i="16" s="1"/>
  <c r="H5" i="16"/>
  <c r="H19" i="16" s="1"/>
  <c r="H4" i="16"/>
  <c r="H18" i="16" s="1"/>
  <c r="F14" i="16"/>
  <c r="E28" i="16" s="1"/>
  <c r="F13" i="16"/>
  <c r="E27" i="16" s="1"/>
  <c r="F12" i="16"/>
  <c r="E26" i="16" s="1"/>
  <c r="F11" i="16"/>
  <c r="E25" i="16" s="1"/>
  <c r="F7" i="16"/>
  <c r="E21" i="16" s="1"/>
  <c r="F6" i="16"/>
  <c r="E20" i="16" s="1"/>
  <c r="F5" i="16"/>
  <c r="E19" i="16" s="1"/>
  <c r="F4" i="16"/>
  <c r="E18" i="16" s="1"/>
  <c r="D14" i="16"/>
  <c r="B28" i="16" s="1"/>
  <c r="D13" i="16"/>
  <c r="B27" i="16" s="1"/>
  <c r="D12" i="16"/>
  <c r="B26" i="16" s="1"/>
  <c r="D11" i="16"/>
  <c r="B25" i="16" s="1"/>
  <c r="D7" i="16"/>
  <c r="B21" i="16" s="1"/>
  <c r="D6" i="16"/>
  <c r="B20" i="16" s="1"/>
  <c r="D5" i="16"/>
  <c r="B19" i="16" s="1"/>
  <c r="D4" i="16"/>
  <c r="B18" i="16" s="1"/>
  <c r="M23" i="17" l="1"/>
  <c r="M22" i="17"/>
  <c r="L22" i="17"/>
  <c r="L23" i="17"/>
  <c r="L25" i="17"/>
  <c r="M25" i="17"/>
  <c r="M12" i="17"/>
  <c r="L12" i="17"/>
  <c r="L9" i="17"/>
  <c r="M9" i="17"/>
  <c r="K27" i="17" l="1"/>
  <c r="L24" i="17"/>
  <c r="M24" i="17"/>
  <c r="M10" i="17"/>
  <c r="L10" i="17"/>
  <c r="K14" i="17" l="1"/>
  <c r="M27" i="17"/>
  <c r="L27" i="17"/>
  <c r="L11" i="17"/>
  <c r="M11" i="17"/>
  <c r="M14" i="17" l="1"/>
  <c r="L14" i="17"/>
  <c r="D44" i="28" l="1"/>
  <c r="C44" i="28"/>
  <c r="D42" i="28"/>
  <c r="C42" i="28"/>
  <c r="D40" i="28"/>
  <c r="C40" i="28"/>
  <c r="D39" i="28"/>
  <c r="C39" i="28"/>
  <c r="D38" i="28"/>
  <c r="C38" i="28"/>
  <c r="E30" i="28"/>
  <c r="D30" i="28"/>
  <c r="C30" i="28"/>
  <c r="E27" i="28"/>
  <c r="D27" i="28"/>
  <c r="C27" i="28"/>
  <c r="E26" i="28"/>
  <c r="D26" i="28"/>
  <c r="C26" i="28"/>
  <c r="E24" i="28"/>
  <c r="D24" i="28"/>
  <c r="C24" i="28"/>
  <c r="E22" i="28"/>
  <c r="D22" i="28"/>
  <c r="C22" i="28"/>
  <c r="E32" i="28" l="1"/>
  <c r="C46" i="28"/>
  <c r="D46" i="28"/>
  <c r="D32" i="28"/>
  <c r="C32" i="28"/>
  <c r="G23" i="17"/>
  <c r="G22" i="27"/>
  <c r="G12" i="17"/>
  <c r="G11" i="27"/>
  <c r="G24" i="27"/>
  <c r="G25" i="17"/>
  <c r="G9" i="27"/>
  <c r="G10" i="17"/>
  <c r="G8" i="27"/>
  <c r="G9" i="17"/>
  <c r="G22" i="17"/>
  <c r="G21" i="27"/>
  <c r="G24" i="17"/>
  <c r="G23" i="27"/>
  <c r="G10" i="27"/>
  <c r="G11" i="17"/>
  <c r="D14" i="26" l="1"/>
  <c r="D59" i="22" s="1"/>
  <c r="D61" i="22" s="1"/>
  <c r="E27" i="26"/>
  <c r="G60" i="22" s="1"/>
  <c r="C23" i="27"/>
  <c r="E23" i="27" s="1"/>
  <c r="I23" i="27"/>
  <c r="H24" i="17"/>
  <c r="I24" i="17"/>
  <c r="C24" i="17"/>
  <c r="H9" i="17"/>
  <c r="I9" i="17"/>
  <c r="C9" i="17"/>
  <c r="G14" i="17"/>
  <c r="H25" i="17"/>
  <c r="C25" i="17"/>
  <c r="I25" i="17"/>
  <c r="B14" i="26"/>
  <c r="B59" i="22" s="1"/>
  <c r="I21" i="27"/>
  <c r="C21" i="27"/>
  <c r="G26" i="27"/>
  <c r="I26" i="27" s="1"/>
  <c r="I8" i="27"/>
  <c r="G13" i="27"/>
  <c r="I13" i="27" s="1"/>
  <c r="C8" i="27"/>
  <c r="C27" i="26"/>
  <c r="C60" i="22" s="1"/>
  <c r="G14" i="26"/>
  <c r="G59" i="22" s="1"/>
  <c r="B27" i="26"/>
  <c r="B60" i="22" s="1"/>
  <c r="H14" i="26"/>
  <c r="H59" i="22" s="1"/>
  <c r="H61" i="22" s="1"/>
  <c r="I9" i="27"/>
  <c r="C9" i="27"/>
  <c r="E9" i="27" s="1"/>
  <c r="H23" i="17"/>
  <c r="C23" i="17"/>
  <c r="I23" i="17"/>
  <c r="D27" i="26"/>
  <c r="F60" i="22" s="1"/>
  <c r="E14" i="26"/>
  <c r="E59" i="22" s="1"/>
  <c r="E61" i="22" s="1"/>
  <c r="I24" i="27"/>
  <c r="C24" i="27"/>
  <c r="E24" i="27" s="1"/>
  <c r="I11" i="27"/>
  <c r="C11" i="27"/>
  <c r="E11" i="27" s="1"/>
  <c r="H11" i="17"/>
  <c r="I11" i="17"/>
  <c r="C11" i="17"/>
  <c r="I59" i="22"/>
  <c r="I61" i="22" s="1"/>
  <c r="C22" i="27"/>
  <c r="E22" i="27" s="1"/>
  <c r="I22" i="27"/>
  <c r="C14" i="26"/>
  <c r="C59" i="22" s="1"/>
  <c r="G27" i="17"/>
  <c r="C22" i="17"/>
  <c r="I22" i="17"/>
  <c r="H22" i="17"/>
  <c r="C10" i="27"/>
  <c r="E10" i="27" s="1"/>
  <c r="I10" i="27"/>
  <c r="H12" i="17"/>
  <c r="C12" i="17"/>
  <c r="I12" i="17"/>
  <c r="F14" i="26"/>
  <c r="F59" i="22" s="1"/>
  <c r="H10" i="17"/>
  <c r="C10" i="17"/>
  <c r="I10" i="17"/>
  <c r="G61" i="22" l="1"/>
  <c r="D24" i="17"/>
  <c r="E24" i="17"/>
  <c r="D9" i="17"/>
  <c r="E9" i="17"/>
  <c r="H27" i="17"/>
  <c r="I27" i="17"/>
  <c r="D25" i="17"/>
  <c r="E25" i="17"/>
  <c r="C61" i="22"/>
  <c r="D23" i="17"/>
  <c r="E23" i="17"/>
  <c r="C26" i="27"/>
  <c r="E26" i="27" s="1"/>
  <c r="E21" i="27"/>
  <c r="I14" i="17"/>
  <c r="H14" i="17"/>
  <c r="F61" i="22"/>
  <c r="E8" i="27"/>
  <c r="C13" i="27"/>
  <c r="E13" i="27" s="1"/>
  <c r="D12" i="17"/>
  <c r="E12" i="17"/>
  <c r="B61" i="22"/>
  <c r="D22" i="17"/>
  <c r="C27" i="17"/>
  <c r="E22" i="17"/>
  <c r="E10" i="17"/>
  <c r="D10" i="17"/>
  <c r="C14" i="17"/>
  <c r="E14" i="17" s="1"/>
  <c r="E11" i="17"/>
  <c r="D11" i="17"/>
  <c r="E27" i="17" l="1"/>
  <c r="D27" i="17"/>
  <c r="H53" i="28" l="1"/>
  <c r="G53" i="28"/>
  <c r="D53" i="28"/>
  <c r="C53" i="28"/>
  <c r="J52" i="28"/>
  <c r="J54" i="28" s="1"/>
  <c r="I52" i="28"/>
  <c r="I54" i="28" s="1"/>
  <c r="H52" i="28"/>
  <c r="G52" i="28"/>
  <c r="F52" i="28"/>
  <c r="F54" i="28" s="1"/>
  <c r="C52" i="28"/>
  <c r="D52" i="28"/>
  <c r="E52" i="28"/>
  <c r="E54" i="28" s="1"/>
  <c r="H54" i="28" l="1"/>
  <c r="G54" i="28"/>
  <c r="D54" i="28"/>
  <c r="C54" i="28"/>
</calcChain>
</file>

<file path=xl/sharedStrings.xml><?xml version="1.0" encoding="utf-8"?>
<sst xmlns="http://schemas.openxmlformats.org/spreadsheetml/2006/main" count="668" uniqueCount="198">
  <si>
    <t>Installed</t>
  </si>
  <si>
    <t>MMBtu</t>
  </si>
  <si>
    <t>TOTAL</t>
  </si>
  <si>
    <t>B</t>
  </si>
  <si>
    <t>BL</t>
  </si>
  <si>
    <t>TL</t>
  </si>
  <si>
    <t>SJG</t>
  </si>
  <si>
    <t>ACE</t>
  </si>
  <si>
    <t>Actual Expenditures</t>
  </si>
  <si>
    <t>kW</t>
  </si>
  <si>
    <t>MWh</t>
  </si>
  <si>
    <t>ETG</t>
  </si>
  <si>
    <t>NJNG</t>
  </si>
  <si>
    <t>RECo</t>
  </si>
  <si>
    <t>JCP&amp;L</t>
  </si>
  <si>
    <t>PSE&amp;G</t>
  </si>
  <si>
    <t>Energy Savings vs. Annual Goals</t>
  </si>
  <si>
    <t>Annual Electric Savings &amp; Generation</t>
  </si>
  <si>
    <t>JCPL</t>
  </si>
  <si>
    <t>RECO</t>
  </si>
  <si>
    <t>PSEG</t>
  </si>
  <si>
    <t>Utility</t>
  </si>
  <si>
    <t>Average Retail Sales</t>
  </si>
  <si>
    <t>Utility Programs</t>
  </si>
  <si>
    <t>Electric</t>
  </si>
  <si>
    <t>Natural Gas</t>
  </si>
  <si>
    <t>Retail Sales (MWH)</t>
  </si>
  <si>
    <t>Retail Sales (therms)</t>
  </si>
  <si>
    <t>Statewide Goal (MWh)</t>
  </si>
  <si>
    <t>Statewide Goal (therms)</t>
  </si>
  <si>
    <t>Utility Program Goal %</t>
  </si>
  <si>
    <t>Utility Goal MWh</t>
  </si>
  <si>
    <t>Utility Goal Therms</t>
  </si>
  <si>
    <t>BPU Run Program Goal %</t>
  </si>
  <si>
    <t>BPU Program Goal MWh</t>
  </si>
  <si>
    <t>PY2 Statewide Goal %</t>
  </si>
  <si>
    <t>BPU Program Goal Therms</t>
  </si>
  <si>
    <t>Savings Goals PY2</t>
  </si>
  <si>
    <t>Performance vs Goal</t>
  </si>
  <si>
    <t>Total Goal</t>
  </si>
  <si>
    <t>Total Savings</t>
  </si>
  <si>
    <t>Savings as % of Goal</t>
  </si>
  <si>
    <t>Utility Program Goal</t>
  </si>
  <si>
    <t>Utility Program Savings</t>
  </si>
  <si>
    <t>Utility Savigs as % of Goal</t>
  </si>
  <si>
    <t>BPU Program Goal</t>
  </si>
  <si>
    <t>BPU Program Savings</t>
  </si>
  <si>
    <t>BPU Savings as % of Goal</t>
  </si>
  <si>
    <t>%</t>
  </si>
  <si>
    <t>Statewide Goal</t>
  </si>
  <si>
    <t>BPU Run Program Goal</t>
  </si>
  <si>
    <t>Electric Utility</t>
  </si>
  <si>
    <t>Natural Gas Utility</t>
  </si>
  <si>
    <t>Goal</t>
  </si>
  <si>
    <t>Statewide</t>
  </si>
  <si>
    <t>HVAC</t>
  </si>
  <si>
    <t>Existing Homes</t>
  </si>
  <si>
    <t>Multi-family</t>
  </si>
  <si>
    <t>Energy Solutions for Business</t>
  </si>
  <si>
    <t>Energy Management</t>
  </si>
  <si>
    <t>Engineered Solutions</t>
  </si>
  <si>
    <t>Quick Home Energy Check-Up</t>
  </si>
  <si>
    <t>Moderate Income Weatherization</t>
  </si>
  <si>
    <t>Behavioral</t>
  </si>
  <si>
    <t>Direct Install</t>
  </si>
  <si>
    <t>Electric Savings Goals</t>
  </si>
  <si>
    <t>Gas Savings Goals</t>
  </si>
  <si>
    <t>New Jersey's Clean Energy Program</t>
  </si>
  <si>
    <t>* Denotes a core EE program. Home Performance with Energy Star only includes non-LMI; the comparable program for LMI participants is Comfort Partners, which is jointly administered by the State and Utilities.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</si>
  <si>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Annual Forecasted Program Costs reflect values anticipated in Board-approved Utility EE/PDR proposals and may incorporate budget adjustments as provided for in the June 10, 2020 Board Order.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</si>
  <si>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Subprograms provide relevant forecasts as included in the Company's approved EE/PDR Plans.  Program delivery elements are generally listed as categories for informational purposes only.</t>
    </r>
  </si>
  <si>
    <t>Total Other</t>
  </si>
  <si>
    <t>Home Optimization &amp; Peak Demand Reduction</t>
  </si>
  <si>
    <t>Other Programs</t>
  </si>
  <si>
    <t>Prescriptive/Custom*</t>
  </si>
  <si>
    <t>HPwES</t>
  </si>
  <si>
    <t>Multi-Family*</t>
  </si>
  <si>
    <t>Total Business</t>
  </si>
  <si>
    <t>Direct Install*</t>
  </si>
  <si>
    <t>C&amp;I Direct Install</t>
  </si>
  <si>
    <t>Sub-Program</t>
  </si>
  <si>
    <t>Business Programs</t>
  </si>
  <si>
    <t>Total Residential</t>
  </si>
  <si>
    <t>Home Energy Education &amp; Management</t>
  </si>
  <si>
    <t>Home Performance with Energy Star*</t>
  </si>
  <si>
    <t>Subtotal Efficient Products</t>
  </si>
  <si>
    <t>Others</t>
  </si>
  <si>
    <t>Food Banks</t>
  </si>
  <si>
    <t>Efficient Products*</t>
  </si>
  <si>
    <r>
      <t>Sub Program or Category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</si>
  <si>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Residential Programs</t>
  </si>
  <si>
    <t>Reported Retail Energy Savings YTD (MWh)</t>
  </si>
  <si>
    <t>Reported Program Costs YTD ($000)</t>
  </si>
  <si>
    <t>Reported Participation Number YTD</t>
  </si>
  <si>
    <t>Participation</t>
  </si>
  <si>
    <t>Ex Ante Energy Savings</t>
  </si>
  <si>
    <t>Energy Efficiency and PDR Savings Summary</t>
  </si>
  <si>
    <r>
      <t>NO</t>
    </r>
    <r>
      <rPr>
        <b/>
        <vertAlign val="subscript"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
(metric tons)</t>
    </r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</si>
  <si>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</si>
  <si>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GAS</t>
  </si>
  <si>
    <t>Lifetime Emissions Reductions</t>
  </si>
  <si>
    <t>Annual Emissions Reductions</t>
  </si>
  <si>
    <t>Hg
(grams)</t>
  </si>
  <si>
    <r>
      <t>SO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</si>
  <si>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ELECTRIC</t>
  </si>
  <si>
    <t>Total - Electric &amp; Gas</t>
  </si>
  <si>
    <t>Gas Programs</t>
  </si>
  <si>
    <t>Electric Programs</t>
  </si>
  <si>
    <t>TOTAL EMISSIONS REDUCTIONS                                      (ELECTRIC &amp; GAS)</t>
  </si>
  <si>
    <t>Lifetime Savings</t>
  </si>
  <si>
    <t>Annual Savings</t>
  </si>
  <si>
    <t>GAS &amp; OTHER FUEL SAVINGS</t>
  </si>
  <si>
    <t>Demand Savings</t>
  </si>
  <si>
    <t>ELECTRIC SAVINGS</t>
  </si>
  <si>
    <t>EXPENSES</t>
  </si>
  <si>
    <t>New Jersey Statewide EE Savings vs Goals</t>
  </si>
  <si>
    <t>BPU Programs in each Utility Service Territory</t>
  </si>
  <si>
    <t>Ex Ante Energy Savings                 as % of Goal</t>
  </si>
  <si>
    <t>Annual Natural Gas Savings</t>
  </si>
  <si>
    <t>Atlantic City Electric (ACE)</t>
  </si>
  <si>
    <t>Elizabethtown Gas (ETG)</t>
  </si>
  <si>
    <t>Jersey Central Power &amp; Light (JCP&amp;L)</t>
  </si>
  <si>
    <t>Rockland Electric (RECO)</t>
  </si>
  <si>
    <t>South Jersey Gas (SJG)</t>
  </si>
  <si>
    <t>Residential</t>
  </si>
  <si>
    <t>Commercial</t>
  </si>
  <si>
    <t xml:space="preserve">                                                                                                                                                                 </t>
  </si>
  <si>
    <t>NUMBER OF PARTICIPANTS</t>
  </si>
  <si>
    <t>Total # Participants</t>
  </si>
  <si>
    <t>Utility Name:</t>
  </si>
  <si>
    <t>PY22 Q1</t>
  </si>
  <si>
    <t>Reporting Period:</t>
  </si>
  <si>
    <t>PORTFOLIO TOTAL</t>
  </si>
  <si>
    <t>Total Multi Family</t>
  </si>
  <si>
    <t>Peak Demand Savings YTD (MW)</t>
  </si>
  <si>
    <t>Lifetime Retail Savings (MWh)</t>
  </si>
  <si>
    <t>New Jersey Natural Gas (NJNG)</t>
  </si>
  <si>
    <t>Total</t>
  </si>
  <si>
    <t xml:space="preserve">Pilot Program </t>
  </si>
  <si>
    <t>Annual Installed Savings (MMBtu)</t>
  </si>
  <si>
    <t>Lifetime Installed Savings (MMBtu)</t>
  </si>
  <si>
    <t>Peak Demand Installed Savings (kW)</t>
  </si>
  <si>
    <t>Annual Electric Installed Savings (MWh)</t>
  </si>
  <si>
    <t>Lifetime Electric Installed Savings (MWh)</t>
  </si>
  <si>
    <t>Retail Sales</t>
  </si>
  <si>
    <t>Energy Savings as % of Retail Sales</t>
  </si>
  <si>
    <t>Number of Participants</t>
  </si>
  <si>
    <t>Gas &amp; Other Fuel Savings</t>
  </si>
  <si>
    <t>Electric Savings</t>
  </si>
  <si>
    <t>Emissions Reductions</t>
  </si>
  <si>
    <t>TOTAL - Electric</t>
  </si>
  <si>
    <t>TOTAL - Gas</t>
  </si>
  <si>
    <t>Expenses as % of Budget</t>
  </si>
  <si>
    <t>Public Service Electric &amp; Gas Company (PSE&amp;G)</t>
  </si>
  <si>
    <t>Budgets, Expenses &amp; Incentives</t>
  </si>
  <si>
    <t>NJCEP</t>
  </si>
  <si>
    <t>Utilities Total</t>
  </si>
  <si>
    <t>Comfort Partners</t>
  </si>
  <si>
    <t>NJCEP (excl. CP)</t>
  </si>
  <si>
    <t>Annual Electric Savings &amp; Generation as % of Retail Sales</t>
  </si>
  <si>
    <t>Target</t>
  </si>
  <si>
    <t>Actual</t>
  </si>
  <si>
    <t>Annual Natural Gas Savings as % of Retail Sales</t>
  </si>
  <si>
    <t>Budget ($000)</t>
  </si>
  <si>
    <t>Expenses ($000)</t>
  </si>
  <si>
    <t>Incentives ($000)</t>
  </si>
  <si>
    <t>Supportive Costs Outside Portfolio</t>
  </si>
  <si>
    <r>
      <t xml:space="preserve">NJCEP </t>
    </r>
    <r>
      <rPr>
        <sz val="11"/>
        <rFont val="Calibri"/>
        <family val="2"/>
      </rPr>
      <t>(Current Year Only)</t>
    </r>
    <r>
      <rPr>
        <vertAlign val="superscript"/>
        <sz val="11"/>
        <color rgb="FF000000"/>
        <rFont val="Calibri"/>
        <family val="2"/>
      </rPr>
      <t>1</t>
    </r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</si>
  <si>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</si>
  <si>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
(metric tons)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</si>
  <si>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</si>
  <si>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rPr>
        <i/>
        <vertAlign val="superscript"/>
        <sz val="11"/>
        <color rgb="FF000000"/>
        <rFont val="Calibri"/>
        <family val="2"/>
      </rPr>
      <t>1</t>
    </r>
    <r>
      <rPr>
        <i/>
        <sz val="11"/>
        <color rgb="FF000000"/>
        <rFont val="Calibri"/>
        <family val="2"/>
      </rPr>
      <t>Excluding Comfort Partners - which is included in the Utilities totals.</t>
    </r>
  </si>
  <si>
    <t>D-R-A-F-T</t>
  </si>
  <si>
    <t>Territory-Level Counts</t>
  </si>
  <si>
    <t>Program Participation</t>
  </si>
  <si>
    <t>Program Spend</t>
  </si>
  <si>
    <t>Program Savings</t>
  </si>
  <si>
    <t>OBC</t>
  </si>
  <si>
    <t>Non-OBC</t>
  </si>
  <si>
    <t>%OBC</t>
  </si>
  <si>
    <t>Households</t>
  </si>
  <si>
    <t>Businesses</t>
  </si>
  <si>
    <t>C&amp;I Programs</t>
  </si>
  <si>
    <t>SJI</t>
  </si>
  <si>
    <t>STATEWIDE TOTALS - LEGACY PROGRAMS</t>
  </si>
  <si>
    <t>STATEWIDE TOTALS - CURRENT YEAR PROGRAMS</t>
  </si>
  <si>
    <t>STATEWIDE TOTALS - CURRENT YEAR PROGRAMS AND LEGACY PROGRAMS</t>
  </si>
  <si>
    <t>NJCEP (incl. EE, DER)</t>
  </si>
  <si>
    <t>Total Budget   ($000)</t>
  </si>
  <si>
    <t>Total Expenses    ($000)</t>
  </si>
  <si>
    <t>Total Budget           ($000)</t>
  </si>
  <si>
    <t>Total Expenses             ($000)</t>
  </si>
  <si>
    <t>Incentives              ($000)</t>
  </si>
  <si>
    <t>Total Budget    ($000)</t>
  </si>
  <si>
    <t>Total Expenses  ($000)</t>
  </si>
  <si>
    <t>Reporting Period: 07/01/2023 to 06/30/2024</t>
  </si>
  <si>
    <r>
      <t xml:space="preserve">Incentives                         </t>
    </r>
    <r>
      <rPr>
        <i/>
        <sz val="11"/>
        <color rgb="FF000000"/>
        <rFont val="Calibri"/>
        <family val="2"/>
      </rPr>
      <t>(Current Year Only)</t>
    </r>
  </si>
  <si>
    <t>Note: the total expenses in the above table, includes incentives.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</si>
</sst>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"/>
    <numFmt numFmtId="167" formatCode="&quot;$&quot;#,##0.00"/>
    <numFmt numFmtId="168" formatCode="#,##0.000"/>
    <numFmt numFmtId="169" formatCode="0.000"/>
    <numFmt numFmtId="170" formatCode="&quot;$&quot;#,##0"/>
    <numFmt numFmtId="171" formatCode="\$#,##0"/>
  </numFmts>
  <fonts count="4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name val="Calibri"/>
      <family val="2"/>
    </font>
    <font>
      <b/>
      <sz val="18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i/>
      <sz val="14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vertAlign val="subscript"/>
      <sz val="11"/>
      <name val="Calibri"/>
      <family val="2"/>
    </font>
    <font>
      <b/>
      <sz val="11"/>
      <color rgb="FFFF0000"/>
      <name val="Calibri"/>
      <family val="2"/>
    </font>
    <font>
      <i/>
      <vertAlign val="superscript"/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</font>
    <font>
      <sz val="11"/>
      <name val="Calibri"/>
    </font>
    <font>
      <b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fgColor theme="1" tint="0.2499465926084170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mediumGray">
        <fgColor rgb="FF404040"/>
        <bgColor rgb="FFFFFFFF"/>
      </patternFill>
    </fill>
    <fill>
      <patternFill patternType="solid">
        <fgColor rgb="FF404040"/>
        <bgColor rgb="FF000000"/>
      </patternFill>
    </fill>
    <fill>
      <patternFill patternType="solid">
        <fgColor rgb="FF3A3838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>
      <alignment vertical="top"/>
    </xf>
    <xf numFmtId="0" fontId="13" fillId="0" borderId="0"/>
    <xf numFmtId="0" fontId="27" fillId="0" borderId="0" applyNumberFormat="0" applyFill="0" applyBorder="0" applyAlignment="0" applyProtection="0"/>
  </cellStyleXfs>
  <cellXfs count="332">
    <xf numFmtId="0" fontId="0" fillId="0" borderId="0" xfId="0"/>
    <xf numFmtId="0" fontId="3" fillId="0" borderId="0" xfId="0" applyFont="1"/>
    <xf numFmtId="3" fontId="0" fillId="0" borderId="0" xfId="0" applyNumberFormat="1"/>
    <xf numFmtId="10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10" fontId="0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164" fontId="0" fillId="0" borderId="0" xfId="2" applyNumberFormat="1" applyFont="1"/>
    <xf numFmtId="43" fontId="0" fillId="0" borderId="0" xfId="2" applyFont="1"/>
    <xf numFmtId="0" fontId="6" fillId="0" borderId="0" xfId="0" applyFont="1"/>
    <xf numFmtId="164" fontId="7" fillId="0" borderId="0" xfId="2" applyNumberFormat="1" applyFont="1" applyFill="1" applyBorder="1" applyAlignment="1"/>
    <xf numFmtId="164" fontId="0" fillId="0" borderId="0" xfId="2" applyNumberFormat="1" applyFont="1" applyFill="1" applyBorder="1"/>
    <xf numFmtId="165" fontId="0" fillId="0" borderId="0" xfId="3" applyNumberFormat="1" applyFont="1" applyFill="1" applyBorder="1"/>
    <xf numFmtId="9" fontId="0" fillId="0" borderId="0" xfId="1" applyFont="1" applyFill="1" applyBorder="1"/>
    <xf numFmtId="0" fontId="5" fillId="0" borderId="0" xfId="4"/>
    <xf numFmtId="0" fontId="9" fillId="0" borderId="0" xfId="5" applyFont="1"/>
    <xf numFmtId="3" fontId="14" fillId="4" borderId="5" xfId="5" applyNumberFormat="1" applyFont="1" applyFill="1" applyBorder="1"/>
    <xf numFmtId="3" fontId="15" fillId="0" borderId="13" xfId="5" applyNumberFormat="1" applyFont="1" applyBorder="1"/>
    <xf numFmtId="3" fontId="15" fillId="0" borderId="9" xfId="5" applyNumberFormat="1" applyFont="1" applyBorder="1"/>
    <xf numFmtId="0" fontId="5" fillId="0" borderId="14" xfId="4" applyBorder="1"/>
    <xf numFmtId="0" fontId="5" fillId="0" borderId="9" xfId="4" applyBorder="1"/>
    <xf numFmtId="0" fontId="5" fillId="0" borderId="8" xfId="4" applyBorder="1"/>
    <xf numFmtId="0" fontId="14" fillId="0" borderId="0" xfId="5" applyFont="1" applyAlignment="1">
      <alignment wrapText="1"/>
    </xf>
    <xf numFmtId="0" fontId="17" fillId="0" borderId="0" xfId="5" applyFont="1" applyAlignment="1">
      <alignment wrapText="1"/>
    </xf>
    <xf numFmtId="0" fontId="5" fillId="0" borderId="11" xfId="4" applyBorder="1"/>
    <xf numFmtId="166" fontId="11" fillId="0" borderId="0" xfId="5" applyNumberFormat="1" applyFont="1"/>
    <xf numFmtId="3" fontId="11" fillId="0" borderId="0" xfId="5" applyNumberFormat="1" applyFont="1"/>
    <xf numFmtId="0" fontId="11" fillId="0" borderId="0" xfId="6" applyFont="1">
      <alignment vertical="top"/>
    </xf>
    <xf numFmtId="3" fontId="11" fillId="4" borderId="14" xfId="5" applyNumberFormat="1" applyFont="1" applyFill="1" applyBorder="1"/>
    <xf numFmtId="3" fontId="11" fillId="4" borderId="1" xfId="5" applyNumberFormat="1" applyFont="1" applyFill="1" applyBorder="1"/>
    <xf numFmtId="3" fontId="11" fillId="4" borderId="5" xfId="5" applyNumberFormat="1" applyFont="1" applyFill="1" applyBorder="1"/>
    <xf numFmtId="0" fontId="11" fillId="4" borderId="3" xfId="6" applyFont="1" applyFill="1" applyBorder="1">
      <alignment vertical="top"/>
    </xf>
    <xf numFmtId="3" fontId="0" fillId="5" borderId="14" xfId="0" applyNumberFormat="1" applyFill="1" applyBorder="1"/>
    <xf numFmtId="3" fontId="9" fillId="0" borderId="9" xfId="5" applyNumberFormat="1" applyFont="1" applyBorder="1"/>
    <xf numFmtId="3" fontId="9" fillId="0" borderId="10" xfId="5" applyNumberFormat="1" applyFont="1" applyBorder="1"/>
    <xf numFmtId="0" fontId="9" fillId="0" borderId="14" xfId="7" applyFont="1" applyBorder="1"/>
    <xf numFmtId="3" fontId="9" fillId="0" borderId="7" xfId="5" applyNumberFormat="1" applyFont="1" applyBorder="1"/>
    <xf numFmtId="0" fontId="9" fillId="0" borderId="13" xfId="7" applyFont="1" applyBorder="1"/>
    <xf numFmtId="167" fontId="5" fillId="0" borderId="0" xfId="4" applyNumberFormat="1"/>
    <xf numFmtId="0" fontId="7" fillId="4" borderId="1" xfId="0" applyFont="1" applyFill="1" applyBorder="1"/>
    <xf numFmtId="3" fontId="9" fillId="0" borderId="1" xfId="6" applyNumberFormat="1" applyFont="1" applyBorder="1" applyAlignment="1">
      <alignment horizontal="right" vertical="center" wrapText="1"/>
    </xf>
    <xf numFmtId="0" fontId="5" fillId="0" borderId="1" xfId="4" applyBorder="1"/>
    <xf numFmtId="0" fontId="11" fillId="4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center" vertical="center" wrapText="1"/>
    </xf>
    <xf numFmtId="3" fontId="7" fillId="4" borderId="1" xfId="0" applyNumberFormat="1" applyFont="1" applyFill="1" applyBorder="1"/>
    <xf numFmtId="3" fontId="0" fillId="0" borderId="1" xfId="0" applyNumberFormat="1" applyBorder="1"/>
    <xf numFmtId="167" fontId="7" fillId="4" borderId="1" xfId="4" applyNumberFormat="1" applyFont="1" applyFill="1" applyBorder="1"/>
    <xf numFmtId="0" fontId="7" fillId="4" borderId="1" xfId="4" applyFont="1" applyFill="1" applyBorder="1"/>
    <xf numFmtId="167" fontId="5" fillId="0" borderId="1" xfId="4" applyNumberFormat="1" applyBorder="1"/>
    <xf numFmtId="0" fontId="7" fillId="6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/>
    </xf>
    <xf numFmtId="0" fontId="7" fillId="0" borderId="0" xfId="4" applyFont="1"/>
    <xf numFmtId="0" fontId="5" fillId="0" borderId="7" xfId="4" applyBorder="1"/>
    <xf numFmtId="167" fontId="7" fillId="0" borderId="0" xfId="4" applyNumberFormat="1" applyFont="1"/>
    <xf numFmtId="3" fontId="0" fillId="0" borderId="1" xfId="0" applyNumberFormat="1" applyBorder="1" applyAlignment="1">
      <alignment horizontal="center"/>
    </xf>
    <xf numFmtId="3" fontId="5" fillId="0" borderId="0" xfId="4" applyNumberFormat="1" applyAlignment="1">
      <alignment horizontal="center"/>
    </xf>
    <xf numFmtId="3" fontId="0" fillId="0" borderId="0" xfId="0" applyNumberFormat="1" applyAlignment="1">
      <alignment horizontal="center"/>
    </xf>
    <xf numFmtId="3" fontId="7" fillId="4" borderId="1" xfId="4" applyNumberFormat="1" applyFont="1" applyFill="1" applyBorder="1" applyAlignment="1">
      <alignment horizontal="center"/>
    </xf>
    <xf numFmtId="0" fontId="18" fillId="0" borderId="0" xfId="4" applyFont="1"/>
    <xf numFmtId="0" fontId="7" fillId="0" borderId="10" xfId="0" applyFont="1" applyBorder="1" applyAlignment="1">
      <alignment vertical="center" wrapText="1"/>
    </xf>
    <xf numFmtId="0" fontId="5" fillId="0" borderId="4" xfId="4" applyBorder="1"/>
    <xf numFmtId="3" fontId="5" fillId="0" borderId="4" xfId="4" applyNumberFormat="1" applyBorder="1" applyAlignment="1">
      <alignment horizontal="center"/>
    </xf>
    <xf numFmtId="3" fontId="15" fillId="0" borderId="1" xfId="5" applyNumberFormat="1" applyFont="1" applyBorder="1"/>
    <xf numFmtId="0" fontId="9" fillId="0" borderId="0" xfId="6" applyFont="1" applyAlignment="1">
      <alignment horizontal="center"/>
    </xf>
    <xf numFmtId="0" fontId="11" fillId="0" borderId="0" xfId="5" applyFont="1" applyAlignment="1">
      <alignment horizontal="center"/>
    </xf>
    <xf numFmtId="3" fontId="14" fillId="4" borderId="1" xfId="5" applyNumberFormat="1" applyFont="1" applyFill="1" applyBorder="1"/>
    <xf numFmtId="0" fontId="9" fillId="0" borderId="0" xfId="0" applyFont="1"/>
    <xf numFmtId="165" fontId="6" fillId="0" borderId="0" xfId="3" applyNumberFormat="1" applyFont="1" applyFill="1"/>
    <xf numFmtId="164" fontId="6" fillId="0" borderId="0" xfId="2" applyNumberFormat="1" applyFont="1" applyFill="1"/>
    <xf numFmtId="164" fontId="0" fillId="0" borderId="0" xfId="2" applyNumberFormat="1" applyFont="1" applyFill="1"/>
    <xf numFmtId="43" fontId="0" fillId="0" borderId="0" xfId="2" applyFont="1" applyFill="1"/>
    <xf numFmtId="165" fontId="0" fillId="0" borderId="0" xfId="3" applyNumberFormat="1" applyFont="1" applyFill="1"/>
    <xf numFmtId="164" fontId="0" fillId="0" borderId="0" xfId="2" applyNumberFormat="1" applyFont="1" applyBorder="1"/>
    <xf numFmtId="43" fontId="0" fillId="0" borderId="0" xfId="2" applyFon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37" fontId="9" fillId="0" borderId="1" xfId="2" applyNumberFormat="1" applyFont="1" applyFill="1" applyBorder="1" applyAlignment="1">
      <alignment horizontal="right"/>
    </xf>
    <xf numFmtId="164" fontId="9" fillId="0" borderId="1" xfId="2" applyNumberFormat="1" applyFont="1" applyFill="1" applyBorder="1"/>
    <xf numFmtId="43" fontId="9" fillId="0" borderId="1" xfId="2" applyFont="1" applyFill="1" applyBorder="1"/>
    <xf numFmtId="0" fontId="0" fillId="0" borderId="1" xfId="0" applyBorder="1"/>
    <xf numFmtId="0" fontId="9" fillId="0" borderId="1" xfId="0" applyFont="1" applyBorder="1"/>
    <xf numFmtId="0" fontId="11" fillId="0" borderId="0" xfId="0" applyFont="1"/>
    <xf numFmtId="0" fontId="7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7" fillId="6" borderId="1" xfId="0" applyFont="1" applyFill="1" applyBorder="1"/>
    <xf numFmtId="164" fontId="11" fillId="6" borderId="1" xfId="2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/>
    <xf numFmtId="167" fontId="9" fillId="0" borderId="1" xfId="0" applyNumberFormat="1" applyFont="1" applyBorder="1" applyAlignment="1">
      <alignment vertical="center"/>
    </xf>
    <xf numFmtId="167" fontId="7" fillId="3" borderId="1" xfId="0" applyNumberFormat="1" applyFont="1" applyFill="1" applyBorder="1"/>
    <xf numFmtId="167" fontId="7" fillId="8" borderId="1" xfId="0" applyNumberFormat="1" applyFont="1" applyFill="1" applyBorder="1"/>
    <xf numFmtId="0" fontId="8" fillId="7" borderId="1" xfId="0" applyFont="1" applyFill="1" applyBorder="1" applyAlignment="1">
      <alignment vertical="center"/>
    </xf>
    <xf numFmtId="167" fontId="8" fillId="7" borderId="1" xfId="0" applyNumberFormat="1" applyFont="1" applyFill="1" applyBorder="1" applyAlignment="1">
      <alignment vertical="center"/>
    </xf>
    <xf numFmtId="0" fontId="0" fillId="7" borderId="16" xfId="0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0" fillId="0" borderId="13" xfId="0" applyBorder="1"/>
    <xf numFmtId="164" fontId="7" fillId="6" borderId="1" xfId="2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10" xfId="0" applyNumberFormat="1" applyBorder="1"/>
    <xf numFmtId="0" fontId="0" fillId="0" borderId="10" xfId="0" applyBorder="1"/>
    <xf numFmtId="0" fontId="22" fillId="0" borderId="0" xfId="0" applyFont="1"/>
    <xf numFmtId="167" fontId="22" fillId="0" borderId="0" xfId="4" applyNumberFormat="1" applyFont="1"/>
    <xf numFmtId="0" fontId="22" fillId="0" borderId="0" xfId="4" applyFont="1"/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7" fillId="6" borderId="14" xfId="4" applyFont="1" applyFill="1" applyBorder="1" applyAlignment="1">
      <alignment horizontal="center" vertical="center"/>
    </xf>
    <xf numFmtId="4" fontId="5" fillId="0" borderId="0" xfId="4" applyNumberFormat="1" applyAlignment="1">
      <alignment horizontal="right"/>
    </xf>
    <xf numFmtId="4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7" fillId="0" borderId="1" xfId="4" applyFont="1" applyBorder="1"/>
    <xf numFmtId="0" fontId="7" fillId="0" borderId="0" xfId="4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0" fillId="2" borderId="0" xfId="0" applyFill="1"/>
    <xf numFmtId="0" fontId="7" fillId="2" borderId="0" xfId="0" applyFont="1" applyFill="1"/>
    <xf numFmtId="3" fontId="5" fillId="0" borderId="0" xfId="4" applyNumberFormat="1"/>
    <xf numFmtId="168" fontId="11" fillId="4" borderId="14" xfId="5" applyNumberFormat="1" applyFont="1" applyFill="1" applyBorder="1"/>
    <xf numFmtId="169" fontId="14" fillId="4" borderId="5" xfId="5" applyNumberFormat="1" applyFont="1" applyFill="1" applyBorder="1"/>
    <xf numFmtId="168" fontId="14" fillId="4" borderId="5" xfId="5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0" fontId="11" fillId="0" borderId="0" xfId="6" applyFont="1" applyAlignment="1">
      <alignment horizontal="right" vertical="top"/>
    </xf>
    <xf numFmtId="0" fontId="24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0" fillId="0" borderId="1" xfId="0" applyNumberFormat="1" applyBorder="1"/>
    <xf numFmtId="0" fontId="11" fillId="0" borderId="0" xfId="6" applyFont="1" applyAlignment="1">
      <alignment horizontal="center" vertical="center" wrapText="1"/>
    </xf>
    <xf numFmtId="3" fontId="7" fillId="0" borderId="0" xfId="0" applyNumberFormat="1" applyFont="1"/>
    <xf numFmtId="10" fontId="0" fillId="0" borderId="2" xfId="1" applyNumberFormat="1" applyFont="1" applyFill="1" applyBorder="1"/>
    <xf numFmtId="10" fontId="0" fillId="0" borderId="10" xfId="1" applyNumberFormat="1" applyFont="1" applyFill="1" applyBorder="1"/>
    <xf numFmtId="10" fontId="0" fillId="0" borderId="0" xfId="1" applyNumberFormat="1" applyFont="1" applyFill="1"/>
    <xf numFmtId="3" fontId="0" fillId="2" borderId="7" xfId="0" applyNumberFormat="1" applyFill="1" applyBorder="1"/>
    <xf numFmtId="3" fontId="0" fillId="2" borderId="13" xfId="0" applyNumberFormat="1" applyFill="1" applyBorder="1"/>
    <xf numFmtId="3" fontId="0" fillId="2" borderId="0" xfId="0" applyNumberFormat="1" applyFill="1"/>
    <xf numFmtId="10" fontId="0" fillId="2" borderId="2" xfId="1" applyNumberFormat="1" applyFont="1" applyFill="1" applyBorder="1"/>
    <xf numFmtId="10" fontId="0" fillId="2" borderId="10" xfId="1" applyNumberFormat="1" applyFont="1" applyFill="1" applyBorder="1"/>
    <xf numFmtId="10" fontId="0" fillId="2" borderId="0" xfId="1" applyNumberFormat="1" applyFont="1" applyFill="1"/>
    <xf numFmtId="3" fontId="7" fillId="4" borderId="1" xfId="4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170" fontId="7" fillId="4" borderId="1" xfId="4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170" fontId="7" fillId="6" borderId="1" xfId="0" applyNumberFormat="1" applyFont="1" applyFill="1" applyBorder="1" applyAlignment="1">
      <alignment horizontal="right"/>
    </xf>
    <xf numFmtId="3" fontId="5" fillId="0" borderId="1" xfId="4" applyNumberFormat="1" applyBorder="1" applyAlignment="1">
      <alignment horizontal="right"/>
    </xf>
    <xf numFmtId="3" fontId="5" fillId="0" borderId="13" xfId="4" applyNumberFormat="1" applyBorder="1" applyAlignment="1">
      <alignment horizontal="center"/>
    </xf>
    <xf numFmtId="9" fontId="7" fillId="4" borderId="1" xfId="0" applyNumberFormat="1" applyFont="1" applyFill="1" applyBorder="1"/>
    <xf numFmtId="3" fontId="28" fillId="0" borderId="0" xfId="0" applyNumberFormat="1" applyFont="1"/>
    <xf numFmtId="0" fontId="32" fillId="0" borderId="0" xfId="4" applyFont="1"/>
    <xf numFmtId="0" fontId="29" fillId="0" borderId="0" xfId="4" applyFont="1"/>
    <xf numFmtId="0" fontId="33" fillId="0" borderId="0" xfId="4" applyFont="1"/>
    <xf numFmtId="0" fontId="31" fillId="0" borderId="0" xfId="4" applyFont="1"/>
    <xf numFmtId="0" fontId="34" fillId="0" borderId="0" xfId="4" applyFont="1"/>
    <xf numFmtId="0" fontId="34" fillId="9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29" fillId="0" borderId="1" xfId="4" applyFont="1" applyBorder="1"/>
    <xf numFmtId="0" fontId="29" fillId="0" borderId="7" xfId="4" applyFont="1" applyBorder="1"/>
    <xf numFmtId="167" fontId="29" fillId="0" borderId="0" xfId="4" applyNumberFormat="1" applyFont="1"/>
    <xf numFmtId="0" fontId="36" fillId="0" borderId="1" xfId="4" applyFont="1" applyBorder="1"/>
    <xf numFmtId="0" fontId="34" fillId="11" borderId="1" xfId="4" applyFont="1" applyFill="1" applyBorder="1"/>
    <xf numFmtId="167" fontId="34" fillId="11" borderId="1" xfId="4" applyNumberFormat="1" applyFont="1" applyFill="1" applyBorder="1"/>
    <xf numFmtId="167" fontId="34" fillId="0" borderId="0" xfId="4" applyNumberFormat="1" applyFont="1"/>
    <xf numFmtId="0" fontId="34" fillId="0" borderId="10" xfId="0" applyFont="1" applyBorder="1" applyAlignment="1">
      <alignment vertical="center" wrapText="1"/>
    </xf>
    <xf numFmtId="0" fontId="38" fillId="10" borderId="1" xfId="6" applyFont="1" applyFill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6" fillId="0" borderId="0" xfId="0" applyFont="1"/>
    <xf numFmtId="0" fontId="38" fillId="11" borderId="1" xfId="6" applyFont="1" applyFill="1" applyBorder="1" applyAlignment="1">
      <alignment horizontal="center" vertical="center" wrapText="1"/>
    </xf>
    <xf numFmtId="3" fontId="28" fillId="0" borderId="1" xfId="6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/>
    <xf numFmtId="3" fontId="29" fillId="0" borderId="0" xfId="4" applyNumberFormat="1" applyFont="1" applyAlignment="1">
      <alignment horizontal="center"/>
    </xf>
    <xf numFmtId="3" fontId="36" fillId="0" borderId="0" xfId="0" applyNumberFormat="1" applyFont="1"/>
    <xf numFmtId="3" fontId="29" fillId="0" borderId="0" xfId="4" applyNumberFormat="1" applyFont="1"/>
    <xf numFmtId="3" fontId="36" fillId="0" borderId="0" xfId="0" applyNumberFormat="1" applyFont="1" applyAlignment="1">
      <alignment horizontal="center"/>
    </xf>
    <xf numFmtId="0" fontId="34" fillId="11" borderId="1" xfId="0" applyFont="1" applyFill="1" applyBorder="1"/>
    <xf numFmtId="3" fontId="34" fillId="11" borderId="1" xfId="0" applyNumberFormat="1" applyFont="1" applyFill="1" applyBorder="1"/>
    <xf numFmtId="3" fontId="34" fillId="0" borderId="0" xfId="0" applyNumberFormat="1" applyFont="1"/>
    <xf numFmtId="167" fontId="39" fillId="0" borderId="0" xfId="4" applyNumberFormat="1" applyFont="1"/>
    <xf numFmtId="0" fontId="28" fillId="0" borderId="0" xfId="5" applyFont="1"/>
    <xf numFmtId="0" fontId="28" fillId="0" borderId="13" xfId="7" applyFont="1" applyBorder="1"/>
    <xf numFmtId="3" fontId="28" fillId="0" borderId="10" xfId="5" applyNumberFormat="1" applyFont="1" applyBorder="1"/>
    <xf numFmtId="0" fontId="28" fillId="0" borderId="14" xfId="7" applyFont="1" applyBorder="1"/>
    <xf numFmtId="3" fontId="36" fillId="12" borderId="14" xfId="0" applyNumberFormat="1" applyFont="1" applyFill="1" applyBorder="1"/>
    <xf numFmtId="0" fontId="38" fillId="11" borderId="3" xfId="6" applyFont="1" applyFill="1" applyBorder="1">
      <alignment vertical="top"/>
    </xf>
    <xf numFmtId="3" fontId="38" fillId="11" borderId="5" xfId="5" applyNumberFormat="1" applyFont="1" applyFill="1" applyBorder="1"/>
    <xf numFmtId="3" fontId="38" fillId="11" borderId="1" xfId="5" applyNumberFormat="1" applyFont="1" applyFill="1" applyBorder="1"/>
    <xf numFmtId="3" fontId="38" fillId="11" borderId="14" xfId="5" applyNumberFormat="1" applyFont="1" applyFill="1" applyBorder="1"/>
    <xf numFmtId="168" fontId="38" fillId="11" borderId="14" xfId="5" applyNumberFormat="1" applyFont="1" applyFill="1" applyBorder="1"/>
    <xf numFmtId="0" fontId="41" fillId="0" borderId="0" xfId="4" applyFont="1"/>
    <xf numFmtId="0" fontId="35" fillId="0" borderId="0" xfId="4" applyFont="1"/>
    <xf numFmtId="167" fontId="29" fillId="13" borderId="1" xfId="4" applyNumberFormat="1" applyFont="1" applyFill="1" applyBorder="1"/>
    <xf numFmtId="0" fontId="43" fillId="0" borderId="0" xfId="8" applyFont="1" applyFill="1" applyBorder="1" applyProtection="1"/>
    <xf numFmtId="3" fontId="28" fillId="13" borderId="1" xfId="6" applyNumberFormat="1" applyFont="1" applyFill="1" applyBorder="1" applyAlignment="1">
      <alignment horizontal="right" vertical="center" wrapText="1"/>
    </xf>
    <xf numFmtId="3" fontId="36" fillId="13" borderId="1" xfId="0" applyNumberFormat="1" applyFont="1" applyFill="1" applyBorder="1"/>
    <xf numFmtId="3" fontId="34" fillId="11" borderId="1" xfId="0" applyNumberFormat="1" applyFont="1" applyFill="1" applyBorder="1" applyAlignment="1">
      <alignment horizontal="right"/>
    </xf>
    <xf numFmtId="3" fontId="28" fillId="14" borderId="11" xfId="5" applyNumberFormat="1" applyFont="1" applyFill="1" applyBorder="1"/>
    <xf numFmtId="3" fontId="36" fillId="14" borderId="14" xfId="0" applyNumberFormat="1" applyFont="1" applyFill="1" applyBorder="1"/>
    <xf numFmtId="0" fontId="38" fillId="0" borderId="0" xfId="6" applyFont="1">
      <alignment vertical="top"/>
    </xf>
    <xf numFmtId="3" fontId="38" fillId="0" borderId="0" xfId="5" applyNumberFormat="1" applyFont="1"/>
    <xf numFmtId="166" fontId="38" fillId="0" borderId="0" xfId="5" applyNumberFormat="1" applyFont="1"/>
    <xf numFmtId="0" fontId="44" fillId="0" borderId="0" xfId="4" applyFont="1"/>
    <xf numFmtId="0" fontId="39" fillId="0" borderId="0" xfId="4" applyFont="1"/>
    <xf numFmtId="168" fontId="38" fillId="11" borderId="5" xfId="5" applyNumberFormat="1" applyFont="1" applyFill="1" applyBorder="1"/>
    <xf numFmtId="0" fontId="26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27" xfId="0" applyBorder="1"/>
    <xf numFmtId="0" fontId="0" fillId="0" borderId="28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0" fillId="0" borderId="29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0" fillId="0" borderId="0" xfId="4" applyFont="1"/>
    <xf numFmtId="0" fontId="7" fillId="6" borderId="14" xfId="4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/>
    </xf>
    <xf numFmtId="0" fontId="11" fillId="6" borderId="1" xfId="4" applyFont="1" applyFill="1" applyBorder="1" applyAlignment="1">
      <alignment horizontal="center" vertical="center" wrapText="1"/>
    </xf>
    <xf numFmtId="0" fontId="0" fillId="0" borderId="1" xfId="4" applyFont="1" applyBorder="1"/>
    <xf numFmtId="171" fontId="45" fillId="0" borderId="31" xfId="0" applyNumberFormat="1" applyFont="1" applyBorder="1"/>
    <xf numFmtId="3" fontId="46" fillId="0" borderId="31" xfId="0" applyNumberFormat="1" applyFont="1" applyBorder="1"/>
    <xf numFmtId="3" fontId="0" fillId="0" borderId="30" xfId="0" applyNumberFormat="1" applyBorder="1"/>
    <xf numFmtId="0" fontId="47" fillId="0" borderId="0" xfId="0" applyFont="1" applyAlignment="1">
      <alignment vertical="center"/>
    </xf>
    <xf numFmtId="0" fontId="29" fillId="0" borderId="32" xfId="4" applyFont="1" applyBorder="1"/>
    <xf numFmtId="0" fontId="34" fillId="9" borderId="31" xfId="0" applyFont="1" applyFill="1" applyBorder="1" applyAlignment="1">
      <alignment horizontal="center" vertical="center"/>
    </xf>
    <xf numFmtId="0" fontId="34" fillId="10" borderId="31" xfId="4" applyFont="1" applyFill="1" applyBorder="1" applyAlignment="1">
      <alignment horizontal="center" vertical="center" wrapText="1"/>
    </xf>
    <xf numFmtId="0" fontId="29" fillId="0" borderId="31" xfId="4" applyFont="1" applyBorder="1"/>
    <xf numFmtId="167" fontId="29" fillId="0" borderId="31" xfId="4" applyNumberFormat="1" applyFont="1" applyBorder="1"/>
    <xf numFmtId="0" fontId="36" fillId="0" borderId="31" xfId="4" applyFont="1" applyBorder="1"/>
    <xf numFmtId="0" fontId="34" fillId="11" borderId="31" xfId="4" applyFont="1" applyFill="1" applyBorder="1"/>
    <xf numFmtId="167" fontId="34" fillId="11" borderId="31" xfId="4" applyNumberFormat="1" applyFont="1" applyFill="1" applyBorder="1"/>
    <xf numFmtId="0" fontId="38" fillId="10" borderId="1" xfId="5" applyFont="1" applyFill="1" applyBorder="1" applyAlignment="1">
      <alignment horizontal="center" vertical="center" wrapText="1"/>
    </xf>
    <xf numFmtId="0" fontId="38" fillId="10" borderId="1" xfId="5" applyFont="1" applyFill="1" applyBorder="1" applyAlignment="1">
      <alignment horizontal="center" vertical="center"/>
    </xf>
    <xf numFmtId="0" fontId="38" fillId="10" borderId="5" xfId="5" applyFont="1" applyFill="1" applyBorder="1" applyAlignment="1">
      <alignment horizontal="center" vertical="center" wrapText="1"/>
    </xf>
    <xf numFmtId="0" fontId="38" fillId="10" borderId="5" xfId="5" applyFont="1" applyFill="1" applyBorder="1" applyAlignment="1">
      <alignment horizontal="center" vertical="center"/>
    </xf>
    <xf numFmtId="0" fontId="38" fillId="9" borderId="1" xfId="5" applyFont="1" applyFill="1" applyBorder="1" applyAlignment="1">
      <alignment horizontal="center" vertical="center" wrapText="1"/>
    </xf>
    <xf numFmtId="0" fontId="38" fillId="11" borderId="3" xfId="5" applyFont="1" applyFill="1" applyBorder="1" applyAlignment="1">
      <alignment horizontal="center" vertical="center" wrapText="1"/>
    </xf>
    <xf numFmtId="0" fontId="38" fillId="11" borderId="4" xfId="5" applyFont="1" applyFill="1" applyBorder="1" applyAlignment="1">
      <alignment horizontal="center" vertical="center" wrapText="1"/>
    </xf>
    <xf numFmtId="0" fontId="38" fillId="11" borderId="5" xfId="5" applyFont="1" applyFill="1" applyBorder="1" applyAlignment="1">
      <alignment horizontal="center" vertical="center" wrapText="1"/>
    </xf>
    <xf numFmtId="0" fontId="34" fillId="9" borderId="7" xfId="0" applyFont="1" applyFill="1" applyBorder="1" applyAlignment="1">
      <alignment horizontal="center" vertical="center" wrapText="1"/>
    </xf>
    <xf numFmtId="0" fontId="34" fillId="9" borderId="14" xfId="0" applyFont="1" applyFill="1" applyBorder="1" applyAlignment="1">
      <alignment horizontal="center" vertical="center" wrapText="1"/>
    </xf>
    <xf numFmtId="0" fontId="38" fillId="10" borderId="3" xfId="6" applyFont="1" applyFill="1" applyBorder="1" applyAlignment="1">
      <alignment horizontal="center" vertical="center" wrapText="1"/>
    </xf>
    <xf numFmtId="0" fontId="38" fillId="10" borderId="4" xfId="6" applyFont="1" applyFill="1" applyBorder="1" applyAlignment="1">
      <alignment horizontal="center" vertical="center" wrapText="1"/>
    </xf>
    <xf numFmtId="0" fontId="38" fillId="10" borderId="5" xfId="6" applyFont="1" applyFill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0" fillId="0" borderId="0" xfId="4" applyFont="1"/>
    <xf numFmtId="0" fontId="38" fillId="10" borderId="1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/>
    </xf>
    <xf numFmtId="0" fontId="25" fillId="0" borderId="0" xfId="4" applyFont="1"/>
    <xf numFmtId="0" fontId="11" fillId="3" borderId="1" xfId="5" applyFont="1" applyFill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6" borderId="3" xfId="6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center" vertical="center" wrapText="1"/>
    </xf>
    <xf numFmtId="0" fontId="11" fillId="6" borderId="5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5" xfId="5" applyFont="1" applyFill="1" applyBorder="1" applyAlignment="1">
      <alignment horizontal="center" vertical="center" wrapText="1"/>
    </xf>
    <xf numFmtId="0" fontId="11" fillId="6" borderId="5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center" vertical="center" wrapText="1"/>
    </xf>
    <xf numFmtId="0" fontId="38" fillId="11" borderId="1" xfId="5" applyFont="1" applyFill="1" applyBorder="1" applyAlignment="1">
      <alignment horizontal="center" vertical="center" wrapText="1"/>
    </xf>
    <xf numFmtId="0" fontId="38" fillId="11" borderId="1" xfId="5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/>
    </xf>
    <xf numFmtId="0" fontId="11" fillId="6" borderId="7" xfId="5" applyFont="1" applyFill="1" applyBorder="1" applyAlignment="1">
      <alignment horizontal="center" vertical="center" wrapText="1"/>
    </xf>
    <xf numFmtId="0" fontId="11" fillId="6" borderId="13" xfId="5" applyFont="1" applyFill="1" applyBorder="1" applyAlignment="1">
      <alignment horizontal="center" vertical="center" wrapText="1"/>
    </xf>
    <xf numFmtId="0" fontId="11" fillId="6" borderId="14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center" readingOrder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8" borderId="3" xfId="0" applyFont="1" applyFill="1" applyBorder="1" applyAlignment="1">
      <alignment horizontal="right"/>
    </xf>
    <xf numFmtId="0" fontId="7" fillId="8" borderId="5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/>
    </xf>
  </cellXfs>
  <cellStyles count="9">
    <cellStyle name="Comma" xfId="2" builtinId="3"/>
    <cellStyle name="Currency" xfId="3" builtinId="4"/>
    <cellStyle name="Hyperlink" xfId="8" builtinId="8"/>
    <cellStyle name="Normal" xfId="0" builtinId="0"/>
    <cellStyle name="Normal 4 2" xfId="4" xr:uid="{00000000-0005-0000-0000-000003000000}"/>
    <cellStyle name="Normal 5" xfId="6" xr:uid="{00000000-0005-0000-0000-000004000000}"/>
    <cellStyle name="Normal_RepBud2001" xfId="7" xr:uid="{00000000-0005-0000-0000-000005000000}"/>
    <cellStyle name="Normal_ReportFormSavings2001" xfId="5" xr:uid="{00000000-0005-0000-0000-000006000000}"/>
    <cellStyle name="Percent" xfId="1" builtinId="5"/>
  </cellStyles>
  <dxfs count="186"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5A5C62"/>
      <color rgb="FF156082"/>
      <color rgb="FF006B80"/>
      <color rgb="FFF2F2F2"/>
      <color rgb="FF5E9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Zito\AppData\Local\Microsoft\Windows\INetCache\Content.Outlook\8MFBZSP1\Statewide_Report_FY-24Q4_20241017091620.xlsx" TargetMode="External"/><Relationship Id="rId1" Type="http://schemas.openxmlformats.org/officeDocument/2006/relationships/externalLinkPath" Target="file:///C:\Users\MZito\AppData\Local\Microsoft\Windows\INetCache\Content.Outlook\8MFBZSP1\Statewide_Report_FY-24Q4_20241017091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tatewide Totals"/>
      <sheetName val="Current Year Programs"/>
      <sheetName val="Legacy Programs"/>
      <sheetName val="Budgets, Expenses &amp; Incentives"/>
      <sheetName val="Participants"/>
      <sheetName val="Electric Savings"/>
      <sheetName val="Gas Savings"/>
      <sheetName val="Emissions Reductions"/>
      <sheetName val="Goals"/>
      <sheetName val="Performance vs Goals"/>
      <sheetName val="Energy Savings % Retail Sales"/>
      <sheetName val="Equity"/>
      <sheetName val="Qtr Electric Master"/>
    </sheetNames>
    <sheetDataSet>
      <sheetData sheetId="0"/>
      <sheetData sheetId="1"/>
      <sheetData sheetId="2">
        <row r="5">
          <cell r="B5">
            <v>41351.520000000004</v>
          </cell>
          <cell r="C5">
            <v>31185.01</v>
          </cell>
          <cell r="D5">
            <v>17086.96</v>
          </cell>
        </row>
        <row r="6">
          <cell r="B6">
            <v>39648.639999999999</v>
          </cell>
          <cell r="C6">
            <v>24503.040000000001</v>
          </cell>
          <cell r="D6">
            <v>18255.939999999999</v>
          </cell>
        </row>
        <row r="7">
          <cell r="B7">
            <v>94894.35</v>
          </cell>
          <cell r="C7">
            <v>86415.839999999982</v>
          </cell>
          <cell r="D7">
            <v>62474.92</v>
          </cell>
        </row>
        <row r="8">
          <cell r="B8">
            <v>94463.6</v>
          </cell>
          <cell r="C8">
            <v>66149</v>
          </cell>
          <cell r="D8">
            <v>41934.19</v>
          </cell>
        </row>
        <row r="9">
          <cell r="B9">
            <v>526531.99</v>
          </cell>
          <cell r="C9">
            <v>543415.22</v>
          </cell>
          <cell r="D9">
            <v>396103.97000000003</v>
          </cell>
        </row>
        <row r="10">
          <cell r="B10">
            <v>7532.42</v>
          </cell>
          <cell r="C10">
            <v>5274.1699999999992</v>
          </cell>
          <cell r="D10">
            <v>2340.02</v>
          </cell>
        </row>
        <row r="11">
          <cell r="B11">
            <v>52684.409999999996</v>
          </cell>
          <cell r="C11">
            <v>33314.089999999997</v>
          </cell>
          <cell r="D11">
            <v>25502.51</v>
          </cell>
        </row>
        <row r="13">
          <cell r="B13">
            <v>236587.41282</v>
          </cell>
          <cell r="C13">
            <v>39147.312483499998</v>
          </cell>
          <cell r="D13">
            <v>32132.2893635</v>
          </cell>
        </row>
      </sheetData>
      <sheetData sheetId="3">
        <row r="5">
          <cell r="B5">
            <v>1154.19</v>
          </cell>
          <cell r="C5">
            <v>1154.19</v>
          </cell>
        </row>
        <row r="6">
          <cell r="B6">
            <v>0</v>
          </cell>
          <cell r="C6">
            <v>0</v>
          </cell>
        </row>
        <row r="8">
          <cell r="B8">
            <v>135055.66</v>
          </cell>
          <cell r="C8">
            <v>16976.8</v>
          </cell>
        </row>
        <row r="9">
          <cell r="B9">
            <v>18231.68</v>
          </cell>
          <cell r="C9">
            <v>18128.080000000002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workbookViewId="0">
      <selection activeCell="C6" sqref="C6"/>
    </sheetView>
  </sheetViews>
  <sheetFormatPr defaultRowHeight="15" x14ac:dyDescent="0.25"/>
  <cols>
    <col min="1" max="1" width="11.5703125" customWidth="1"/>
    <col min="2" max="2" width="11.42578125" customWidth="1"/>
    <col min="3" max="3" width="12.42578125" customWidth="1"/>
    <col min="4" max="4" width="12" customWidth="1"/>
    <col min="5" max="5" width="12.42578125" customWidth="1"/>
    <col min="6" max="6" width="11.42578125" customWidth="1"/>
    <col min="7" max="8" width="10.5703125" customWidth="1"/>
    <col min="9" max="9" width="11.5703125" customWidth="1"/>
    <col min="10" max="10" width="12.42578125" customWidth="1"/>
  </cols>
  <sheetData>
    <row r="1" spans="1:8" x14ac:dyDescent="0.25">
      <c r="A1" s="8" t="s">
        <v>37</v>
      </c>
    </row>
    <row r="2" spans="1:8" ht="45" x14ac:dyDescent="0.25">
      <c r="B2" s="10" t="s">
        <v>26</v>
      </c>
      <c r="C2" s="10" t="s">
        <v>35</v>
      </c>
      <c r="D2" s="10" t="s">
        <v>28</v>
      </c>
      <c r="E2" s="10" t="s">
        <v>30</v>
      </c>
      <c r="F2" s="10" t="s">
        <v>31</v>
      </c>
      <c r="G2" s="10" t="s">
        <v>33</v>
      </c>
      <c r="H2" s="10" t="s">
        <v>34</v>
      </c>
    </row>
    <row r="3" spans="1:8" x14ac:dyDescent="0.25">
      <c r="A3" s="8" t="s">
        <v>24</v>
      </c>
    </row>
    <row r="4" spans="1:8" x14ac:dyDescent="0.25">
      <c r="A4" t="s">
        <v>15</v>
      </c>
      <c r="B4" s="2">
        <v>21560000</v>
      </c>
      <c r="C4" s="3">
        <v>1.0999999999999999E-2</v>
      </c>
      <c r="D4" s="2">
        <f>B4*C4</f>
        <v>237160</v>
      </c>
      <c r="E4" s="3">
        <v>7.4000000000000003E-3</v>
      </c>
      <c r="F4" s="2">
        <f>E4*B4</f>
        <v>159544</v>
      </c>
      <c r="G4" s="3">
        <v>3.5999999999999999E-3</v>
      </c>
      <c r="H4" s="2">
        <f>G4*B4</f>
        <v>77616</v>
      </c>
    </row>
    <row r="5" spans="1:8" x14ac:dyDescent="0.25">
      <c r="A5" t="s">
        <v>14</v>
      </c>
      <c r="B5" s="2">
        <v>10526000</v>
      </c>
      <c r="C5" s="3">
        <v>1.0999999999999999E-2</v>
      </c>
      <c r="D5" s="2">
        <f t="shared" ref="D5:D7" si="0">B5*C5</f>
        <v>115786</v>
      </c>
      <c r="E5" s="3">
        <v>7.4000000000000003E-3</v>
      </c>
      <c r="F5" s="2">
        <f>E5*B5</f>
        <v>77892.400000000009</v>
      </c>
      <c r="G5" s="3">
        <v>3.5999999999999999E-3</v>
      </c>
      <c r="H5" s="2">
        <f>G5*B5</f>
        <v>37893.599999999999</v>
      </c>
    </row>
    <row r="6" spans="1:8" x14ac:dyDescent="0.25">
      <c r="A6" t="s">
        <v>7</v>
      </c>
      <c r="B6" s="2">
        <v>4889000</v>
      </c>
      <c r="C6" s="3">
        <v>1.0999999999999999E-2</v>
      </c>
      <c r="D6" s="2">
        <f t="shared" si="0"/>
        <v>53779</v>
      </c>
      <c r="E6" s="3">
        <v>7.4000000000000003E-3</v>
      </c>
      <c r="F6" s="2">
        <f>E6*B6</f>
        <v>36178.6</v>
      </c>
      <c r="G6" s="3">
        <v>3.5999999999999999E-3</v>
      </c>
      <c r="H6" s="2">
        <f>G6*B6</f>
        <v>17600.399999999998</v>
      </c>
    </row>
    <row r="7" spans="1:8" x14ac:dyDescent="0.25">
      <c r="A7" t="s">
        <v>13</v>
      </c>
      <c r="B7" s="2">
        <v>972000</v>
      </c>
      <c r="C7" s="3">
        <v>1.0999999999999999E-2</v>
      </c>
      <c r="D7" s="2">
        <f t="shared" si="0"/>
        <v>10692</v>
      </c>
      <c r="E7" s="3">
        <v>7.4000000000000003E-3</v>
      </c>
      <c r="F7" s="2">
        <f>E7*B7</f>
        <v>7192.8</v>
      </c>
      <c r="G7" s="3">
        <v>3.5999999999999999E-3</v>
      </c>
      <c r="H7" s="2">
        <f>G7*B7</f>
        <v>3499.2</v>
      </c>
    </row>
    <row r="8" spans="1:8" x14ac:dyDescent="0.25">
      <c r="B8" s="2"/>
      <c r="C8" s="3"/>
      <c r="E8" s="3"/>
    </row>
    <row r="9" spans="1:8" ht="60" x14ac:dyDescent="0.25">
      <c r="B9" s="10" t="s">
        <v>27</v>
      </c>
      <c r="C9" s="10" t="s">
        <v>35</v>
      </c>
      <c r="D9" s="10" t="s">
        <v>29</v>
      </c>
      <c r="E9" s="10" t="s">
        <v>30</v>
      </c>
      <c r="F9" s="10" t="s">
        <v>32</v>
      </c>
      <c r="G9" s="10" t="s">
        <v>33</v>
      </c>
      <c r="H9" s="10" t="s">
        <v>36</v>
      </c>
    </row>
    <row r="10" spans="1:8" x14ac:dyDescent="0.25">
      <c r="A10" s="8" t="s">
        <v>25</v>
      </c>
      <c r="C10" s="3"/>
      <c r="E10" s="3"/>
    </row>
    <row r="11" spans="1:8" x14ac:dyDescent="0.25">
      <c r="A11" t="s">
        <v>15</v>
      </c>
      <c r="B11" s="2">
        <v>3797190.5</v>
      </c>
      <c r="C11" s="3">
        <v>5.0000000000000001E-3</v>
      </c>
      <c r="D11" s="2">
        <f t="shared" ref="D11:D14" si="1">B11*C11</f>
        <v>18985.952499999999</v>
      </c>
      <c r="E11" s="3">
        <v>3.3999999999999998E-3</v>
      </c>
      <c r="F11" s="2">
        <f>E11*B11</f>
        <v>12910.447699999999</v>
      </c>
      <c r="G11" s="3">
        <v>1.6000000000000001E-3</v>
      </c>
      <c r="H11" s="2">
        <f>G11*B11</f>
        <v>6075.5048000000006</v>
      </c>
    </row>
    <row r="12" spans="1:8" x14ac:dyDescent="0.25">
      <c r="A12" t="s">
        <v>12</v>
      </c>
      <c r="B12" s="2">
        <v>1366990.02</v>
      </c>
      <c r="C12" s="3">
        <v>5.0000000000000001E-3</v>
      </c>
      <c r="D12" s="2">
        <f t="shared" si="1"/>
        <v>6834.9501</v>
      </c>
      <c r="E12" s="3">
        <v>3.3999999999999998E-3</v>
      </c>
      <c r="F12" s="2">
        <f>E12*B12</f>
        <v>4647.7660679999999</v>
      </c>
      <c r="G12" s="3">
        <v>1.6000000000000001E-3</v>
      </c>
      <c r="H12" s="2">
        <f>G12*B12</f>
        <v>2187.1840320000001</v>
      </c>
    </row>
    <row r="13" spans="1:8" x14ac:dyDescent="0.25">
      <c r="A13" t="s">
        <v>6</v>
      </c>
      <c r="B13" s="2">
        <v>1366990.02</v>
      </c>
      <c r="C13" s="3">
        <v>5.0000000000000001E-3</v>
      </c>
      <c r="D13" s="2">
        <f t="shared" si="1"/>
        <v>6834.9501</v>
      </c>
      <c r="E13" s="3">
        <v>3.3999999999999998E-3</v>
      </c>
      <c r="F13" s="2">
        <f>E13*B13</f>
        <v>4647.7660679999999</v>
      </c>
      <c r="G13" s="3">
        <v>1.6000000000000001E-3</v>
      </c>
      <c r="H13" s="2">
        <f>G13*B13</f>
        <v>2187.1840320000001</v>
      </c>
    </row>
    <row r="14" spans="1:8" x14ac:dyDescent="0.25">
      <c r="A14" t="s">
        <v>11</v>
      </c>
      <c r="B14" s="2">
        <v>1063210.46</v>
      </c>
      <c r="C14" s="3">
        <v>5.0000000000000001E-3</v>
      </c>
      <c r="D14" s="2">
        <f t="shared" si="1"/>
        <v>5316.0523000000003</v>
      </c>
      <c r="E14" s="3">
        <v>3.3999999999999998E-3</v>
      </c>
      <c r="F14" s="2">
        <f>E14*B14</f>
        <v>3614.9155639999994</v>
      </c>
      <c r="G14" s="3">
        <v>1.6000000000000001E-3</v>
      </c>
      <c r="H14" s="2">
        <f>G14*B14</f>
        <v>1701.1367359999999</v>
      </c>
    </row>
    <row r="16" spans="1:8" x14ac:dyDescent="0.25">
      <c r="A16" s="8" t="s">
        <v>38</v>
      </c>
    </row>
    <row r="17" spans="1:10" ht="45" x14ac:dyDescent="0.25">
      <c r="A17" s="9" t="s">
        <v>24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">
        <v>45</v>
      </c>
      <c r="I17" s="10" t="s">
        <v>46</v>
      </c>
      <c r="J17" s="10" t="s">
        <v>47</v>
      </c>
    </row>
    <row r="18" spans="1:10" x14ac:dyDescent="0.25">
      <c r="A18" t="s">
        <v>15</v>
      </c>
      <c r="B18" s="2">
        <f>D4</f>
        <v>237160</v>
      </c>
      <c r="E18" s="2">
        <f>F4</f>
        <v>159544</v>
      </c>
      <c r="H18" s="2">
        <f>H4</f>
        <v>77616</v>
      </c>
    </row>
    <row r="19" spans="1:10" x14ac:dyDescent="0.25">
      <c r="A19" t="s">
        <v>14</v>
      </c>
      <c r="B19" s="2">
        <f>D5</f>
        <v>115786</v>
      </c>
      <c r="E19" s="2">
        <f t="shared" ref="E19:E21" si="2">F5</f>
        <v>77892.400000000009</v>
      </c>
      <c r="H19" s="2">
        <f t="shared" ref="H19:H21" si="3">H5</f>
        <v>37893.599999999999</v>
      </c>
    </row>
    <row r="20" spans="1:10" x14ac:dyDescent="0.25">
      <c r="A20" t="s">
        <v>7</v>
      </c>
      <c r="B20" s="2">
        <f>D6</f>
        <v>53779</v>
      </c>
      <c r="E20" s="2">
        <f t="shared" si="2"/>
        <v>36178.6</v>
      </c>
      <c r="H20" s="2">
        <f t="shared" si="3"/>
        <v>17600.399999999998</v>
      </c>
    </row>
    <row r="21" spans="1:10" x14ac:dyDescent="0.25">
      <c r="A21" t="s">
        <v>13</v>
      </c>
      <c r="B21" s="2">
        <f>D7</f>
        <v>10692</v>
      </c>
      <c r="E21" s="2">
        <f t="shared" si="2"/>
        <v>7192.8</v>
      </c>
      <c r="H21" s="2">
        <f t="shared" si="3"/>
        <v>3499.2</v>
      </c>
    </row>
    <row r="22" spans="1:10" x14ac:dyDescent="0.25">
      <c r="B22" s="2"/>
      <c r="E22" s="2"/>
      <c r="H22" s="2"/>
    </row>
    <row r="24" spans="1:10" s="9" customFormat="1" ht="45" x14ac:dyDescent="0.25">
      <c r="A24" s="9" t="s">
        <v>25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 t="s">
        <v>43</v>
      </c>
      <c r="G24" s="10" t="s">
        <v>44</v>
      </c>
      <c r="H24" s="10" t="s">
        <v>45</v>
      </c>
      <c r="I24" s="10" t="s">
        <v>46</v>
      </c>
      <c r="J24" s="10" t="s">
        <v>47</v>
      </c>
    </row>
    <row r="25" spans="1:10" x14ac:dyDescent="0.25">
      <c r="A25" t="s">
        <v>15</v>
      </c>
      <c r="B25" s="2">
        <f>D11</f>
        <v>18985.952499999999</v>
      </c>
      <c r="E25" s="2">
        <f>F11</f>
        <v>12910.447699999999</v>
      </c>
      <c r="H25" s="2">
        <f>H11</f>
        <v>6075.5048000000006</v>
      </c>
    </row>
    <row r="26" spans="1:10" x14ac:dyDescent="0.25">
      <c r="A26" t="s">
        <v>12</v>
      </c>
      <c r="B26" s="2">
        <f t="shared" ref="B26:B28" si="4">D12</f>
        <v>6834.9501</v>
      </c>
      <c r="E26" s="2">
        <f t="shared" ref="E26:E28" si="5">F12</f>
        <v>4647.7660679999999</v>
      </c>
      <c r="H26" s="2">
        <f t="shared" ref="H26:H28" si="6">H12</f>
        <v>2187.1840320000001</v>
      </c>
    </row>
    <row r="27" spans="1:10" x14ac:dyDescent="0.25">
      <c r="A27" t="s">
        <v>6</v>
      </c>
      <c r="B27" s="2">
        <f t="shared" si="4"/>
        <v>6834.9501</v>
      </c>
      <c r="E27" s="2">
        <f t="shared" si="5"/>
        <v>4647.7660679999999</v>
      </c>
      <c r="H27" s="2">
        <f t="shared" si="6"/>
        <v>2187.1840320000001</v>
      </c>
    </row>
    <row r="28" spans="1:10" x14ac:dyDescent="0.25">
      <c r="A28" t="s">
        <v>11</v>
      </c>
      <c r="B28" s="2">
        <f t="shared" si="4"/>
        <v>5316.0523000000003</v>
      </c>
      <c r="E28" s="2">
        <f t="shared" si="5"/>
        <v>3614.9155639999994</v>
      </c>
      <c r="H28" s="2">
        <f t="shared" si="6"/>
        <v>1701.1367359999999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26"/>
  <sheetViews>
    <sheetView showGridLines="0" zoomScaleNormal="100" workbookViewId="0">
      <selection activeCell="F23" sqref="F23"/>
    </sheetView>
  </sheetViews>
  <sheetFormatPr defaultRowHeight="15" x14ac:dyDescent="0.25"/>
  <cols>
    <col min="1" max="1" width="45.5703125" bestFit="1" customWidth="1"/>
    <col min="2" max="2" width="11.42578125" customWidth="1"/>
    <col min="3" max="3" width="12.42578125" customWidth="1"/>
    <col min="4" max="4" width="12" customWidth="1"/>
    <col min="5" max="5" width="12.42578125" customWidth="1"/>
    <col min="6" max="6" width="11.42578125" customWidth="1"/>
    <col min="7" max="8" width="10.5703125" customWidth="1"/>
    <col min="9" max="9" width="11.5703125" customWidth="1"/>
    <col min="10" max="10" width="12.42578125" customWidth="1"/>
    <col min="11" max="12" width="0" hidden="1" customWidth="1"/>
  </cols>
  <sheetData>
    <row r="1" spans="1:38" ht="23.25" x14ac:dyDescent="0.25">
      <c r="A1" s="298" t="s">
        <v>67</v>
      </c>
      <c r="B1" s="298"/>
      <c r="C1" s="298"/>
      <c r="D1" s="298"/>
      <c r="E1" s="298"/>
      <c r="F1" s="298"/>
      <c r="G1" s="298"/>
      <c r="H1" s="298"/>
      <c r="I1" s="5"/>
      <c r="J1" s="5"/>
      <c r="K1" s="5"/>
      <c r="L1" s="5"/>
      <c r="M1" s="5"/>
      <c r="N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x14ac:dyDescent="0.25">
      <c r="A2" s="299" t="s">
        <v>16</v>
      </c>
      <c r="B2" s="299"/>
      <c r="C2" s="299"/>
      <c r="D2" s="299"/>
      <c r="E2" s="299"/>
      <c r="F2" s="299"/>
      <c r="G2" s="299"/>
      <c r="H2" s="299"/>
      <c r="I2" s="6"/>
      <c r="J2" s="6"/>
      <c r="K2" s="6"/>
      <c r="L2" s="6"/>
      <c r="M2" s="6"/>
      <c r="N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11"/>
      <c r="B3" s="11"/>
      <c r="C3" s="11"/>
      <c r="D3" s="11"/>
      <c r="E3" s="11"/>
      <c r="F3" s="11"/>
      <c r="G3" s="11"/>
      <c r="H3" s="11"/>
      <c r="I3" s="6"/>
      <c r="J3" s="6"/>
      <c r="K3" s="6"/>
      <c r="L3" s="6"/>
      <c r="M3" s="6"/>
      <c r="N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x14ac:dyDescent="0.25">
      <c r="B4" s="300" t="s">
        <v>65</v>
      </c>
      <c r="C4" s="300"/>
      <c r="D4" s="300"/>
      <c r="E4" s="300"/>
      <c r="F4" s="300"/>
      <c r="G4" s="300"/>
      <c r="H4" s="300"/>
    </row>
    <row r="5" spans="1:38" ht="15.6" customHeight="1" x14ac:dyDescent="0.25">
      <c r="A5" s="1"/>
      <c r="B5" s="301" t="s">
        <v>22</v>
      </c>
      <c r="C5" s="303" t="s">
        <v>49</v>
      </c>
      <c r="D5" s="304"/>
      <c r="E5" s="303" t="s">
        <v>42</v>
      </c>
      <c r="F5" s="304"/>
      <c r="G5" s="303" t="s">
        <v>50</v>
      </c>
      <c r="H5" s="304"/>
      <c r="M5" s="19"/>
    </row>
    <row r="6" spans="1:38" ht="15.75" x14ac:dyDescent="0.25">
      <c r="A6" s="1"/>
      <c r="B6" s="302"/>
      <c r="C6" s="305"/>
      <c r="D6" s="306"/>
      <c r="E6" s="305"/>
      <c r="F6" s="306"/>
      <c r="G6" s="305"/>
      <c r="H6" s="306"/>
      <c r="M6" s="19"/>
    </row>
    <row r="7" spans="1:38" ht="15.75" x14ac:dyDescent="0.25">
      <c r="A7" s="1"/>
      <c r="B7" s="302"/>
      <c r="C7" s="307"/>
      <c r="D7" s="308"/>
      <c r="E7" s="307"/>
      <c r="F7" s="308"/>
      <c r="G7" s="307"/>
      <c r="H7" s="308"/>
      <c r="M7" s="19"/>
    </row>
    <row r="8" spans="1:38" x14ac:dyDescent="0.25">
      <c r="A8" s="139" t="s">
        <v>51</v>
      </c>
      <c r="B8" s="118" t="s">
        <v>10</v>
      </c>
      <c r="C8" s="140" t="s">
        <v>48</v>
      </c>
      <c r="D8" s="140" t="s">
        <v>10</v>
      </c>
      <c r="E8" s="140" t="s">
        <v>48</v>
      </c>
      <c r="F8" s="140" t="s">
        <v>10</v>
      </c>
      <c r="G8" s="140" t="s">
        <v>48</v>
      </c>
      <c r="H8" s="140" t="s">
        <v>10</v>
      </c>
      <c r="M8" s="19"/>
    </row>
    <row r="9" spans="1:38" x14ac:dyDescent="0.25">
      <c r="A9" t="s">
        <v>7</v>
      </c>
      <c r="B9" s="147">
        <v>8712503</v>
      </c>
      <c r="C9" s="144">
        <v>1.4500000000000001E-2</v>
      </c>
      <c r="D9" s="110">
        <f>$B9*C9</f>
        <v>126331.2935</v>
      </c>
      <c r="E9" s="150">
        <v>9.7000000000000003E-3</v>
      </c>
      <c r="F9" s="110">
        <f>$B9*E9</f>
        <v>84511.2791</v>
      </c>
      <c r="G9" s="150">
        <v>4.7999999999999996E-3</v>
      </c>
      <c r="H9" s="110">
        <f>$B9*G9</f>
        <v>41820.014399999993</v>
      </c>
      <c r="K9" t="s">
        <v>3</v>
      </c>
      <c r="L9">
        <v>3</v>
      </c>
      <c r="M9" s="19"/>
    </row>
    <row r="10" spans="1:38" x14ac:dyDescent="0.25">
      <c r="A10" t="s">
        <v>14</v>
      </c>
      <c r="B10" s="148">
        <v>19950682</v>
      </c>
      <c r="C10" s="145">
        <v>1.4500000000000001E-2</v>
      </c>
      <c r="D10" s="111">
        <f>$B10*C10</f>
        <v>289284.88900000002</v>
      </c>
      <c r="E10" s="151">
        <v>9.7000000000000003E-3</v>
      </c>
      <c r="F10" s="111">
        <f>$B10*E10</f>
        <v>193521.61540000001</v>
      </c>
      <c r="G10" s="151">
        <v>4.7999999999999996E-3</v>
      </c>
      <c r="H10" s="111">
        <f>$B10*G10</f>
        <v>95763.273599999986</v>
      </c>
      <c r="K10" t="s">
        <v>3</v>
      </c>
      <c r="L10">
        <v>3</v>
      </c>
      <c r="M10" s="19"/>
    </row>
    <row r="11" spans="1:38" x14ac:dyDescent="0.25">
      <c r="A11" t="s">
        <v>15</v>
      </c>
      <c r="B11" s="148">
        <v>40203763</v>
      </c>
      <c r="C11" s="145">
        <v>1.4500000000000001E-2</v>
      </c>
      <c r="D11" s="111">
        <f>$B11*C11</f>
        <v>582954.56350000005</v>
      </c>
      <c r="E11" s="151">
        <v>9.7000000000000003E-3</v>
      </c>
      <c r="F11" s="111">
        <f>$B11*E11</f>
        <v>389976.50109999999</v>
      </c>
      <c r="G11" s="151">
        <v>4.7999999999999996E-3</v>
      </c>
      <c r="H11" s="111">
        <f>$B11*G11</f>
        <v>192978.0624</v>
      </c>
      <c r="K11" t="s">
        <v>4</v>
      </c>
      <c r="M11" s="19"/>
    </row>
    <row r="12" spans="1:38" x14ac:dyDescent="0.25">
      <c r="A12" t="s">
        <v>19</v>
      </c>
      <c r="B12" s="148">
        <v>1496082</v>
      </c>
      <c r="C12" s="145">
        <v>1.4500000000000001E-2</v>
      </c>
      <c r="D12" s="111">
        <f t="shared" ref="D12" si="0">$B12*C12</f>
        <v>21693.189000000002</v>
      </c>
      <c r="E12" s="151">
        <v>9.7000000000000003E-3</v>
      </c>
      <c r="F12" s="111">
        <f t="shared" ref="F12" si="1">$B12*E12</f>
        <v>14511.9954</v>
      </c>
      <c r="G12" s="151">
        <v>4.7999999999999996E-3</v>
      </c>
      <c r="H12" s="111">
        <f t="shared" ref="H12" si="2">$B12*G12</f>
        <v>7181.1935999999996</v>
      </c>
      <c r="K12" t="s">
        <v>5</v>
      </c>
      <c r="M12" s="19"/>
    </row>
    <row r="13" spans="1:38" x14ac:dyDescent="0.25">
      <c r="B13" s="107"/>
      <c r="C13" s="112"/>
      <c r="D13" s="112"/>
      <c r="E13" s="112"/>
      <c r="F13" s="112"/>
      <c r="G13" s="112"/>
      <c r="H13" s="112"/>
    </row>
    <row r="14" spans="1:38" ht="15.6" customHeight="1" x14ac:dyDescent="0.25">
      <c r="A14" t="s">
        <v>2</v>
      </c>
      <c r="B14" s="2">
        <f>SUM(B9:B13)</f>
        <v>70363030</v>
      </c>
      <c r="C14" s="7">
        <f>D14/$B14</f>
        <v>1.4500000000000001E-2</v>
      </c>
      <c r="D14" s="2">
        <f>SUM(D9:D13)</f>
        <v>1020263.9350000001</v>
      </c>
      <c r="E14" s="7">
        <f>F14/$B14</f>
        <v>9.6999999999999986E-3</v>
      </c>
      <c r="F14" s="2">
        <f>SUM(F9:F13)</f>
        <v>682521.39099999995</v>
      </c>
      <c r="G14" s="7">
        <f>H14/$B14</f>
        <v>4.7999999999999996E-3</v>
      </c>
      <c r="H14" s="2">
        <f>SUM(H9:H13)</f>
        <v>337742.54399999999</v>
      </c>
    </row>
    <row r="16" spans="1:38" ht="15.75" x14ac:dyDescent="0.25">
      <c r="A16" s="1"/>
      <c r="B16" s="300" t="s">
        <v>66</v>
      </c>
      <c r="C16" s="300"/>
      <c r="D16" s="300"/>
      <c r="E16" s="300"/>
      <c r="F16" s="300"/>
      <c r="G16" s="300"/>
      <c r="H16" s="300"/>
    </row>
    <row r="17" spans="1:12" ht="15.75" x14ac:dyDescent="0.25">
      <c r="A17" s="1"/>
      <c r="B17" s="301" t="s">
        <v>22</v>
      </c>
      <c r="C17" s="303" t="s">
        <v>49</v>
      </c>
      <c r="D17" s="304"/>
      <c r="E17" s="303" t="s">
        <v>42</v>
      </c>
      <c r="F17" s="304"/>
      <c r="G17" s="303" t="s">
        <v>50</v>
      </c>
      <c r="H17" s="304"/>
    </row>
    <row r="18" spans="1:12" ht="15.75" x14ac:dyDescent="0.25">
      <c r="A18" s="1"/>
      <c r="B18" s="302"/>
      <c r="C18" s="305"/>
      <c r="D18" s="306"/>
      <c r="E18" s="305"/>
      <c r="F18" s="306"/>
      <c r="G18" s="305"/>
      <c r="H18" s="306"/>
      <c r="K18" t="s">
        <v>3</v>
      </c>
      <c r="L18">
        <v>3</v>
      </c>
    </row>
    <row r="19" spans="1:12" ht="15.75" x14ac:dyDescent="0.25">
      <c r="A19" s="1"/>
      <c r="B19" s="302"/>
      <c r="C19" s="307"/>
      <c r="D19" s="308"/>
      <c r="E19" s="307"/>
      <c r="F19" s="308"/>
      <c r="G19" s="307"/>
      <c r="H19" s="308"/>
      <c r="K19" t="s">
        <v>3</v>
      </c>
      <c r="L19">
        <v>3</v>
      </c>
    </row>
    <row r="20" spans="1:12" x14ac:dyDescent="0.25">
      <c r="A20" s="139" t="s">
        <v>52</v>
      </c>
      <c r="B20" s="118" t="s">
        <v>1</v>
      </c>
      <c r="C20" s="140" t="s">
        <v>48</v>
      </c>
      <c r="D20" s="118" t="s">
        <v>1</v>
      </c>
      <c r="E20" s="140" t="s">
        <v>48</v>
      </c>
      <c r="F20" s="118" t="s">
        <v>1</v>
      </c>
      <c r="G20" s="140" t="s">
        <v>48</v>
      </c>
      <c r="H20" s="118" t="s">
        <v>1</v>
      </c>
      <c r="K20" t="s">
        <v>3</v>
      </c>
      <c r="L20">
        <v>3</v>
      </c>
    </row>
    <row r="21" spans="1:12" x14ac:dyDescent="0.25">
      <c r="A21" t="s">
        <v>11</v>
      </c>
      <c r="B21" s="149">
        <v>49317899</v>
      </c>
      <c r="C21" s="146">
        <v>7.4999999999999997E-3</v>
      </c>
      <c r="D21" s="2">
        <f>$B21*C21</f>
        <v>369884.24249999999</v>
      </c>
      <c r="E21" s="152">
        <v>5.1000000000000004E-3</v>
      </c>
      <c r="F21" s="2">
        <f>$B21*E21</f>
        <v>251521.28490000003</v>
      </c>
      <c r="G21" s="152">
        <v>2.3999999999999998E-3</v>
      </c>
      <c r="H21" s="2">
        <f>$B21*G21</f>
        <v>118362.95759999999</v>
      </c>
    </row>
    <row r="22" spans="1:12" x14ac:dyDescent="0.25">
      <c r="A22" t="s">
        <v>12</v>
      </c>
      <c r="B22" s="149">
        <v>67337153</v>
      </c>
      <c r="C22" s="146">
        <v>7.4999999999999997E-3</v>
      </c>
      <c r="D22" s="2">
        <f t="shared" ref="D22:D24" si="3">$B22*C22</f>
        <v>505028.64749999996</v>
      </c>
      <c r="E22" s="152">
        <v>5.1000000000000004E-3</v>
      </c>
      <c r="F22" s="2">
        <f t="shared" ref="F22:F24" si="4">$B22*E22</f>
        <v>343419.4803</v>
      </c>
      <c r="G22" s="152">
        <v>2.3999999999999998E-3</v>
      </c>
      <c r="H22" s="2">
        <f t="shared" ref="H22:H24" si="5">$B22*G22</f>
        <v>161609.1672</v>
      </c>
      <c r="K22" t="s">
        <v>4</v>
      </c>
    </row>
    <row r="23" spans="1:12" x14ac:dyDescent="0.25">
      <c r="A23" t="s">
        <v>15</v>
      </c>
      <c r="B23" s="149">
        <v>334004259</v>
      </c>
      <c r="C23" s="146">
        <v>7.4999999999999997E-3</v>
      </c>
      <c r="D23" s="2">
        <f>$B23*C23</f>
        <v>2505031.9424999999</v>
      </c>
      <c r="E23" s="152">
        <v>5.1000000000000004E-3</v>
      </c>
      <c r="F23" s="2">
        <v>1703421.7209000001</v>
      </c>
      <c r="G23" s="152">
        <v>2.3999999999999998E-3</v>
      </c>
      <c r="H23" s="2">
        <f>$B23*G23</f>
        <v>801610.22159999993</v>
      </c>
      <c r="K23" t="s">
        <v>3</v>
      </c>
      <c r="L23">
        <v>3</v>
      </c>
    </row>
    <row r="24" spans="1:12" x14ac:dyDescent="0.25">
      <c r="A24" t="s">
        <v>6</v>
      </c>
      <c r="B24" s="149">
        <v>50906112</v>
      </c>
      <c r="C24" s="146">
        <v>7.4999999999999997E-3</v>
      </c>
      <c r="D24" s="2">
        <f t="shared" si="3"/>
        <v>381795.83999999997</v>
      </c>
      <c r="E24" s="152">
        <v>5.1000000000000004E-3</v>
      </c>
      <c r="F24" s="2">
        <f t="shared" si="4"/>
        <v>259621.17120000001</v>
      </c>
      <c r="G24" s="152">
        <v>2.3999999999999998E-3</v>
      </c>
      <c r="H24" s="2">
        <f t="shared" si="5"/>
        <v>122174.66879999998</v>
      </c>
      <c r="K24" t="s">
        <v>5</v>
      </c>
    </row>
    <row r="25" spans="1:12" x14ac:dyDescent="0.25">
      <c r="E25" s="129"/>
    </row>
    <row r="26" spans="1:12" x14ac:dyDescent="0.25">
      <c r="A26" t="s">
        <v>2</v>
      </c>
      <c r="B26" s="2">
        <f>SUM(B21:B25)</f>
        <v>501565423</v>
      </c>
      <c r="C26" s="7">
        <f>D26/$B26</f>
        <v>7.4999999999999989E-3</v>
      </c>
      <c r="D26" s="2">
        <f>SUM(D21:D25)</f>
        <v>3761740.6724999994</v>
      </c>
      <c r="E26" s="7">
        <f>F26/$B26</f>
        <v>5.1000000000000012E-3</v>
      </c>
      <c r="F26" s="2">
        <f>SUM(F21:F25)</f>
        <v>2557983.6573000005</v>
      </c>
      <c r="G26" s="7">
        <f>H26/$B26</f>
        <v>2.3999999999999998E-3</v>
      </c>
      <c r="H26" s="2">
        <f>SUM(H21:H25)</f>
        <v>1203757.0151999998</v>
      </c>
    </row>
  </sheetData>
  <mergeCells count="12">
    <mergeCell ref="A1:H1"/>
    <mergeCell ref="A2:H2"/>
    <mergeCell ref="B4:H4"/>
    <mergeCell ref="B16:H16"/>
    <mergeCell ref="B17:B19"/>
    <mergeCell ref="C17:D19"/>
    <mergeCell ref="E17:F19"/>
    <mergeCell ref="G17:H19"/>
    <mergeCell ref="B5:B7"/>
    <mergeCell ref="C5:D7"/>
    <mergeCell ref="E5:F7"/>
    <mergeCell ref="G5:H7"/>
  </mergeCells>
  <conditionalFormatting sqref="A26:B26 D26 F26 H26">
    <cfRule type="expression" dxfId="171" priority="402">
      <formula>IF(AND($K24="C",$L24=3),TRUE,FALSE)</formula>
    </cfRule>
  </conditionalFormatting>
  <conditionalFormatting sqref="A13:F14 A21:H21 A11:H11">
    <cfRule type="expression" dxfId="170" priority="121">
      <formula>IF($K9="TL",TRUE,FALSE)</formula>
    </cfRule>
  </conditionalFormatting>
  <conditionalFormatting sqref="A9:H9">
    <cfRule type="expression" dxfId="169" priority="3883">
      <formula>IF(AND($K10="C",$L10=2),TRUE,FALSE)</formula>
    </cfRule>
    <cfRule type="expression" dxfId="168" priority="3869">
      <formula>IF($K10="SC",TRUE,FALSE)</formula>
    </cfRule>
    <cfRule type="expression" dxfId="167" priority="3868">
      <formula>IF(OR($K10="ST",$K10="TL"),TRUE,FALSE)</formula>
    </cfRule>
    <cfRule type="expression" dxfId="166" priority="3867">
      <formula>IF(AND($K10&lt;&gt;"",$K10&lt;&gt;"ST"),TRUE,FALSE)</formula>
    </cfRule>
    <cfRule type="expression" dxfId="165" priority="3866">
      <formula>IF(AND($K10="C",$L10=3),TRUE,FALSE)</formula>
    </cfRule>
    <cfRule type="expression" dxfId="164" priority="3865">
      <formula>IF($K10="ST",TRUE,FALSE)</formula>
    </cfRule>
    <cfRule type="expression" dxfId="163" priority="3864">
      <formula>IF($K10="TL",TRUE,FALSE)</formula>
    </cfRule>
  </conditionalFormatting>
  <conditionalFormatting sqref="A10:H10">
    <cfRule type="expression" dxfId="162" priority="91">
      <formula>IF($K6="SC",TRUE,FALSE)</formula>
    </cfRule>
    <cfRule type="expression" dxfId="161" priority="85">
      <formula>IF(AND($K6="C",$L6=2),TRUE,FALSE)</formula>
    </cfRule>
    <cfRule type="expression" dxfId="160" priority="86">
      <formula>IF($K6="TL",TRUE,FALSE)</formula>
    </cfRule>
    <cfRule type="expression" dxfId="159" priority="87">
      <formula>IF($K6="ST",TRUE,FALSE)</formula>
    </cfRule>
    <cfRule type="expression" dxfId="158" priority="88">
      <formula>IF(AND($K6="C",$L6=3),TRUE,FALSE)</formula>
    </cfRule>
    <cfRule type="expression" dxfId="157" priority="89">
      <formula>IF(AND($K6&lt;&gt;"",$K6&lt;&gt;"ST"),TRUE,FALSE)</formula>
    </cfRule>
    <cfRule type="expression" dxfId="156" priority="90">
      <formula>IF(OR($K6="ST",$K6="TL"),TRUE,FALSE)</formula>
    </cfRule>
  </conditionalFormatting>
  <conditionalFormatting sqref="A11:H11 A13:F14 A21:H21">
    <cfRule type="expression" dxfId="155" priority="122">
      <formula>IF($K9="ST",TRUE,FALSE)</formula>
    </cfRule>
  </conditionalFormatting>
  <conditionalFormatting sqref="A11:H11 A21:H21 A26:D26 A13:F14">
    <cfRule type="expression" dxfId="154" priority="126">
      <formula>IF($K9="SC",TRUE,FALSE)</formula>
    </cfRule>
  </conditionalFormatting>
  <conditionalFormatting sqref="A11:H11 A21:H21">
    <cfRule type="expression" dxfId="153" priority="125">
      <formula>IF(OR($K9="ST",$K9="TL"),TRUE,FALSE)</formula>
    </cfRule>
    <cfRule type="expression" dxfId="152" priority="124">
      <formula>IF(AND($K9&lt;&gt;"",$K9&lt;&gt;"ST"),TRUE,FALSE)</formula>
    </cfRule>
  </conditionalFormatting>
  <conditionalFormatting sqref="A11:H11 D13:H13 A13:C14 D14:F14 A21:H21 H14">
    <cfRule type="expression" dxfId="151" priority="349">
      <formula>IF(AND($K9="C",$L9=2),TRUE,FALSE)</formula>
    </cfRule>
  </conditionalFormatting>
  <conditionalFormatting sqref="A12:H12">
    <cfRule type="expression" dxfId="150" priority="78">
      <formula>IF(#REF!="TL",TRUE,FALSE)</formula>
    </cfRule>
    <cfRule type="expression" dxfId="149" priority="79">
      <formula>IF(#REF!="ST",TRUE,FALSE)</formula>
    </cfRule>
    <cfRule type="expression" dxfId="148" priority="80">
      <formula>IF(AND(#REF!="C",#REF!=3),TRUE,FALSE)</formula>
    </cfRule>
    <cfRule type="expression" dxfId="147" priority="81">
      <formula>IF(AND(#REF!&lt;&gt;"",#REF!&lt;&gt;"ST"),TRUE,FALSE)</formula>
    </cfRule>
    <cfRule type="expression" dxfId="146" priority="82">
      <formula>IF(OR(#REF!="ST",#REF!="TL"),TRUE,FALSE)</formula>
    </cfRule>
    <cfRule type="expression" dxfId="145" priority="83">
      <formula>IF(#REF!="SC",TRUE,FALSE)</formula>
    </cfRule>
    <cfRule type="expression" dxfId="144" priority="84">
      <formula>IF(AND(#REF!="C",#REF!=2),TRUE,FALSE)</formula>
    </cfRule>
  </conditionalFormatting>
  <conditionalFormatting sqref="A13:H14">
    <cfRule type="expression" dxfId="143" priority="108">
      <formula>IF(AND($K11="C",$L11=3),TRUE,FALSE)</formula>
    </cfRule>
    <cfRule type="expression" dxfId="142" priority="109">
      <formula>IF(AND($K11&lt;&gt;"",$K11&lt;&gt;"ST"),TRUE,FALSE)</formula>
    </cfRule>
    <cfRule type="expression" dxfId="141" priority="110">
      <formula>IF(OR($K11="ST",$K11="TL"),TRUE,FALSE)</formula>
    </cfRule>
  </conditionalFormatting>
  <conditionalFormatting sqref="A21:H21 A11:H11 C26">
    <cfRule type="expression" dxfId="140" priority="123">
      <formula>IF(AND($K9="C",$L9=3),TRUE,FALSE)</formula>
    </cfRule>
  </conditionalFormatting>
  <conditionalFormatting sqref="A21:H21">
    <cfRule type="expression" dxfId="139" priority="72">
      <formula>IF($K23="ST",TRUE,FALSE)</formula>
    </cfRule>
    <cfRule type="expression" dxfId="138" priority="73">
      <formula>IF(AND($K23="C",$L23=3),TRUE,FALSE)</formula>
    </cfRule>
    <cfRule type="expression" dxfId="137" priority="74">
      <formula>IF(AND($K23&lt;&gt;"",$K23&lt;&gt;"ST"),TRUE,FALSE)</formula>
    </cfRule>
    <cfRule type="expression" dxfId="136" priority="75">
      <formula>IF(OR($K23="ST",$K23="TL"),TRUE,FALSE)</formula>
    </cfRule>
    <cfRule type="expression" dxfId="135" priority="76">
      <formula>IF($K23="SC",TRUE,FALSE)</formula>
    </cfRule>
    <cfRule type="expression" dxfId="134" priority="77">
      <formula>IF(AND($K23="C",$L23=2),TRUE,FALSE)</formula>
    </cfRule>
    <cfRule type="expression" dxfId="133" priority="71">
      <formula>IF($K23="TL",TRUE,FALSE)</formula>
    </cfRule>
  </conditionalFormatting>
  <conditionalFormatting sqref="A22:H23">
    <cfRule type="expression" dxfId="132" priority="3893">
      <formula>IF(AND($K19&lt;&gt;"",$K19&lt;&gt;"ST"),TRUE,FALSE)</formula>
    </cfRule>
    <cfRule type="expression" dxfId="131" priority="3892">
      <formula>IF(AND($K19="C",$L19=3),TRUE,FALSE)</formula>
    </cfRule>
    <cfRule type="expression" dxfId="130" priority="3890">
      <formula>IF($K19="TL",TRUE,FALSE)</formula>
    </cfRule>
    <cfRule type="expression" dxfId="129" priority="3895">
      <formula>IF($K19="SC",TRUE,FALSE)</formula>
    </cfRule>
    <cfRule type="expression" dxfId="128" priority="3891">
      <formula>IF($K19="ST",TRUE,FALSE)</formula>
    </cfRule>
    <cfRule type="expression" dxfId="127" priority="3894">
      <formula>IF(OR($K19="ST",$K19="TL"),TRUE,FALSE)</formula>
    </cfRule>
    <cfRule type="expression" dxfId="126" priority="401">
      <formula>IF(AND($K19="C",$L19=2),TRUE,FALSE)</formula>
    </cfRule>
  </conditionalFormatting>
  <conditionalFormatting sqref="A23:H23">
    <cfRule type="expression" dxfId="125" priority="3923">
      <formula>IF(AND($K18="C",$L18=2),TRUE,FALSE)</formula>
    </cfRule>
    <cfRule type="expression" dxfId="124" priority="3921">
      <formula>IF($K18="SC",TRUE,FALSE)</formula>
    </cfRule>
    <cfRule type="expression" dxfId="123" priority="3920">
      <formula>IF(OR($K18="ST",$K18="TL"),TRUE,FALSE)</formula>
    </cfRule>
    <cfRule type="expression" dxfId="122" priority="3919">
      <formula>IF(AND($K18&lt;&gt;"",$K18&lt;&gt;"ST"),TRUE,FALSE)</formula>
    </cfRule>
    <cfRule type="expression" dxfId="121" priority="3918">
      <formula>IF(AND($K18="C",$L18=3),TRUE,FALSE)</formula>
    </cfRule>
    <cfRule type="expression" dxfId="120" priority="3917">
      <formula>IF($K18="ST",TRUE,FALSE)</formula>
    </cfRule>
    <cfRule type="expression" dxfId="119" priority="3916">
      <formula>IF($K18="TL",TRUE,FALSE)</formula>
    </cfRule>
  </conditionalFormatting>
  <conditionalFormatting sqref="A24:H24">
    <cfRule type="expression" dxfId="118" priority="3942">
      <formula>IF(AND($K20&lt;&gt;"",$K20&lt;&gt;"ST"),TRUE,FALSE)</formula>
    </cfRule>
    <cfRule type="expression" dxfId="117" priority="3943">
      <formula>IF(OR($K20="ST",$K20="TL"),TRUE,FALSE)</formula>
    </cfRule>
    <cfRule type="expression" dxfId="116" priority="3944">
      <formula>IF($K20="SC",TRUE,FALSE)</formula>
    </cfRule>
    <cfRule type="expression" dxfId="115" priority="3924">
      <formula>IF(AND($K20="C",$L20=2),TRUE,FALSE)</formula>
    </cfRule>
    <cfRule type="expression" dxfId="114" priority="3939">
      <formula>IF($K20="TL",TRUE,FALSE)</formula>
    </cfRule>
    <cfRule type="expression" dxfId="113" priority="3940">
      <formula>IF($K20="ST",TRUE,FALSE)</formula>
    </cfRule>
    <cfRule type="expression" dxfId="112" priority="3941">
      <formula>IF(AND($K20="C",$L20=3),TRUE,FALSE)</formula>
    </cfRule>
  </conditionalFormatting>
  <conditionalFormatting sqref="A25:H25">
    <cfRule type="expression" dxfId="111" priority="376">
      <formula>IF(AND($K22="C",$L22=2),TRUE,FALSE)</formula>
    </cfRule>
    <cfRule type="expression" dxfId="110" priority="348">
      <formula>IF($K22="SC",TRUE,FALSE)</formula>
    </cfRule>
    <cfRule type="expression" dxfId="109" priority="347">
      <formula>IF(OR($K22="ST",$K22="TL"),TRUE,FALSE)</formula>
    </cfRule>
    <cfRule type="expression" dxfId="108" priority="346">
      <formula>IF(AND($K22&lt;&gt;"",$K22&lt;&gt;"ST"),TRUE,FALSE)</formula>
    </cfRule>
    <cfRule type="expression" dxfId="107" priority="345">
      <formula>IF(AND($K22="C",$L22=3),TRUE,FALSE)</formula>
    </cfRule>
    <cfRule type="expression" dxfId="106" priority="343">
      <formula>IF($K22="ST",TRUE,FALSE)</formula>
    </cfRule>
    <cfRule type="expression" dxfId="105" priority="342">
      <formula>IF($K22="TL",TRUE,FALSE)</formula>
    </cfRule>
  </conditionalFormatting>
  <conditionalFormatting sqref="A26:H26">
    <cfRule type="expression" dxfId="104" priority="98">
      <formula>IF(AND($K24="C",$L24=2),TRUE,FALSE)</formula>
    </cfRule>
    <cfRule type="expression" dxfId="103" priority="99">
      <formula>IF($K24="TL",TRUE,FALSE)</formula>
    </cfRule>
    <cfRule type="expression" dxfId="102" priority="103">
      <formula>IF(OR($K24="ST",$K24="TL"),TRUE,FALSE)</formula>
    </cfRule>
    <cfRule type="expression" dxfId="101" priority="102">
      <formula>IF(AND($K24&lt;&gt;"",$K24&lt;&gt;"ST"),TRUE,FALSE)</formula>
    </cfRule>
    <cfRule type="expression" dxfId="100" priority="100">
      <formula>IF($K24="ST",TRUE,FALSE)</formula>
    </cfRule>
  </conditionalFormatting>
  <conditionalFormatting sqref="E14">
    <cfRule type="expression" dxfId="99" priority="112">
      <formula>IF(AND($K12="C",$L12=2),TRUE,FALSE)</formula>
    </cfRule>
  </conditionalFormatting>
  <conditionalFormatting sqref="E26">
    <cfRule type="expression" dxfId="98" priority="116">
      <formula>IF(AND($K24="C",$L24=3),TRUE,FALSE)</formula>
    </cfRule>
  </conditionalFormatting>
  <conditionalFormatting sqref="E26:F26">
    <cfRule type="expression" dxfId="97" priority="119">
      <formula>IF($K24="SC",TRUE,FALSE)</formula>
    </cfRule>
  </conditionalFormatting>
  <conditionalFormatting sqref="G14">
    <cfRule type="expression" dxfId="96" priority="105">
      <formula>IF(AND($K12="C",$L12=2),TRUE,FALSE)</formula>
    </cfRule>
  </conditionalFormatting>
  <conditionalFormatting sqref="G26">
    <cfRule type="expression" dxfId="95" priority="101">
      <formula>IF(AND($K24="C",$L24=3),TRUE,FALSE)</formula>
    </cfRule>
  </conditionalFormatting>
  <conditionalFormatting sqref="G13:H14">
    <cfRule type="expression" dxfId="94" priority="106">
      <formula>IF($K11="TL",TRUE,FALSE)</formula>
    </cfRule>
    <cfRule type="expression" dxfId="93" priority="111">
      <formula>IF($K11="SC",TRUE,FALSE)</formula>
    </cfRule>
    <cfRule type="expression" dxfId="92" priority="107">
      <formula>IF($K11="ST",TRUE,FALSE)</formula>
    </cfRule>
  </conditionalFormatting>
  <conditionalFormatting sqref="G26:H26">
    <cfRule type="expression" dxfId="91" priority="104">
      <formula>IF($K24="SC",TRUE,FALSE)</formula>
    </cfRule>
  </conditionalFormatting>
  <pageMargins left="0.7" right="0.7" top="0.75" bottom="0.75" header="0.3" footer="0.3"/>
  <pageSetup scale="96" orientation="landscape" r:id="rId1"/>
  <ignoredErrors>
    <ignoredError sqref="C14 D14:H14 C26:G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27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" customWidth="1"/>
    <col min="2" max="3" width="16.5703125" customWidth="1"/>
    <col min="4" max="4" width="16.5703125" style="3" customWidth="1"/>
    <col min="5" max="5" width="10.5703125" style="4" customWidth="1"/>
    <col min="6" max="8" width="16.5703125" customWidth="1"/>
    <col min="9" max="9" width="10.5703125" customWidth="1"/>
    <col min="10" max="12" width="16.5703125" customWidth="1"/>
    <col min="13" max="13" width="10.5703125" customWidth="1"/>
    <col min="14" max="15" width="8.85546875" hidden="1" customWidth="1"/>
  </cols>
  <sheetData>
    <row r="1" spans="1:37" ht="23.25" x14ac:dyDescent="0.25">
      <c r="A1" s="137" t="s">
        <v>115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.75" x14ac:dyDescent="0.25">
      <c r="A2" s="314" t="s">
        <v>16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2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5.75" x14ac:dyDescent="0.25">
      <c r="A4" s="1"/>
      <c r="B4" s="300" t="s">
        <v>17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37" ht="15.6" customHeight="1" x14ac:dyDescent="0.25">
      <c r="A5" s="1"/>
      <c r="B5" s="303" t="s">
        <v>54</v>
      </c>
      <c r="C5" s="309"/>
      <c r="D5" s="309"/>
      <c r="E5" s="304"/>
      <c r="F5" s="309" t="s">
        <v>23</v>
      </c>
      <c r="G5" s="309"/>
      <c r="H5" s="309"/>
      <c r="I5" s="304"/>
      <c r="J5" s="309" t="s">
        <v>116</v>
      </c>
      <c r="K5" s="309"/>
      <c r="L5" s="309"/>
      <c r="M5" s="304"/>
    </row>
    <row r="6" spans="1:37" ht="15.75" x14ac:dyDescent="0.25">
      <c r="A6" s="1"/>
      <c r="B6" s="305"/>
      <c r="C6" s="310"/>
      <c r="D6" s="310"/>
      <c r="E6" s="306"/>
      <c r="F6" s="310"/>
      <c r="G6" s="310"/>
      <c r="H6" s="310"/>
      <c r="I6" s="306"/>
      <c r="J6" s="310"/>
      <c r="K6" s="310"/>
      <c r="L6" s="310"/>
      <c r="M6" s="306"/>
    </row>
    <row r="7" spans="1:37" ht="15.75" x14ac:dyDescent="0.25">
      <c r="A7" s="1"/>
      <c r="B7" s="307"/>
      <c r="C7" s="311"/>
      <c r="D7" s="311"/>
      <c r="E7" s="308"/>
      <c r="F7" s="311"/>
      <c r="G7" s="311"/>
      <c r="H7" s="311"/>
      <c r="I7" s="308"/>
      <c r="J7" s="311"/>
      <c r="K7" s="311"/>
      <c r="L7" s="311"/>
      <c r="M7" s="308"/>
    </row>
    <row r="8" spans="1:37" ht="29.1" customHeight="1" x14ac:dyDescent="0.25">
      <c r="A8" s="139" t="s">
        <v>21</v>
      </c>
      <c r="B8" s="118" t="s">
        <v>53</v>
      </c>
      <c r="C8" s="118" t="s">
        <v>95</v>
      </c>
      <c r="D8" s="312" t="s">
        <v>117</v>
      </c>
      <c r="E8" s="313"/>
      <c r="F8" s="119" t="s">
        <v>53</v>
      </c>
      <c r="G8" s="118" t="s">
        <v>95</v>
      </c>
      <c r="H8" s="312" t="s">
        <v>117</v>
      </c>
      <c r="I8" s="313"/>
      <c r="J8" s="119" t="s">
        <v>53</v>
      </c>
      <c r="K8" s="118" t="s">
        <v>95</v>
      </c>
      <c r="L8" s="312" t="s">
        <v>117</v>
      </c>
      <c r="M8" s="313"/>
    </row>
    <row r="9" spans="1:37" x14ac:dyDescent="0.25">
      <c r="A9" t="s">
        <v>15</v>
      </c>
      <c r="B9" s="2">
        <f>Goals!D11</f>
        <v>582954.56350000005</v>
      </c>
      <c r="C9" s="2">
        <f>G9+K9</f>
        <v>697340.70276626339</v>
      </c>
      <c r="D9">
        <f>IFERROR(C9/B9,0)</f>
        <v>1.1962179326284035</v>
      </c>
      <c r="E9" s="3">
        <f>IFERROR(C9/B9,0)</f>
        <v>1.1962179326284035</v>
      </c>
      <c r="F9" s="2">
        <f>Goals!F11</f>
        <v>389976.50109999999</v>
      </c>
      <c r="G9" s="2">
        <f>'Statewide Totals'!D26</f>
        <v>643785.44214846333</v>
      </c>
      <c r="H9">
        <f>IFERROR(G9 /F9,0)</f>
        <v>1.6508313714609697</v>
      </c>
      <c r="I9" s="3">
        <f>IFERROR(G9 /F9,0)</f>
        <v>1.6508313714609697</v>
      </c>
      <c r="J9" s="2">
        <f>Goals!H11</f>
        <v>192978.0624</v>
      </c>
      <c r="K9" s="243">
        <v>53555.260617799999</v>
      </c>
      <c r="L9">
        <f>IFERROR(K9 /J9,0)</f>
        <v>0.27751994165425925</v>
      </c>
      <c r="M9" s="3">
        <f>IFERROR(K9 /J9,0)</f>
        <v>0.27751994165425925</v>
      </c>
      <c r="N9" t="s">
        <v>3</v>
      </c>
      <c r="O9">
        <v>3</v>
      </c>
    </row>
    <row r="10" spans="1:37" x14ac:dyDescent="0.25">
      <c r="A10" t="s">
        <v>14</v>
      </c>
      <c r="B10" s="2">
        <f>Goals!D10</f>
        <v>289284.88900000002</v>
      </c>
      <c r="C10" s="2">
        <f>G10+K10</f>
        <v>145229.12484008275</v>
      </c>
      <c r="D10">
        <f t="shared" ref="D10:D12" si="0">IFERROR(C10/B10,0)</f>
        <v>0.50202803659088713</v>
      </c>
      <c r="E10" s="3">
        <f t="shared" ref="E10:E14" si="1">IFERROR(C10/B10,0)</f>
        <v>0.50202803659088713</v>
      </c>
      <c r="F10" s="2">
        <f>Goals!F10</f>
        <v>193521.61540000001</v>
      </c>
      <c r="G10" s="2">
        <f>'Statewide Totals'!D24</f>
        <v>132795.41355708273</v>
      </c>
      <c r="H10">
        <f>IFERROR(G10 /F10,0)</f>
        <v>0.68620455282269588</v>
      </c>
      <c r="I10" s="3">
        <f>IFERROR(G10 /F10,0)</f>
        <v>0.68620455282269588</v>
      </c>
      <c r="J10" s="2">
        <f>Goals!H10</f>
        <v>95763.273599999986</v>
      </c>
      <c r="K10" s="243">
        <v>12433.711283000001</v>
      </c>
      <c r="L10">
        <f t="shared" ref="L10:L12" si="2">IFERROR(K10 /J10,0)</f>
        <v>0.12983799337244045</v>
      </c>
      <c r="M10" s="3">
        <f t="shared" ref="M10:M12" si="3">IFERROR(K10 /J10,0)</f>
        <v>0.12983799337244045</v>
      </c>
      <c r="N10" t="s">
        <v>3</v>
      </c>
      <c r="O10">
        <v>3</v>
      </c>
    </row>
    <row r="11" spans="1:37" x14ac:dyDescent="0.25">
      <c r="A11" t="s">
        <v>7</v>
      </c>
      <c r="B11" s="2">
        <f>Goals!D9</f>
        <v>126331.2935</v>
      </c>
      <c r="C11" s="2">
        <f>G11+K11</f>
        <v>61323.245815016104</v>
      </c>
      <c r="D11">
        <f>IFERROR(C11/B11,0)</f>
        <v>0.48541611596034284</v>
      </c>
      <c r="E11" s="3">
        <f>IFERROR(C11/B11,0)</f>
        <v>0.48541611596034284</v>
      </c>
      <c r="F11" s="2">
        <f>Goals!F9</f>
        <v>84511.2791</v>
      </c>
      <c r="G11" s="2">
        <f>'Statewide Totals'!D22</f>
        <v>52642.940015416105</v>
      </c>
      <c r="H11">
        <f>IFERROR(G11 /F11,0)</f>
        <v>0.62291022661158735</v>
      </c>
      <c r="I11" s="3">
        <f>IFERROR(G11 /F11,0)</f>
        <v>0.62291022661158735</v>
      </c>
      <c r="J11" s="2">
        <f>Goals!H9</f>
        <v>41820.014399999993</v>
      </c>
      <c r="K11" s="243">
        <v>8680.3057996000007</v>
      </c>
      <c r="L11">
        <f>IFERROR(K11 /J11,0)</f>
        <v>0.20756343401928629</v>
      </c>
      <c r="M11" s="3">
        <f>IFERROR(K11 /J11,0)</f>
        <v>0.20756343401928629</v>
      </c>
      <c r="N11" t="s">
        <v>3</v>
      </c>
      <c r="O11">
        <v>3</v>
      </c>
    </row>
    <row r="12" spans="1:37" x14ac:dyDescent="0.25">
      <c r="A12" t="s">
        <v>19</v>
      </c>
      <c r="B12" s="2">
        <f>Goals!D12</f>
        <v>21693.189000000002</v>
      </c>
      <c r="C12" s="2">
        <f>G12+K12</f>
        <v>12445.473266119578</v>
      </c>
      <c r="D12">
        <f t="shared" si="0"/>
        <v>0.57370418273309542</v>
      </c>
      <c r="E12" s="3">
        <f t="shared" si="1"/>
        <v>0.57370418273309542</v>
      </c>
      <c r="F12" s="2">
        <f>Goals!F12</f>
        <v>14511.9954</v>
      </c>
      <c r="G12" s="2">
        <f>'Statewide Totals'!D27</f>
        <v>12445.473266119578</v>
      </c>
      <c r="H12">
        <f>IFERROR(G12 /F12,0)</f>
        <v>0.85759903604431809</v>
      </c>
      <c r="I12" s="3">
        <f>IFERROR(G12 /F12,0)</f>
        <v>0.85759903604431809</v>
      </c>
      <c r="J12" s="2">
        <f>Goals!H11</f>
        <v>192978.0624</v>
      </c>
      <c r="K12" s="243">
        <v>0</v>
      </c>
      <c r="L12">
        <f t="shared" si="2"/>
        <v>0</v>
      </c>
      <c r="M12" s="3">
        <f t="shared" si="3"/>
        <v>0</v>
      </c>
      <c r="N12" t="s">
        <v>3</v>
      </c>
      <c r="O12">
        <v>3</v>
      </c>
    </row>
    <row r="13" spans="1:37" x14ac:dyDescent="0.25">
      <c r="H13" s="3"/>
      <c r="I13" s="4"/>
      <c r="L13" s="3"/>
      <c r="M13" s="4"/>
      <c r="N13" t="s">
        <v>4</v>
      </c>
    </row>
    <row r="14" spans="1:37" x14ac:dyDescent="0.25">
      <c r="A14" t="s">
        <v>2</v>
      </c>
      <c r="B14" s="2">
        <f>SUM(B9:B13)</f>
        <v>1020263.9350000002</v>
      </c>
      <c r="C14" s="2">
        <f>SUM(C9:C13)</f>
        <v>916338.54668748181</v>
      </c>
      <c r="D14" s="2">
        <f>IFERROR(#REF! /#REF!,0)</f>
        <v>0</v>
      </c>
      <c r="E14" s="3">
        <f t="shared" si="1"/>
        <v>0.89813872200381328</v>
      </c>
      <c r="F14" s="2">
        <f>SUM(F9:F13)</f>
        <v>682521.39100000006</v>
      </c>
      <c r="G14" s="2">
        <f>SUM(G9:G13)</f>
        <v>841669.26898708183</v>
      </c>
      <c r="H14" s="2">
        <f>IFERROR(G14 /#REF!,0)</f>
        <v>0</v>
      </c>
      <c r="I14" s="3">
        <f t="shared" ref="I14" si="4">IFERROR(G14/F14,0)</f>
        <v>1.2331763957667399</v>
      </c>
      <c r="J14" s="2">
        <f>SUM(J9:J13)</f>
        <v>523539.41279999999</v>
      </c>
      <c r="K14" s="2">
        <f>SUM(K9:K13)</f>
        <v>74669.277700399995</v>
      </c>
      <c r="L14" s="2">
        <f>IFERROR(K14 /#REF!,0)</f>
        <v>0</v>
      </c>
      <c r="M14" s="3">
        <f t="shared" ref="M14" si="5">IFERROR(K14/J14,0)</f>
        <v>0.14262398565382658</v>
      </c>
      <c r="N14" t="s">
        <v>5</v>
      </c>
    </row>
    <row r="17" spans="1:15" ht="15.75" x14ac:dyDescent="0.25">
      <c r="A17" s="1"/>
      <c r="B17" s="300" t="s">
        <v>118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</row>
    <row r="18" spans="1:15" ht="15.6" customHeight="1" x14ac:dyDescent="0.25">
      <c r="A18" s="1"/>
      <c r="B18" s="303" t="s">
        <v>54</v>
      </c>
      <c r="C18" s="309"/>
      <c r="D18" s="309"/>
      <c r="E18" s="304"/>
      <c r="F18" s="309" t="s">
        <v>23</v>
      </c>
      <c r="G18" s="309"/>
      <c r="H18" s="309"/>
      <c r="I18" s="304"/>
      <c r="J18" s="309" t="s">
        <v>116</v>
      </c>
      <c r="K18" s="309"/>
      <c r="L18" s="309"/>
      <c r="M18" s="304"/>
    </row>
    <row r="19" spans="1:15" ht="15.75" x14ac:dyDescent="0.25">
      <c r="A19" s="1"/>
      <c r="B19" s="305"/>
      <c r="C19" s="310"/>
      <c r="D19" s="310"/>
      <c r="E19" s="306"/>
      <c r="F19" s="310"/>
      <c r="G19" s="310"/>
      <c r="H19" s="310"/>
      <c r="I19" s="306"/>
      <c r="J19" s="310"/>
      <c r="K19" s="310"/>
      <c r="L19" s="310"/>
      <c r="M19" s="306"/>
    </row>
    <row r="20" spans="1:15" ht="15.75" x14ac:dyDescent="0.25">
      <c r="A20" s="1"/>
      <c r="B20" s="307"/>
      <c r="C20" s="311"/>
      <c r="D20" s="311"/>
      <c r="E20" s="308"/>
      <c r="F20" s="311"/>
      <c r="G20" s="311"/>
      <c r="H20" s="311"/>
      <c r="I20" s="308"/>
      <c r="J20" s="311"/>
      <c r="K20" s="311"/>
      <c r="L20" s="311"/>
      <c r="M20" s="308"/>
    </row>
    <row r="21" spans="1:15" ht="30" x14ac:dyDescent="0.25">
      <c r="A21" s="139" t="s">
        <v>21</v>
      </c>
      <c r="B21" s="118" t="s">
        <v>53</v>
      </c>
      <c r="C21" s="118" t="s">
        <v>95</v>
      </c>
      <c r="D21" s="312" t="s">
        <v>117</v>
      </c>
      <c r="E21" s="313"/>
      <c r="F21" s="119" t="s">
        <v>53</v>
      </c>
      <c r="G21" s="118" t="s">
        <v>95</v>
      </c>
      <c r="H21" s="312" t="s">
        <v>117</v>
      </c>
      <c r="I21" s="313"/>
      <c r="J21" s="119" t="s">
        <v>53</v>
      </c>
      <c r="K21" s="118" t="s">
        <v>95</v>
      </c>
      <c r="L21" s="312" t="s">
        <v>117</v>
      </c>
      <c r="M21" s="313"/>
    </row>
    <row r="22" spans="1:15" x14ac:dyDescent="0.25">
      <c r="A22" t="s">
        <v>15</v>
      </c>
      <c r="B22" s="2">
        <f>Goals!D23</f>
        <v>2505031.9424999999</v>
      </c>
      <c r="C22" s="2">
        <f>G22+K22</f>
        <v>2119246.6517783571</v>
      </c>
      <c r="D22">
        <f t="shared" ref="D22" si="6">IFERROR(C22/B22,0)</f>
        <v>0.84599585970283775</v>
      </c>
      <c r="E22" s="3">
        <f t="shared" ref="E22" si="7">IFERROR(C22/B22,0)</f>
        <v>0.84599585970283775</v>
      </c>
      <c r="F22" s="2">
        <f>Goals!F23</f>
        <v>1703421.7209000001</v>
      </c>
      <c r="G22" s="2">
        <f>'Statewide Totals'!C40</f>
        <v>2045907.577528357</v>
      </c>
      <c r="H22">
        <f t="shared" ref="H22" si="8">IFERROR(G22/F22,0)</f>
        <v>1.2010575845231122</v>
      </c>
      <c r="I22" s="3">
        <f t="shared" ref="I22" si="9">IFERROR(G22/F22,0)</f>
        <v>1.2010575845231122</v>
      </c>
      <c r="J22" s="2">
        <f>Goals!H23</f>
        <v>801610.22159999993</v>
      </c>
      <c r="K22" s="243">
        <v>73339.074250000005</v>
      </c>
      <c r="L22">
        <f t="shared" ref="L22" si="10">IFERROR(K22/J22,0)</f>
        <v>9.1489694459754398E-2</v>
      </c>
      <c r="M22" s="3">
        <f t="shared" ref="M22" si="11">IFERROR(K22/J22,0)</f>
        <v>9.1489694459754398E-2</v>
      </c>
      <c r="N22" t="s">
        <v>3</v>
      </c>
      <c r="O22">
        <v>3</v>
      </c>
    </row>
    <row r="23" spans="1:15" x14ac:dyDescent="0.25">
      <c r="A23" t="s">
        <v>12</v>
      </c>
      <c r="B23" s="2">
        <f>Goals!D22</f>
        <v>505028.64749999996</v>
      </c>
      <c r="C23" s="2">
        <f>G23+K23</f>
        <v>533783.46123000002</v>
      </c>
      <c r="D23">
        <f>IFERROR(C23/B23,0)</f>
        <v>1.0569369953018359</v>
      </c>
      <c r="E23" s="3">
        <f>IFERROR(C23/B23,0)</f>
        <v>1.0569369953018359</v>
      </c>
      <c r="F23" s="2">
        <f>Goals!F22</f>
        <v>343419.4803</v>
      </c>
      <c r="G23" s="2">
        <f>'Statewide Totals'!C39</f>
        <v>512005.55229999998</v>
      </c>
      <c r="H23">
        <f>IFERROR(G23/F23,0)</f>
        <v>1.4909042196812152</v>
      </c>
      <c r="I23" s="3">
        <f>IFERROR(G23/F23,0)</f>
        <v>1.4909042196812152</v>
      </c>
      <c r="J23" s="2">
        <f>Goals!H22</f>
        <v>161609.1672</v>
      </c>
      <c r="K23" s="243">
        <v>21777.908930000001</v>
      </c>
      <c r="L23">
        <f>IFERROR(K23/J23,0)</f>
        <v>0.13475664349565439</v>
      </c>
      <c r="M23" s="3">
        <f>IFERROR(K23/J23,0)</f>
        <v>0.13475664349565439</v>
      </c>
      <c r="N23" t="s">
        <v>3</v>
      </c>
      <c r="O23">
        <v>3</v>
      </c>
    </row>
    <row r="24" spans="1:15" x14ac:dyDescent="0.25">
      <c r="A24" t="s">
        <v>6</v>
      </c>
      <c r="B24" s="2">
        <f>Goals!D24</f>
        <v>381795.83999999997</v>
      </c>
      <c r="C24" s="2">
        <f>G24+K24</f>
        <v>321943.38383287966</v>
      </c>
      <c r="D24">
        <f>IFERROR(C24/B24,0)</f>
        <v>0.84323439415390089</v>
      </c>
      <c r="E24" s="3">
        <f>IFERROR(C24/B24,0)</f>
        <v>0.84323439415390089</v>
      </c>
      <c r="F24" s="2">
        <f>Goals!F24</f>
        <v>259621.17120000001</v>
      </c>
      <c r="G24" s="2">
        <f>'Statewide Totals'!C42</f>
        <v>303457.13996287965</v>
      </c>
      <c r="H24">
        <f>IFERROR(G24/F24,0)</f>
        <v>1.1688458940396291</v>
      </c>
      <c r="I24" s="3">
        <f>IFERROR(G24/F24,0)</f>
        <v>1.1688458940396291</v>
      </c>
      <c r="J24" s="2">
        <f>Goals!H24</f>
        <v>122174.66879999998</v>
      </c>
      <c r="K24" s="243">
        <v>18486.243869999998</v>
      </c>
      <c r="L24">
        <f>IFERROR(K24/J24,0)</f>
        <v>0.15130995689672785</v>
      </c>
      <c r="M24" s="3">
        <f>IFERROR(K24/J24,0)</f>
        <v>0.15130995689672785</v>
      </c>
      <c r="N24" t="s">
        <v>3</v>
      </c>
      <c r="O24">
        <v>3</v>
      </c>
    </row>
    <row r="25" spans="1:15" x14ac:dyDescent="0.25">
      <c r="A25" t="s">
        <v>11</v>
      </c>
      <c r="B25" s="2">
        <f>Goals!D21</f>
        <v>369884.24249999999</v>
      </c>
      <c r="C25" s="2">
        <f>G25+K25</f>
        <v>301264.31298429833</v>
      </c>
      <c r="D25">
        <f>IFERROR(C25/B25,0)</f>
        <v>0.81448269044415522</v>
      </c>
      <c r="E25" s="3">
        <f>IFERROR(C25/B25,0)</f>
        <v>0.81448269044415522</v>
      </c>
      <c r="F25" s="2">
        <f>Goals!F21</f>
        <v>251521.28490000003</v>
      </c>
      <c r="G25" s="2">
        <f>'Statewide Totals'!C38</f>
        <v>293264.14116429834</v>
      </c>
      <c r="H25">
        <f>IFERROR(G25/F25,0)</f>
        <v>1.1659615260032345</v>
      </c>
      <c r="I25" s="3">
        <f>IFERROR(G25/F25,0)</f>
        <v>1.1659615260032345</v>
      </c>
      <c r="J25" s="2">
        <f>Goals!H21</f>
        <v>118362.95759999999</v>
      </c>
      <c r="K25" s="243">
        <v>8000.1718199999996</v>
      </c>
      <c r="L25">
        <f>IFERROR(K25/J25,0)</f>
        <v>6.7590164881111414E-2</v>
      </c>
      <c r="M25" s="3">
        <f>IFERROR(K25/J25,0)</f>
        <v>6.7590164881111414E-2</v>
      </c>
      <c r="N25" t="s">
        <v>3</v>
      </c>
      <c r="O25">
        <v>3</v>
      </c>
    </row>
    <row r="26" spans="1:15" x14ac:dyDescent="0.25">
      <c r="F26" s="2"/>
      <c r="H26" s="3"/>
      <c r="I26" s="4"/>
      <c r="L26" s="3"/>
      <c r="M26" s="4"/>
      <c r="N26" t="s">
        <v>4</v>
      </c>
    </row>
    <row r="27" spans="1:15" x14ac:dyDescent="0.25">
      <c r="A27" t="s">
        <v>2</v>
      </c>
      <c r="B27" s="2">
        <f>SUM(B22:B26)</f>
        <v>3761740.6724999999</v>
      </c>
      <c r="C27" s="2">
        <f>SUM(C22:C26)</f>
        <v>3276237.8098255354</v>
      </c>
      <c r="D27" s="2">
        <f>IFERROR(C27 /#REF!,0)</f>
        <v>0</v>
      </c>
      <c r="E27" s="3">
        <f t="shared" ref="E27" si="12">IFERROR(C27/B27,0)</f>
        <v>0.87093664743460208</v>
      </c>
      <c r="F27" s="2">
        <f>SUM(F22:F26)</f>
        <v>2557983.6573000001</v>
      </c>
      <c r="G27" s="2">
        <f>SUM(G22:G26)</f>
        <v>3154634.4109555348</v>
      </c>
      <c r="H27" s="2">
        <f>IFERROR(G27 /#REF!,0)</f>
        <v>0</v>
      </c>
      <c r="I27" s="3">
        <f t="shared" ref="I27" si="13">IFERROR(G27/F27,0)</f>
        <v>1.2332504165743228</v>
      </c>
      <c r="J27" s="2">
        <f>SUM(J22:J26)</f>
        <v>1203757.0152</v>
      </c>
      <c r="K27" s="2">
        <f>SUM(K22:K26)</f>
        <v>121603.39887000002</v>
      </c>
      <c r="L27" s="2">
        <f>IFERROR(K27 /#REF!,0)</f>
        <v>0</v>
      </c>
      <c r="M27" s="3">
        <f t="shared" ref="M27" si="14">IFERROR(K27/J27,0)</f>
        <v>0.10101988801269501</v>
      </c>
      <c r="N27" t="s">
        <v>5</v>
      </c>
    </row>
  </sheetData>
  <mergeCells count="15">
    <mergeCell ref="A2:M2"/>
    <mergeCell ref="F5:I7"/>
    <mergeCell ref="J5:M7"/>
    <mergeCell ref="B5:E7"/>
    <mergeCell ref="B17:M17"/>
    <mergeCell ref="H8:I8"/>
    <mergeCell ref="L8:M8"/>
    <mergeCell ref="D8:E8"/>
    <mergeCell ref="B4:M4"/>
    <mergeCell ref="F18:I20"/>
    <mergeCell ref="J18:M20"/>
    <mergeCell ref="B18:E20"/>
    <mergeCell ref="H21:I21"/>
    <mergeCell ref="L21:M21"/>
    <mergeCell ref="D21:E21"/>
  </mergeCells>
  <conditionalFormatting sqref="A9:H13">
    <cfRule type="expression" dxfId="90" priority="65">
      <formula>IF($N9="SC",TRUE,FALSE)</formula>
    </cfRule>
    <cfRule type="expression" dxfId="89" priority="61">
      <formula>IF(AND($N9="C",$O9=2),TRUE,FALSE)</formula>
    </cfRule>
  </conditionalFormatting>
  <conditionalFormatting sqref="A9:M16">
    <cfRule type="expression" dxfId="88" priority="52">
      <formula>IF(AND($N9="C",$O9=3),TRUE,FALSE)</formula>
    </cfRule>
    <cfRule type="expression" dxfId="87" priority="50">
      <formula>IF($N9="ST",TRUE,FALSE)</formula>
    </cfRule>
    <cfRule type="expression" dxfId="86" priority="49">
      <formula>IF($N9="TL",TRUE,FALSE)</formula>
    </cfRule>
    <cfRule type="expression" dxfId="85" priority="54">
      <formula>IF(OR($N9="ST",$N9="TL"),TRUE,FALSE)</formula>
    </cfRule>
    <cfRule type="expression" dxfId="84" priority="53">
      <formula>IF(AND($N9&lt;&gt;"",$N9&lt;&gt;"ST"),TRUE,FALSE)</formula>
    </cfRule>
  </conditionalFormatting>
  <conditionalFormatting sqref="A22:M360">
    <cfRule type="expression" dxfId="83" priority="6">
      <formula>IF($N22="TL",TRUE,FALSE)</formula>
    </cfRule>
    <cfRule type="expression" dxfId="82" priority="7">
      <formula>IF($N22="ST",TRUE,FALSE)</formula>
    </cfRule>
    <cfRule type="expression" dxfId="81" priority="9">
      <formula>IF(AND($N22="C",$O22=3),TRUE,FALSE)</formula>
    </cfRule>
    <cfRule type="expression" dxfId="80" priority="10">
      <formula>IF(AND($N22&lt;&gt;"",$N22&lt;&gt;"ST"),TRUE,FALSE)</formula>
    </cfRule>
    <cfRule type="expression" dxfId="79" priority="11">
      <formula>IF(OR($N22="ST",$N22="TL"),TRUE,FALSE)</formula>
    </cfRule>
  </conditionalFormatting>
  <conditionalFormatting sqref="A27:M360">
    <cfRule type="expression" dxfId="78" priority="87">
      <formula>IF($N27="SC",TRUE,FALSE)</formula>
    </cfRule>
    <cfRule type="expression" dxfId="77" priority="83">
      <formula>IF(AND($N27="C",$O27=2),TRUE,FALSE)</formula>
    </cfRule>
  </conditionalFormatting>
  <conditionalFormatting sqref="C26">
    <cfRule type="expression" dxfId="76" priority="132">
      <formula>IF($N26="SC",TRUE,FALSE)</formula>
    </cfRule>
    <cfRule type="expression" dxfId="75" priority="128">
      <formula>IF(AND($N26="C",$O26=2),TRUE,FALSE)</formula>
    </cfRule>
  </conditionalFormatting>
  <conditionalFormatting sqref="D9:D13">
    <cfRule type="dataBar" priority="6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{312757B4-9FF1-49DE-BADF-A137CE173081}</x14:id>
        </ext>
      </extLst>
    </cfRule>
  </conditionalFormatting>
  <conditionalFormatting sqref="D10:D11">
    <cfRule type="dataBar" priority="6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{CCE6E165-F3A0-4B50-B2DA-0671D0CF5105}</x14:id>
        </ext>
      </extLst>
    </cfRule>
  </conditionalFormatting>
  <conditionalFormatting sqref="D12">
    <cfRule type="dataBar" priority="6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{F6E03917-D40A-4DC3-8260-4140C4527330}</x14:id>
        </ext>
      </extLst>
    </cfRule>
  </conditionalFormatting>
  <conditionalFormatting sqref="D14 H14">
    <cfRule type="dataBar" priority="53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{8760A70C-357C-4CEC-A333-211CB097B90E}</x14:id>
        </ext>
      </extLst>
    </cfRule>
  </conditionalFormatting>
  <conditionalFormatting sqref="D15:D16 D28:D360">
    <cfRule type="dataBar" priority="14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{12AA0F7C-0A14-4A94-8BDE-51F589689E14}</x14:id>
        </ext>
      </extLst>
    </cfRule>
  </conditionalFormatting>
  <conditionalFormatting sqref="D22:D25">
    <cfRule type="dataBar" priority="2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{D10F2048-203E-457B-9C19-F42EF7BC1708}</x14:id>
        </ext>
      </extLst>
    </cfRule>
    <cfRule type="dataBar" priority="3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{346F8B09-FFE4-4607-8839-E3C6FB07D4A8}</x14:id>
        </ext>
      </extLst>
    </cfRule>
  </conditionalFormatting>
  <conditionalFormatting sqref="D22:D26">
    <cfRule type="expression" dxfId="74" priority="35">
      <formula>IF($N22="SC",TRUE,FALSE)</formula>
    </cfRule>
    <cfRule type="expression" dxfId="73" priority="31">
      <formula>IF(AND($N22="C",$O22=2),TRUE,FALSE)</formula>
    </cfRule>
  </conditionalFormatting>
  <conditionalFormatting sqref="D23:D25">
    <cfRule type="dataBar" priority="2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{11E1CEF2-0C71-4BCB-8A5A-6970EADF8D56}</x14:id>
        </ext>
      </extLst>
    </cfRule>
  </conditionalFormatting>
  <conditionalFormatting sqref="D25">
    <cfRule type="dataBar" priority="2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{0CEE9267-6C97-4667-A039-8D003CE60D25}</x14:id>
        </ext>
      </extLst>
    </cfRule>
  </conditionalFormatting>
  <conditionalFormatting sqref="D26">
    <cfRule type="dataBar" priority="2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{D6AE18C7-75AD-44F6-BA80-79C556869C74}</x14:id>
        </ext>
      </extLst>
    </cfRule>
  </conditionalFormatting>
  <conditionalFormatting sqref="D27">
    <cfRule type="dataBar" priority="8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{9B73F116-691F-45E2-B189-A34594FAD2A2}</x14:id>
        </ext>
      </extLst>
    </cfRule>
  </conditionalFormatting>
  <conditionalFormatting sqref="E26">
    <cfRule type="expression" dxfId="72" priority="143">
      <formula>IF(AND($N26="C",$O26=2),TRUE,FALSE)</formula>
    </cfRule>
    <cfRule type="expression" dxfId="71" priority="147">
      <formula>IF($N26="SC",TRUE,FALSE)</formula>
    </cfRule>
  </conditionalFormatting>
  <conditionalFormatting sqref="H10:H11">
    <cfRule type="dataBar" priority="5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{7541BBF8-A684-4F4F-AA6F-BB11DECBC593}</x14:id>
        </ext>
      </extLst>
    </cfRule>
  </conditionalFormatting>
  <conditionalFormatting sqref="H12">
    <cfRule type="dataBar" priority="5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{6AF1C7C7-C95B-4990-9700-29F74D155714}</x14:id>
        </ext>
      </extLst>
    </cfRule>
  </conditionalFormatting>
  <conditionalFormatting sqref="H13 H9 H11">
    <cfRule type="dataBar" priority="5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{8EF00E4E-0CC3-415A-A732-A15B6D9C7BAF}</x14:id>
        </ext>
      </extLst>
    </cfRule>
  </conditionalFormatting>
  <conditionalFormatting sqref="H22:H25">
    <cfRule type="dataBar" priority="1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{3DFB393C-E7BA-4193-AFBB-9B278B7E5A6F}</x14:id>
        </ext>
      </extLst>
    </cfRule>
    <cfRule type="dataBar" priority="1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{89E69781-F4A7-4163-8A9D-DDE8B8546BDF}</x14:id>
        </ext>
      </extLst>
    </cfRule>
  </conditionalFormatting>
  <conditionalFormatting sqref="H22:H26">
    <cfRule type="expression" dxfId="70" priority="24">
      <formula>IF($N22="SC",TRUE,FALSE)</formula>
    </cfRule>
    <cfRule type="expression" dxfId="69" priority="20">
      <formula>IF(AND($N22="C",$O22=2),TRUE,FALSE)</formula>
    </cfRule>
  </conditionalFormatting>
  <conditionalFormatting sqref="H23:H25">
    <cfRule type="dataBar" priority="1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{16C2B182-8FDF-4A01-80D8-FE8F9FE33D83}</x14:id>
        </ext>
      </extLst>
    </cfRule>
  </conditionalFormatting>
  <conditionalFormatting sqref="H25">
    <cfRule type="dataBar" priority="1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{88B43E8E-758E-4EFF-ADA5-3C707362F2E1}</x14:id>
        </ext>
      </extLst>
    </cfRule>
  </conditionalFormatting>
  <conditionalFormatting sqref="H26">
    <cfRule type="dataBar" priority="1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{986DA1FD-C3C4-43CA-A17A-69EF119C14F2}</x14:id>
        </ext>
      </extLst>
    </cfRule>
  </conditionalFormatting>
  <conditionalFormatting sqref="H27">
    <cfRule type="dataBar" priority="8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{8E56D79D-02D3-40C7-888A-27F8894A8D8D}</x14:id>
        </ext>
      </extLst>
    </cfRule>
    <cfRule type="dataBar" priority="21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{7CD72BEC-0EBF-45C9-8E99-C9ADE56E95D2}</x14:id>
        </ext>
      </extLst>
    </cfRule>
  </conditionalFormatting>
  <conditionalFormatting sqref="I9:K13 A14:M16 A22:C25 E22:G25 I22:K26 A26:B26 F26:G26">
    <cfRule type="expression" dxfId="68" priority="542">
      <formula>IF($N9="SC",TRUE,FALSE)</formula>
    </cfRule>
  </conditionalFormatting>
  <conditionalFormatting sqref="J9:K9 I9:J10 K10:K12 I11:K13 A14:M16 A22:B23 I22:K23 G22:G24 B22:C25 E22:F25 A24 K24 I24:J25 J25:K25 A25:B26 F25:G26 I26:K26">
    <cfRule type="expression" dxfId="67" priority="538">
      <formula>IF(AND($N9="C",$O9=2),TRUE,FALSE)</formula>
    </cfRule>
  </conditionalFormatting>
  <conditionalFormatting sqref="L10:L11">
    <cfRule type="dataBar" priority="4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{492C81DC-3EC4-4BD8-A0C8-BC200AB66A2C}</x14:id>
        </ext>
      </extLst>
    </cfRule>
    <cfRule type="dataBar" priority="4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{1CF8817F-4644-4B3F-B15F-9976EFEF71C7}</x14:id>
        </ext>
      </extLst>
    </cfRule>
  </conditionalFormatting>
  <conditionalFormatting sqref="L12">
    <cfRule type="dataBar" priority="4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{3C0EADE6-6892-486C-AC34-8E2188A1A77B}</x14:id>
        </ext>
      </extLst>
    </cfRule>
    <cfRule type="dataBar" priority="4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{C11CCA17-4D0D-4607-B135-0606016F9A3A}</x14:id>
        </ext>
      </extLst>
    </cfRule>
  </conditionalFormatting>
  <conditionalFormatting sqref="L13 L9 L11">
    <cfRule type="dataBar" priority="4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{2BC5705F-BAF6-4AC0-88CA-6F102CF8CFFE}</x14:id>
        </ext>
      </extLst>
    </cfRule>
  </conditionalFormatting>
  <conditionalFormatting sqref="L14">
    <cfRule type="dataBar" priority="9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{1A42DB3C-860F-4040-A38B-683D00CE2BBE}</x14:id>
        </ext>
      </extLst>
    </cfRule>
    <cfRule type="dataBar" priority="42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{B7AEAD1D-E4A8-48E4-8952-C0766ED11F97}</x14:id>
        </ext>
      </extLst>
    </cfRule>
  </conditionalFormatting>
  <conditionalFormatting sqref="L22:L25">
    <cfRule type="dataBar" priority="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{41B7FF45-6883-40DF-BE39-EF57CD4F0972}</x14:id>
        </ext>
      </extLst>
    </cfRule>
    <cfRule type="dataBar" priority="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{25347BA5-DCB0-48C0-8ED5-B08D36603024}</x14:id>
        </ext>
      </extLst>
    </cfRule>
  </conditionalFormatting>
  <conditionalFormatting sqref="L23:L25">
    <cfRule type="dataBar" priority="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{8A2A6C5A-034B-4D45-81BD-0A0ACA2D8F28}</x14:id>
        </ext>
      </extLst>
    </cfRule>
  </conditionalFormatting>
  <conditionalFormatting sqref="L25">
    <cfRule type="dataBar" priority="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{6A23BC68-7D21-43D3-8C3A-14E837F31843}</x14:id>
        </ext>
      </extLst>
    </cfRule>
  </conditionalFormatting>
  <conditionalFormatting sqref="L26">
    <cfRule type="dataBar" priority="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{79D52340-DFDB-4B89-A0D6-CE6F50A57445}</x14:id>
        </ext>
      </extLst>
    </cfRule>
  </conditionalFormatting>
  <conditionalFormatting sqref="L27">
    <cfRule type="dataBar" priority="8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{AD1A70FC-C258-4179-B01D-D30EE6B44B3D}</x14:id>
        </ext>
      </extLst>
    </cfRule>
    <cfRule type="dataBar" priority="18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{938828AD-B33D-4564-BBB9-BAE5B832891A}</x14:id>
        </ext>
      </extLst>
    </cfRule>
  </conditionalFormatting>
  <conditionalFormatting sqref="L9:M13">
    <cfRule type="expression" dxfId="66" priority="51">
      <formula>IF(AND($N9="C",$O9=2),TRUE,FALSE)</formula>
    </cfRule>
    <cfRule type="expression" dxfId="65" priority="55">
      <formula>IF($N9="SC",TRUE,FALSE)</formula>
    </cfRule>
  </conditionalFormatting>
  <conditionalFormatting sqref="L22:M26">
    <cfRule type="expression" dxfId="64" priority="8">
      <formula>IF(AND($N22="C",$O22=2),TRUE,FALSE)</formula>
    </cfRule>
    <cfRule type="expression" dxfId="63" priority="12">
      <formula>IF($N22="SC",TRUE,FALSE)</formula>
    </cfRule>
  </conditionalFormatting>
  <pageMargins left="0.7" right="0.7" top="0.75" bottom="0.75" header="0.3" footer="0.3"/>
  <pageSetup scale="61" orientation="landscape" horizontalDpi="4294967293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2757B4-9FF1-49DE-BADF-A137CE17308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D9:D13</xm:sqref>
        </x14:conditionalFormatting>
        <x14:conditionalFormatting xmlns:xm="http://schemas.microsoft.com/office/excel/2006/main">
          <x14:cfRule type="dataBar" id="{CCE6E165-F3A0-4B50-B2DA-0671D0CF510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F6E03917-D40A-4DC3-8260-4140C4527330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8760A70C-357C-4CEC-A333-211CB097B90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D14 H14</xm:sqref>
        </x14:conditionalFormatting>
        <x14:conditionalFormatting xmlns:xm="http://schemas.microsoft.com/office/excel/2006/main">
          <x14:cfRule type="dataBar" id="{12AA0F7C-0A14-4A94-8BDE-51F589689E1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D15:D16 D28:D360</xm:sqref>
        </x14:conditionalFormatting>
        <x14:conditionalFormatting xmlns:xm="http://schemas.microsoft.com/office/excel/2006/main">
          <x14:cfRule type="dataBar" id="{D10F2048-203E-457B-9C19-F42EF7BC170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346F8B09-FFE4-4607-8839-E3C6FB07D4A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D22:D25</xm:sqref>
        </x14:conditionalFormatting>
        <x14:conditionalFormatting xmlns:xm="http://schemas.microsoft.com/office/excel/2006/main">
          <x14:cfRule type="dataBar" id="{11E1CEF2-0C71-4BCB-8A5A-6970EADF8D56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D23:D25</xm:sqref>
        </x14:conditionalFormatting>
        <x14:conditionalFormatting xmlns:xm="http://schemas.microsoft.com/office/excel/2006/main">
          <x14:cfRule type="dataBar" id="{0CEE9267-6C97-4667-A039-8D003CE60D2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D6AE18C7-75AD-44F6-BA80-79C556869C7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9B73F116-691F-45E2-B189-A34594FAD2A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7541BBF8-A684-4F4F-AA6F-BB11DECBC59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H10:H11</xm:sqref>
        </x14:conditionalFormatting>
        <x14:conditionalFormatting xmlns:xm="http://schemas.microsoft.com/office/excel/2006/main">
          <x14:cfRule type="dataBar" id="{6AF1C7C7-C95B-4990-9700-29F74D15571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8EF00E4E-0CC3-415A-A732-A15B6D9C7BA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H13 H9 H11</xm:sqref>
        </x14:conditionalFormatting>
        <x14:conditionalFormatting xmlns:xm="http://schemas.microsoft.com/office/excel/2006/main">
          <x14:cfRule type="dataBar" id="{3DFB393C-E7BA-4193-AFBB-9B278B7E5A6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89E69781-F4A7-4163-8A9D-DDE8B8546BD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H22:H25</xm:sqref>
        </x14:conditionalFormatting>
        <x14:conditionalFormatting xmlns:xm="http://schemas.microsoft.com/office/excel/2006/main">
          <x14:cfRule type="dataBar" id="{16C2B182-8FDF-4A01-80D8-FE8F9FE33D8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H23:H25</xm:sqref>
        </x14:conditionalFormatting>
        <x14:conditionalFormatting xmlns:xm="http://schemas.microsoft.com/office/excel/2006/main">
          <x14:cfRule type="dataBar" id="{88B43E8E-758E-4EFF-ADA5-3C707362F2E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986DA1FD-C3C4-43CA-A17A-69EF119C14F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8E56D79D-02D3-40C7-888A-27F8894A8D8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7CD72BEC-0EBF-45C9-8E99-C9ADE56E95D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H27</xm:sqref>
        </x14:conditionalFormatting>
        <x14:conditionalFormatting xmlns:xm="http://schemas.microsoft.com/office/excel/2006/main">
          <x14:cfRule type="dataBar" id="{492C81DC-3EC4-4BD8-A0C8-BC200AB66A2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1CF8817F-4644-4B3F-B15F-9976EFEF71C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L10:L11</xm:sqref>
        </x14:conditionalFormatting>
        <x14:conditionalFormatting xmlns:xm="http://schemas.microsoft.com/office/excel/2006/main">
          <x14:cfRule type="dataBar" id="{3C0EADE6-6892-486C-AC34-8E2188A1A77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C11CCA17-4D0D-4607-B135-0606016F9A3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2BC5705F-BAF6-4AC0-88CA-6F102CF8CFF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L13 L9 L11</xm:sqref>
        </x14:conditionalFormatting>
        <x14:conditionalFormatting xmlns:xm="http://schemas.microsoft.com/office/excel/2006/main">
          <x14:cfRule type="dataBar" id="{1A42DB3C-860F-4040-A38B-683D00CE2BB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B7AEAD1D-E4A8-48E4-8952-C0766ED11F9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41B7FF45-6883-40DF-BE39-EF57CD4F097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25347BA5-DCB0-48C0-8ED5-B08D3660302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L22:L25</xm:sqref>
        </x14:conditionalFormatting>
        <x14:conditionalFormatting xmlns:xm="http://schemas.microsoft.com/office/excel/2006/main">
          <x14:cfRule type="dataBar" id="{8A2A6C5A-034B-4D45-81BD-0A0ACA2D8F2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L23:L25</xm:sqref>
        </x14:conditionalFormatting>
        <x14:conditionalFormatting xmlns:xm="http://schemas.microsoft.com/office/excel/2006/main">
          <x14:cfRule type="dataBar" id="{6A23BC68-7D21-43D3-8C3A-14E837F3184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L25</xm:sqref>
        </x14:conditionalFormatting>
        <x14:conditionalFormatting xmlns:xm="http://schemas.microsoft.com/office/excel/2006/main">
          <x14:cfRule type="dataBar" id="{79D52340-DFDB-4B89-A0D6-CE6F50A5744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L26</xm:sqref>
        </x14:conditionalFormatting>
        <x14:conditionalFormatting xmlns:xm="http://schemas.microsoft.com/office/excel/2006/main">
          <x14:cfRule type="dataBar" id="{AD1A70FC-C258-4179-B01D-D30EE6B44B3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938828AD-B33D-4564-BBB9-BAE5B832891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K26"/>
  <sheetViews>
    <sheetView showGridLines="0" zoomScaleNormal="100" workbookViewId="0"/>
  </sheetViews>
  <sheetFormatPr defaultRowHeight="15" x14ac:dyDescent="0.25"/>
  <cols>
    <col min="1" max="1" width="17" customWidth="1"/>
    <col min="2" max="3" width="16.5703125" customWidth="1"/>
    <col min="4" max="4" width="16.5703125" style="3" customWidth="1"/>
    <col min="5" max="5" width="10.5703125" style="4" customWidth="1"/>
    <col min="6" max="8" width="16.5703125" customWidth="1"/>
    <col min="9" max="9" width="10.5703125" customWidth="1"/>
    <col min="10" max="12" width="16.5703125" customWidth="1"/>
    <col min="13" max="13" width="10.5703125" customWidth="1"/>
    <col min="14" max="15" width="8.85546875" hidden="1" customWidth="1"/>
  </cols>
  <sheetData>
    <row r="1" spans="1:37" ht="23.25" x14ac:dyDescent="0.25">
      <c r="A1" s="137" t="s">
        <v>145</v>
      </c>
      <c r="B1" s="5"/>
      <c r="C1" s="5"/>
      <c r="D1" s="5"/>
      <c r="E1" s="244"/>
      <c r="F1" s="5"/>
      <c r="G1" s="5"/>
      <c r="H1" s="5"/>
      <c r="I1" s="5"/>
      <c r="J1" s="5"/>
      <c r="K1" s="5"/>
      <c r="L1" s="5"/>
      <c r="M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.75" x14ac:dyDescent="0.25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.75" x14ac:dyDescent="0.25">
      <c r="A3" s="1"/>
      <c r="B3" s="300" t="s">
        <v>159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37" ht="15.6" customHeight="1" x14ac:dyDescent="0.25">
      <c r="A4" s="1"/>
      <c r="B4" s="303" t="s">
        <v>54</v>
      </c>
      <c r="C4" s="309"/>
      <c r="D4" s="309"/>
      <c r="E4" s="304"/>
      <c r="F4" s="309" t="s">
        <v>23</v>
      </c>
      <c r="G4" s="309"/>
      <c r="H4" s="309"/>
      <c r="I4" s="304"/>
      <c r="J4" s="309" t="s">
        <v>116</v>
      </c>
      <c r="K4" s="309"/>
      <c r="L4" s="309"/>
      <c r="M4" s="304"/>
    </row>
    <row r="5" spans="1:37" ht="15.75" x14ac:dyDescent="0.25">
      <c r="A5" s="1"/>
      <c r="B5" s="305"/>
      <c r="C5" s="310"/>
      <c r="D5" s="310"/>
      <c r="E5" s="306"/>
      <c r="F5" s="310"/>
      <c r="G5" s="310"/>
      <c r="H5" s="310"/>
      <c r="I5" s="306"/>
      <c r="J5" s="310"/>
      <c r="K5" s="310"/>
      <c r="L5" s="310"/>
      <c r="M5" s="306"/>
    </row>
    <row r="6" spans="1:37" ht="15.75" x14ac:dyDescent="0.25">
      <c r="A6" s="1"/>
      <c r="B6" s="307"/>
      <c r="C6" s="311"/>
      <c r="D6" s="311"/>
      <c r="E6" s="308"/>
      <c r="F6" s="311"/>
      <c r="G6" s="311"/>
      <c r="H6" s="311"/>
      <c r="I6" s="308"/>
      <c r="J6" s="311"/>
      <c r="K6" s="311"/>
      <c r="L6" s="311"/>
      <c r="M6" s="308"/>
    </row>
    <row r="7" spans="1:37" ht="29.1" customHeight="1" x14ac:dyDescent="0.25">
      <c r="A7" s="139" t="s">
        <v>21</v>
      </c>
      <c r="B7" s="118" t="s">
        <v>144</v>
      </c>
      <c r="C7" s="118" t="s">
        <v>95</v>
      </c>
      <c r="D7" s="118" t="s">
        <v>160</v>
      </c>
      <c r="E7" s="118" t="s">
        <v>161</v>
      </c>
      <c r="F7" s="119" t="s">
        <v>144</v>
      </c>
      <c r="G7" s="118" t="s">
        <v>95</v>
      </c>
      <c r="H7" s="118" t="s">
        <v>160</v>
      </c>
      <c r="I7" s="118" t="s">
        <v>161</v>
      </c>
      <c r="J7" s="119" t="s">
        <v>144</v>
      </c>
      <c r="K7" s="118" t="s">
        <v>95</v>
      </c>
      <c r="L7" s="118" t="s">
        <v>160</v>
      </c>
      <c r="M7" s="118" t="s">
        <v>161</v>
      </c>
    </row>
    <row r="8" spans="1:37" x14ac:dyDescent="0.25">
      <c r="A8" t="s">
        <v>15</v>
      </c>
      <c r="B8" s="2">
        <f>Goals!B11</f>
        <v>40203763</v>
      </c>
      <c r="C8" s="2">
        <f>G8+K8</f>
        <v>697340.70276626339</v>
      </c>
      <c r="D8" s="3">
        <f>Goals!C11</f>
        <v>1.4500000000000001E-2</v>
      </c>
      <c r="E8" s="3">
        <f>IFERROR(C8/B8,0)</f>
        <v>1.7345160023111851E-2</v>
      </c>
      <c r="F8" s="2">
        <f>B8</f>
        <v>40203763</v>
      </c>
      <c r="G8" s="2">
        <f>'Statewide Totals'!D26</f>
        <v>643785.44214846333</v>
      </c>
      <c r="H8" s="3">
        <f>Goals!E11</f>
        <v>9.7000000000000003E-3</v>
      </c>
      <c r="I8" s="3">
        <f>IFERROR(G8 /F8,0)</f>
        <v>1.6013064303171405E-2</v>
      </c>
      <c r="J8" s="2">
        <f>B8</f>
        <v>40203763</v>
      </c>
      <c r="K8" s="2">
        <f>'Performance vs Goals'!K9</f>
        <v>53555.260617799999</v>
      </c>
      <c r="L8" s="3">
        <f>Goals!G11</f>
        <v>4.7999999999999996E-3</v>
      </c>
      <c r="M8" s="3">
        <f>IFERROR(K8 /J8,0)</f>
        <v>1.3320957199404444E-3</v>
      </c>
      <c r="N8" t="s">
        <v>3</v>
      </c>
      <c r="O8">
        <v>3</v>
      </c>
    </row>
    <row r="9" spans="1:37" x14ac:dyDescent="0.25">
      <c r="A9" t="s">
        <v>14</v>
      </c>
      <c r="B9" s="2">
        <f>Goals!B10</f>
        <v>19950682</v>
      </c>
      <c r="C9" s="2">
        <f>G9+K9</f>
        <v>145229.12484008275</v>
      </c>
      <c r="D9" s="3">
        <f>Goals!C10</f>
        <v>1.4500000000000001E-2</v>
      </c>
      <c r="E9" s="3">
        <f t="shared" ref="E9:E13" si="0">IFERROR(C9/B9,0)</f>
        <v>7.2794065305678644E-3</v>
      </c>
      <c r="F9" s="2">
        <f>B9</f>
        <v>19950682</v>
      </c>
      <c r="G9" s="2">
        <f>'Statewide Totals'!D24</f>
        <v>132795.41355708273</v>
      </c>
      <c r="H9" s="3">
        <f>Goals!E10</f>
        <v>9.7000000000000003E-3</v>
      </c>
      <c r="I9" s="3">
        <f>IFERROR(G9 /F9,0)</f>
        <v>6.65618416238015E-3</v>
      </c>
      <c r="J9" s="2">
        <f>B9</f>
        <v>19950682</v>
      </c>
      <c r="K9" s="2">
        <f>'Performance vs Goals'!K10</f>
        <v>12433.711283000001</v>
      </c>
      <c r="L9" s="3">
        <f>Goals!G10</f>
        <v>4.7999999999999996E-3</v>
      </c>
      <c r="M9" s="3">
        <f t="shared" ref="M9:M11" si="1">IFERROR(K9 /J9,0)</f>
        <v>6.2322236818771414E-4</v>
      </c>
      <c r="N9" t="s">
        <v>3</v>
      </c>
      <c r="O9">
        <v>3</v>
      </c>
    </row>
    <row r="10" spans="1:37" x14ac:dyDescent="0.25">
      <c r="A10" t="s">
        <v>7</v>
      </c>
      <c r="B10" s="2">
        <f>Goals!B9</f>
        <v>8712503</v>
      </c>
      <c r="C10" s="2">
        <f>G10+K10</f>
        <v>61323.245815016104</v>
      </c>
      <c r="D10" s="3">
        <f>Goals!C9</f>
        <v>1.4500000000000001E-2</v>
      </c>
      <c r="E10" s="3">
        <f>IFERROR(C10/B10,0)</f>
        <v>7.0385336814249707E-3</v>
      </c>
      <c r="F10" s="2">
        <f>B10</f>
        <v>8712503</v>
      </c>
      <c r="G10" s="2">
        <f>'Statewide Totals'!D22</f>
        <v>52642.940015416105</v>
      </c>
      <c r="H10" s="3">
        <f>Goals!E9</f>
        <v>9.7000000000000003E-3</v>
      </c>
      <c r="I10" s="3">
        <f>IFERROR(G10 /F10,0)</f>
        <v>6.0422291981323973E-3</v>
      </c>
      <c r="J10" s="2">
        <f>B10</f>
        <v>8712503</v>
      </c>
      <c r="K10" s="2">
        <f>'Performance vs Goals'!K11</f>
        <v>8680.3057996000007</v>
      </c>
      <c r="L10" s="3">
        <f>Goals!G9</f>
        <v>4.7999999999999996E-3</v>
      </c>
      <c r="M10" s="3">
        <f>IFERROR(K10 /J10,0)</f>
        <v>9.9630448329257409E-4</v>
      </c>
      <c r="N10" t="s">
        <v>3</v>
      </c>
      <c r="O10">
        <v>3</v>
      </c>
    </row>
    <row r="11" spans="1:37" x14ac:dyDescent="0.25">
      <c r="A11" t="s">
        <v>19</v>
      </c>
      <c r="B11" s="2">
        <f>Goals!B12</f>
        <v>1496082</v>
      </c>
      <c r="C11" s="2">
        <f>G11+K11</f>
        <v>12445.473266119578</v>
      </c>
      <c r="D11" s="3">
        <f>Goals!C12</f>
        <v>1.4500000000000001E-2</v>
      </c>
      <c r="E11" s="3">
        <f t="shared" si="0"/>
        <v>8.3187106496298846E-3</v>
      </c>
      <c r="F11" s="2">
        <f>B11</f>
        <v>1496082</v>
      </c>
      <c r="G11" s="2">
        <f>'Statewide Totals'!D27</f>
        <v>12445.473266119578</v>
      </c>
      <c r="H11" s="3">
        <f>Goals!E12</f>
        <v>9.7000000000000003E-3</v>
      </c>
      <c r="I11" s="3">
        <f>IFERROR(G11 /F11,0)</f>
        <v>8.3187106496298846E-3</v>
      </c>
      <c r="J11" s="2">
        <f>B11</f>
        <v>1496082</v>
      </c>
      <c r="K11" s="2">
        <f>'Performance vs Goals'!K12</f>
        <v>0</v>
      </c>
      <c r="L11" s="3">
        <f>Goals!G12</f>
        <v>4.7999999999999996E-3</v>
      </c>
      <c r="M11" s="3">
        <f t="shared" si="1"/>
        <v>0</v>
      </c>
      <c r="N11" t="s">
        <v>3</v>
      </c>
      <c r="O11">
        <v>3</v>
      </c>
    </row>
    <row r="12" spans="1:37" x14ac:dyDescent="0.25">
      <c r="H12" s="3"/>
      <c r="I12" s="3"/>
      <c r="L12" s="3"/>
      <c r="M12" s="4"/>
      <c r="N12" t="s">
        <v>4</v>
      </c>
    </row>
    <row r="13" spans="1:37" x14ac:dyDescent="0.25">
      <c r="A13" t="s">
        <v>2</v>
      </c>
      <c r="B13" s="2">
        <f>SUM(B8:B12)</f>
        <v>70363030</v>
      </c>
      <c r="C13" s="2">
        <f>SUM(C8:C12)</f>
        <v>916338.54668748181</v>
      </c>
      <c r="D13" s="3">
        <f>Goals!C14</f>
        <v>1.4500000000000001E-2</v>
      </c>
      <c r="E13" s="3">
        <f t="shared" si="0"/>
        <v>1.3023011469055296E-2</v>
      </c>
      <c r="F13" s="2">
        <f>SUM(F8:F12)</f>
        <v>70363030</v>
      </c>
      <c r="G13" s="2">
        <f>SUM(G8:G12)</f>
        <v>841669.26898708183</v>
      </c>
      <c r="H13" s="3">
        <f>Goals!E14</f>
        <v>9.6999999999999986E-3</v>
      </c>
      <c r="I13" s="3">
        <f t="shared" ref="I13" si="2">IFERROR(G13/F13,0)</f>
        <v>1.1961811038937377E-2</v>
      </c>
      <c r="J13" s="2">
        <f>SUM(J8:J12)</f>
        <v>70363030</v>
      </c>
      <c r="K13" s="2">
        <f>SUM(K8:K12)</f>
        <v>74669.277700399995</v>
      </c>
      <c r="L13" s="3">
        <f>Goals!G14</f>
        <v>4.7999999999999996E-3</v>
      </c>
      <c r="M13" s="3">
        <f t="shared" ref="M13" si="3">IFERROR(K13/J13,0)</f>
        <v>1.0612004301179185E-3</v>
      </c>
      <c r="N13" t="s">
        <v>5</v>
      </c>
    </row>
    <row r="16" spans="1:37" ht="15.75" x14ac:dyDescent="0.25">
      <c r="A16" s="1"/>
      <c r="B16" s="300" t="s">
        <v>162</v>
      </c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</row>
    <row r="17" spans="1:15" ht="15.6" customHeight="1" x14ac:dyDescent="0.25">
      <c r="A17" s="1"/>
      <c r="B17" s="303" t="s">
        <v>54</v>
      </c>
      <c r="C17" s="309"/>
      <c r="D17" s="309"/>
      <c r="E17" s="304"/>
      <c r="F17" s="309" t="s">
        <v>23</v>
      </c>
      <c r="G17" s="309"/>
      <c r="H17" s="309"/>
      <c r="I17" s="304"/>
      <c r="J17" s="309" t="s">
        <v>116</v>
      </c>
      <c r="K17" s="309"/>
      <c r="L17" s="309"/>
      <c r="M17" s="304"/>
    </row>
    <row r="18" spans="1:15" ht="15.75" x14ac:dyDescent="0.25">
      <c r="A18" s="1"/>
      <c r="B18" s="305"/>
      <c r="C18" s="310"/>
      <c r="D18" s="310"/>
      <c r="E18" s="306"/>
      <c r="F18" s="310"/>
      <c r="G18" s="310"/>
      <c r="H18" s="310"/>
      <c r="I18" s="306"/>
      <c r="J18" s="310"/>
      <c r="K18" s="310"/>
      <c r="L18" s="310"/>
      <c r="M18" s="306"/>
    </row>
    <row r="19" spans="1:15" ht="15.75" x14ac:dyDescent="0.25">
      <c r="A19" s="1"/>
      <c r="B19" s="307"/>
      <c r="C19" s="311"/>
      <c r="D19" s="311"/>
      <c r="E19" s="308"/>
      <c r="F19" s="311"/>
      <c r="G19" s="311"/>
      <c r="H19" s="311"/>
      <c r="I19" s="308"/>
      <c r="J19" s="311"/>
      <c r="K19" s="311"/>
      <c r="L19" s="311"/>
      <c r="M19" s="308"/>
    </row>
    <row r="20" spans="1:15" ht="30" customHeight="1" x14ac:dyDescent="0.25">
      <c r="A20" s="139" t="s">
        <v>21</v>
      </c>
      <c r="B20" s="118" t="s">
        <v>144</v>
      </c>
      <c r="C20" s="118" t="s">
        <v>95</v>
      </c>
      <c r="D20" s="118" t="s">
        <v>160</v>
      </c>
      <c r="E20" s="118" t="s">
        <v>161</v>
      </c>
      <c r="F20" s="119" t="s">
        <v>144</v>
      </c>
      <c r="G20" s="118" t="s">
        <v>95</v>
      </c>
      <c r="H20" s="118" t="s">
        <v>160</v>
      </c>
      <c r="I20" s="118" t="s">
        <v>161</v>
      </c>
      <c r="J20" s="119" t="s">
        <v>144</v>
      </c>
      <c r="K20" s="118" t="s">
        <v>95</v>
      </c>
      <c r="L20" s="118" t="s">
        <v>160</v>
      </c>
      <c r="M20" s="118" t="s">
        <v>161</v>
      </c>
    </row>
    <row r="21" spans="1:15" x14ac:dyDescent="0.25">
      <c r="A21" t="s">
        <v>15</v>
      </c>
      <c r="B21" s="2">
        <f>Goals!B23</f>
        <v>334004259</v>
      </c>
      <c r="C21" s="2">
        <f>G21+K21</f>
        <v>2119246.6517783571</v>
      </c>
      <c r="D21" s="3">
        <f>Goals!C23</f>
        <v>7.4999999999999997E-3</v>
      </c>
      <c r="E21" s="3">
        <f t="shared" ref="E21" si="4">IFERROR(C21/B21,0)</f>
        <v>6.3449689477712828E-3</v>
      </c>
      <c r="F21" s="2">
        <f>B21</f>
        <v>334004259</v>
      </c>
      <c r="G21" s="2">
        <f>'Statewide Totals'!C40</f>
        <v>2045907.577528357</v>
      </c>
      <c r="H21" s="3">
        <f>Goals!E23</f>
        <v>5.1000000000000004E-3</v>
      </c>
      <c r="I21" s="3">
        <f t="shared" ref="I21" si="5">IFERROR(G21/F21,0)</f>
        <v>6.125393681067872E-3</v>
      </c>
      <c r="J21" s="2">
        <f>B21</f>
        <v>334004259</v>
      </c>
      <c r="K21" s="2">
        <f>'Performance vs Goals'!K22</f>
        <v>73339.074250000005</v>
      </c>
      <c r="L21" s="3">
        <f>Goals!G23</f>
        <v>2.3999999999999998E-3</v>
      </c>
      <c r="M21" s="3">
        <f t="shared" ref="M21" si="6">IFERROR(K21/J21,0)</f>
        <v>2.1957526670341053E-4</v>
      </c>
      <c r="N21" t="s">
        <v>3</v>
      </c>
      <c r="O21">
        <v>3</v>
      </c>
    </row>
    <row r="22" spans="1:15" x14ac:dyDescent="0.25">
      <c r="A22" t="s">
        <v>12</v>
      </c>
      <c r="B22" s="2">
        <f>Goals!B22</f>
        <v>67337153</v>
      </c>
      <c r="C22" s="2">
        <f>G22+K22</f>
        <v>533783.46123000002</v>
      </c>
      <c r="D22" s="3">
        <f>Goals!C22</f>
        <v>7.4999999999999997E-3</v>
      </c>
      <c r="E22" s="3">
        <f>IFERROR(C22/B22,0)</f>
        <v>7.9270274647637688E-3</v>
      </c>
      <c r="F22" s="2">
        <f>B22</f>
        <v>67337153</v>
      </c>
      <c r="G22" s="2">
        <f>'Statewide Totals'!C39</f>
        <v>512005.55229999998</v>
      </c>
      <c r="H22" s="3">
        <f>Goals!E22</f>
        <v>5.1000000000000004E-3</v>
      </c>
      <c r="I22" s="3">
        <f>IFERROR(G22/F22,0)</f>
        <v>7.6036115203741983E-3</v>
      </c>
      <c r="J22" s="2">
        <f>B22</f>
        <v>67337153</v>
      </c>
      <c r="K22" s="2">
        <f>'Performance vs Goals'!K23</f>
        <v>21777.908930000001</v>
      </c>
      <c r="L22" s="3">
        <f>Goals!G22</f>
        <v>2.3999999999999998E-3</v>
      </c>
      <c r="M22" s="3">
        <f>IFERROR(K22/J22,0)</f>
        <v>3.2341594438957053E-4</v>
      </c>
      <c r="N22" t="s">
        <v>3</v>
      </c>
      <c r="O22">
        <v>3</v>
      </c>
    </row>
    <row r="23" spans="1:15" x14ac:dyDescent="0.25">
      <c r="A23" t="s">
        <v>6</v>
      </c>
      <c r="B23" s="2">
        <f>Goals!B24</f>
        <v>50906112</v>
      </c>
      <c r="C23" s="2">
        <f>G23+K23</f>
        <v>321943.38383287966</v>
      </c>
      <c r="D23" s="3">
        <f>Goals!C24</f>
        <v>7.4999999999999997E-3</v>
      </c>
      <c r="E23" s="3">
        <f>IFERROR(C23/B23,0)</f>
        <v>6.3242579561542563E-3</v>
      </c>
      <c r="F23" s="2">
        <f>B23</f>
        <v>50906112</v>
      </c>
      <c r="G23" s="2">
        <f>'Statewide Totals'!C42</f>
        <v>303457.13996287965</v>
      </c>
      <c r="H23" s="3">
        <f>Goals!E24</f>
        <v>5.1000000000000004E-3</v>
      </c>
      <c r="I23" s="3">
        <f>IFERROR(G23/F23,0)</f>
        <v>5.9611140596021088E-3</v>
      </c>
      <c r="J23" s="2">
        <f>B23</f>
        <v>50906112</v>
      </c>
      <c r="K23" s="2">
        <f>'Performance vs Goals'!K24</f>
        <v>18486.243869999998</v>
      </c>
      <c r="L23" s="3">
        <f>Goals!G24</f>
        <v>2.3999999999999998E-3</v>
      </c>
      <c r="M23" s="3">
        <f>IFERROR(K23/J23,0)</f>
        <v>3.6314389655214678E-4</v>
      </c>
      <c r="N23" t="s">
        <v>3</v>
      </c>
      <c r="O23">
        <v>3</v>
      </c>
    </row>
    <row r="24" spans="1:15" x14ac:dyDescent="0.25">
      <c r="A24" t="s">
        <v>11</v>
      </c>
      <c r="B24" s="2">
        <f>Goals!B21</f>
        <v>49317899</v>
      </c>
      <c r="C24" s="2">
        <f>G24+K24</f>
        <v>301264.31298429833</v>
      </c>
      <c r="D24" s="3">
        <f>Goals!C21</f>
        <v>7.4999999999999997E-3</v>
      </c>
      <c r="E24" s="3">
        <f>IFERROR(C24/B24,0)</f>
        <v>6.1086201783311636E-3</v>
      </c>
      <c r="F24" s="2">
        <f>B24</f>
        <v>49317899</v>
      </c>
      <c r="G24" s="2">
        <f>'Statewide Totals'!C38</f>
        <v>293264.14116429834</v>
      </c>
      <c r="H24" s="3">
        <f>Goals!E21</f>
        <v>5.1000000000000004E-3</v>
      </c>
      <c r="I24" s="3">
        <f>IFERROR(G24/F24,0)</f>
        <v>5.9464037826164971E-3</v>
      </c>
      <c r="J24" s="2">
        <f>B24</f>
        <v>49317899</v>
      </c>
      <c r="K24" s="2">
        <f>'Performance vs Goals'!K25</f>
        <v>8000.1718199999996</v>
      </c>
      <c r="L24" s="3">
        <f>Goals!G21</f>
        <v>2.3999999999999998E-3</v>
      </c>
      <c r="M24" s="3">
        <f>IFERROR(K24/J24,0)</f>
        <v>1.6221639571466741E-4</v>
      </c>
      <c r="N24" t="s">
        <v>3</v>
      </c>
      <c r="O24">
        <v>3</v>
      </c>
    </row>
    <row r="25" spans="1:15" x14ac:dyDescent="0.25">
      <c r="F25" s="2"/>
      <c r="H25" s="3"/>
      <c r="I25" s="4"/>
      <c r="L25" s="3"/>
      <c r="M25" s="4"/>
      <c r="N25" t="s">
        <v>4</v>
      </c>
    </row>
    <row r="26" spans="1:15" x14ac:dyDescent="0.25">
      <c r="A26" t="s">
        <v>2</v>
      </c>
      <c r="B26" s="2">
        <f>SUM(B21:B25)</f>
        <v>501565423</v>
      </c>
      <c r="C26" s="2">
        <f>SUM(C21:C25)</f>
        <v>3276237.8098255354</v>
      </c>
      <c r="D26" s="3">
        <f>Goals!C26</f>
        <v>7.4999999999999989E-3</v>
      </c>
      <c r="E26" s="3">
        <f t="shared" ref="E26" si="7">IFERROR(C26/B26,0)</f>
        <v>6.5320248557595153E-3</v>
      </c>
      <c r="F26" s="2">
        <f>SUM(F21:F25)</f>
        <v>501565423</v>
      </c>
      <c r="G26" s="2">
        <f>SUM(G21:G25)</f>
        <v>3154634.4109555348</v>
      </c>
      <c r="H26" s="3">
        <f>Goals!E26</f>
        <v>5.1000000000000012E-3</v>
      </c>
      <c r="I26" s="3">
        <f t="shared" ref="I26" si="8">IFERROR(G26/F26,0)</f>
        <v>6.2895771245290461E-3</v>
      </c>
      <c r="J26" s="2">
        <f>SUM(J21:J25)</f>
        <v>501565423</v>
      </c>
      <c r="K26" s="2">
        <f>SUM(K21:K25)</f>
        <v>121603.39887000002</v>
      </c>
      <c r="L26" s="3">
        <f>Goals!G26</f>
        <v>2.3999999999999998E-3</v>
      </c>
      <c r="M26" s="3">
        <f t="shared" ref="M26" si="9">IFERROR(K26/J26,0)</f>
        <v>2.4244773123046804E-4</v>
      </c>
      <c r="N26" t="s">
        <v>5</v>
      </c>
    </row>
  </sheetData>
  <mergeCells count="9">
    <mergeCell ref="B16:M16"/>
    <mergeCell ref="B17:E19"/>
    <mergeCell ref="F17:I19"/>
    <mergeCell ref="J17:M19"/>
    <mergeCell ref="A2:M2"/>
    <mergeCell ref="B3:M3"/>
    <mergeCell ref="B4:E6"/>
    <mergeCell ref="F4:I6"/>
    <mergeCell ref="J4:M6"/>
  </mergeCells>
  <conditionalFormatting sqref="A8:C13 E8:G13 I8:K13 M8:M13 A14:M15 I21:K26 M21:M26 A21:B22 B23:B25 A23:A26">
    <cfRule type="expression" dxfId="62" priority="115">
      <formula>IF(AND($N8="C",$O8=2),TRUE,FALSE)</formula>
    </cfRule>
  </conditionalFormatting>
  <conditionalFormatting sqref="A8:C13 E8:G13 I8:K13 M8:M13 A14:M15 I21:K26 M21:M26 A21:C24 A25:B25 A26">
    <cfRule type="expression" dxfId="61" priority="119">
      <formula>IF($N8="SC",TRUE,FALSE)</formula>
    </cfRule>
  </conditionalFormatting>
  <conditionalFormatting sqref="A8:C13 E8:G13 I8:K13 M8:M13 A14:M15 I21:K26 M21:M26">
    <cfRule type="expression" dxfId="60" priority="118">
      <formula>IF(OR($N8="ST",$N8="TL"),TRUE,FALSE)</formula>
    </cfRule>
    <cfRule type="expression" dxfId="59" priority="117">
      <formula>IF(AND($N8&lt;&gt;"",$N8&lt;&gt;"ST"),TRUE,FALSE)</formula>
    </cfRule>
    <cfRule type="expression" dxfId="58" priority="116">
      <formula>IF(AND($N8="C",$O8=3),TRUE,FALSE)</formula>
    </cfRule>
    <cfRule type="expression" dxfId="57" priority="114">
      <formula>IF($N8="ST",TRUE,FALSE)</formula>
    </cfRule>
    <cfRule type="expression" dxfId="56" priority="113">
      <formula>IF($N8="TL",TRUE,FALSE)</formula>
    </cfRule>
  </conditionalFormatting>
  <conditionalFormatting sqref="A21:C25 A27:M358">
    <cfRule type="expression" dxfId="55" priority="90">
      <formula>IF(OR($N21="ST",$N21="TL"),TRUE,FALSE)</formula>
    </cfRule>
    <cfRule type="expression" dxfId="54" priority="89">
      <formula>IF(AND($N21&lt;&gt;"",$N21&lt;&gt;"ST"),TRUE,FALSE)</formula>
    </cfRule>
  </conditionalFormatting>
  <conditionalFormatting sqref="A21:C26 E21:G26">
    <cfRule type="expression" dxfId="53" priority="69">
      <formula>IF(AND($N21="C",$O21=3),TRUE,FALSE)</formula>
    </cfRule>
    <cfRule type="expression" dxfId="52" priority="67">
      <formula>IF($N21="ST",TRUE,FALSE)</formula>
    </cfRule>
    <cfRule type="expression" dxfId="51" priority="66">
      <formula>IF($N21="TL",TRUE,FALSE)</formula>
    </cfRule>
  </conditionalFormatting>
  <conditionalFormatting sqref="A26:D26">
    <cfRule type="expression" dxfId="50" priority="34">
      <formula>IF(OR($N26="ST",$N26="TL"),TRUE,FALSE)</formula>
    </cfRule>
    <cfRule type="expression" dxfId="49" priority="33">
      <formula>IF(AND($N26&lt;&gt;"",$N26&lt;&gt;"ST"),TRUE,FALSE)</formula>
    </cfRule>
  </conditionalFormatting>
  <conditionalFormatting sqref="A27:M358 C21:C25">
    <cfRule type="expression" dxfId="48" priority="87">
      <formula>IF(AND($N21="C",$O21=2),TRUE,FALSE)</formula>
    </cfRule>
  </conditionalFormatting>
  <conditionalFormatting sqref="A27:M358 C25">
    <cfRule type="expression" dxfId="47" priority="91">
      <formula>IF($N25="SC",TRUE,FALSE)</formula>
    </cfRule>
  </conditionalFormatting>
  <conditionalFormatting sqref="A27:M358">
    <cfRule type="expression" dxfId="46" priority="88">
      <formula>IF(AND($N27="C",$O27=3),TRUE,FALSE)</formula>
    </cfRule>
    <cfRule type="expression" dxfId="45" priority="86">
      <formula>IF($N27="ST",TRUE,FALSE)</formula>
    </cfRule>
    <cfRule type="expression" dxfId="44" priority="85">
      <formula>IF($N27="TL",TRUE,FALSE)</formula>
    </cfRule>
  </conditionalFormatting>
  <conditionalFormatting sqref="D13">
    <cfRule type="expression" dxfId="43" priority="40">
      <formula>IF(AND($N13&lt;&gt;"",$N13&lt;&gt;"ST"),TRUE,FALSE)</formula>
    </cfRule>
    <cfRule type="expression" dxfId="42" priority="39">
      <formula>IF(AND($N13="C",$O13=3),TRUE,FALSE)</formula>
    </cfRule>
    <cfRule type="expression" dxfId="41" priority="38">
      <formula>IF(AND($N13="C",$O13=2),TRUE,FALSE)</formula>
    </cfRule>
    <cfRule type="expression" dxfId="40" priority="37">
      <formula>IF($N13="ST",TRUE,FALSE)</formula>
    </cfRule>
    <cfRule type="expression" dxfId="39" priority="36">
      <formula>IF($N13="TL",TRUE,FALSE)</formula>
    </cfRule>
    <cfRule type="expression" dxfId="38" priority="41">
      <formula>IF(OR($N13="ST",$N13="TL"),TRUE,FALSE)</formula>
    </cfRule>
    <cfRule type="expression" dxfId="37" priority="42">
      <formula>IF($N13="SC",TRUE,FALSE)</formula>
    </cfRule>
  </conditionalFormatting>
  <conditionalFormatting sqref="D14:D15 D27">
    <cfRule type="dataBar" priority="9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{06AD4ECC-A502-4FEB-91A8-1E291B4B2573}</x14:id>
        </ext>
      </extLst>
    </cfRule>
  </conditionalFormatting>
  <conditionalFormatting sqref="D26">
    <cfRule type="expression" dxfId="36" priority="31">
      <formula>IF(AND($N26="C",$O26=2),TRUE,FALSE)</formula>
    </cfRule>
    <cfRule type="expression" dxfId="35" priority="30">
      <formula>IF($N26="ST",TRUE,FALSE)</formula>
    </cfRule>
    <cfRule type="expression" dxfId="34" priority="29">
      <formula>IF($N26="TL",TRUE,FALSE)</formula>
    </cfRule>
    <cfRule type="expression" dxfId="33" priority="32">
      <formula>IF(AND($N26="C",$O26=3),TRUE,FALSE)</formula>
    </cfRule>
    <cfRule type="expression" dxfId="32" priority="35">
      <formula>IF($N26="SC",TRUE,FALSE)</formula>
    </cfRule>
  </conditionalFormatting>
  <conditionalFormatting sqref="D28:D358">
    <cfRule type="dataBar" priority="11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{73B8CA48-EAB5-404F-BDA0-B289FC816B7F}</x14:id>
        </ext>
      </extLst>
    </cfRule>
  </conditionalFormatting>
  <conditionalFormatting sqref="E21:G26 B26:C26">
    <cfRule type="expression" dxfId="31" priority="72">
      <formula>IF($N21="SC",TRUE,FALSE)</formula>
    </cfRule>
    <cfRule type="expression" dxfId="30" priority="68">
      <formula>IF(AND($N21="C",$O21=2),TRUE,FALSE)</formula>
    </cfRule>
  </conditionalFormatting>
  <conditionalFormatting sqref="E21:G26">
    <cfRule type="expression" dxfId="29" priority="71">
      <formula>IF(OR($N21="ST",$N21="TL"),TRUE,FALSE)</formula>
    </cfRule>
    <cfRule type="expression" dxfId="28" priority="70">
      <formula>IF(AND($N21&lt;&gt;"",$N21&lt;&gt;"ST"),TRUE,FALSE)</formula>
    </cfRule>
  </conditionalFormatting>
  <conditionalFormatting sqref="H13">
    <cfRule type="expression" dxfId="27" priority="28">
      <formula>IF($N13="SC",TRUE,FALSE)</formula>
    </cfRule>
    <cfRule type="expression" dxfId="26" priority="27">
      <formula>IF(OR($N13="ST",$N13="TL"),TRUE,FALSE)</formula>
    </cfRule>
    <cfRule type="expression" dxfId="25" priority="25">
      <formula>IF(AND($N13="C",$O13=3),TRUE,FALSE)</formula>
    </cfRule>
    <cfRule type="expression" dxfId="24" priority="26">
      <formula>IF(AND($N13&lt;&gt;"",$N13&lt;&gt;"ST"),TRUE,FALSE)</formula>
    </cfRule>
    <cfRule type="expression" dxfId="23" priority="24">
      <formula>IF(AND($N13="C",$O13=2),TRUE,FALSE)</formula>
    </cfRule>
    <cfRule type="expression" dxfId="22" priority="23">
      <formula>IF($N13="ST",TRUE,FALSE)</formula>
    </cfRule>
    <cfRule type="expression" dxfId="21" priority="22">
      <formula>IF($N13="TL",TRUE,FALSE)</formula>
    </cfRule>
  </conditionalFormatting>
  <conditionalFormatting sqref="H26">
    <cfRule type="expression" dxfId="20" priority="21">
      <formula>IF($N26="SC",TRUE,FALSE)</formula>
    </cfRule>
    <cfRule type="expression" dxfId="19" priority="20">
      <formula>IF(OR($N26="ST",$N26="TL"),TRUE,FALSE)</formula>
    </cfRule>
    <cfRule type="expression" dxfId="18" priority="19">
      <formula>IF(AND($N26&lt;&gt;"",$N26&lt;&gt;"ST"),TRUE,FALSE)</formula>
    </cfRule>
    <cfRule type="expression" dxfId="17" priority="18">
      <formula>IF(AND($N26="C",$O26=3),TRUE,FALSE)</formula>
    </cfRule>
    <cfRule type="expression" dxfId="16" priority="16">
      <formula>IF($N26="ST",TRUE,FALSE)</formula>
    </cfRule>
    <cfRule type="expression" dxfId="15" priority="15">
      <formula>IF($N26="TL",TRUE,FALSE)</formula>
    </cfRule>
    <cfRule type="expression" dxfId="14" priority="17">
      <formula>IF(AND($N26="C",$O26=2),TRUE,FALSE)</formula>
    </cfRule>
  </conditionalFormatting>
  <conditionalFormatting sqref="L13">
    <cfRule type="expression" dxfId="13" priority="14">
      <formula>IF($N13="SC",TRUE,FALSE)</formula>
    </cfRule>
    <cfRule type="expression" dxfId="12" priority="9">
      <formula>IF($N13="ST",TRUE,FALSE)</formula>
    </cfRule>
    <cfRule type="expression" dxfId="11" priority="13">
      <formula>IF(OR($N13="ST",$N13="TL"),TRUE,FALSE)</formula>
    </cfRule>
    <cfRule type="expression" dxfId="10" priority="12">
      <formula>IF(AND($N13&lt;&gt;"",$N13&lt;&gt;"ST"),TRUE,FALSE)</formula>
    </cfRule>
    <cfRule type="expression" dxfId="9" priority="11">
      <formula>IF(AND($N13="C",$O13=3),TRUE,FALSE)</formula>
    </cfRule>
    <cfRule type="expression" dxfId="8" priority="10">
      <formula>IF(AND($N13="C",$O13=2),TRUE,FALSE)</formula>
    </cfRule>
    <cfRule type="expression" dxfId="7" priority="8">
      <formula>IF($N13="TL",TRUE,FALSE)</formula>
    </cfRule>
  </conditionalFormatting>
  <conditionalFormatting sqref="L26">
    <cfRule type="expression" dxfId="6" priority="2">
      <formula>IF($N26="ST",TRUE,FALSE)</formula>
    </cfRule>
    <cfRule type="expression" dxfId="5" priority="3">
      <formula>IF(AND($N26="C",$O26=2),TRUE,FALSE)</formula>
    </cfRule>
    <cfRule type="expression" dxfId="4" priority="4">
      <formula>IF(AND($N26="C",$O26=3),TRUE,FALSE)</formula>
    </cfRule>
    <cfRule type="expression" dxfId="3" priority="5">
      <formula>IF(AND($N26&lt;&gt;"",$N26&lt;&gt;"ST"),TRUE,FALSE)</formula>
    </cfRule>
    <cfRule type="expression" dxfId="2" priority="6">
      <formula>IF(OR($N26="ST",$N26="TL"),TRUE,FALSE)</formula>
    </cfRule>
    <cfRule type="expression" dxfId="1" priority="1">
      <formula>IF($N26="TL",TRUE,FALSE)</formula>
    </cfRule>
    <cfRule type="expression" dxfId="0" priority="7">
      <formula>IF($N26="SC",TRUE,FALSE)</formula>
    </cfRule>
  </conditionalFormatting>
  <pageMargins left="0.7" right="0.7" top="0.75" bottom="0.75" header="0.3" footer="0.3"/>
  <pageSetup scale="61" orientation="landscape" horizontalDpi="4294967293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AD4ECC-A502-4FEB-91A8-1E291B4B257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D14:D15 D27</xm:sqref>
        </x14:conditionalFormatting>
        <x14:conditionalFormatting xmlns:xm="http://schemas.microsoft.com/office/excel/2006/main">
          <x14:cfRule type="dataBar" id="{73B8CA48-EAB5-404F-BDA0-B289FC816B7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D28:D358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556D-9255-4A7F-AB96-6B18119CA82B}">
  <dimension ref="A1:O31"/>
  <sheetViews>
    <sheetView workbookViewId="0">
      <selection activeCell="N13" sqref="N13"/>
    </sheetView>
  </sheetViews>
  <sheetFormatPr defaultRowHeight="15" x14ac:dyDescent="0.25"/>
  <sheetData>
    <row r="1" spans="1:15" ht="21.75" thickBot="1" x14ac:dyDescent="0.4">
      <c r="A1" s="218" t="s">
        <v>172</v>
      </c>
    </row>
    <row r="2" spans="1:15" x14ac:dyDescent="0.25">
      <c r="D2" s="316" t="s">
        <v>173</v>
      </c>
      <c r="E2" s="317"/>
      <c r="F2" s="318"/>
      <c r="G2" s="319" t="s">
        <v>174</v>
      </c>
      <c r="H2" s="317"/>
      <c r="I2" s="318"/>
      <c r="J2" s="319" t="s">
        <v>175</v>
      </c>
      <c r="K2" s="317"/>
      <c r="L2" s="318"/>
      <c r="M2" s="319" t="s">
        <v>176</v>
      </c>
      <c r="N2" s="317"/>
      <c r="O2" s="320"/>
    </row>
    <row r="3" spans="1:15" ht="15.75" thickBot="1" x14ac:dyDescent="0.3">
      <c r="D3" s="219" t="s">
        <v>177</v>
      </c>
      <c r="E3" s="220" t="s">
        <v>178</v>
      </c>
      <c r="F3" s="220" t="s">
        <v>179</v>
      </c>
      <c r="G3" s="221" t="s">
        <v>177</v>
      </c>
      <c r="H3" s="220" t="s">
        <v>178</v>
      </c>
      <c r="I3" s="222" t="s">
        <v>179</v>
      </c>
      <c r="J3" s="220" t="s">
        <v>177</v>
      </c>
      <c r="K3" s="220" t="s">
        <v>178</v>
      </c>
      <c r="L3" s="220" t="s">
        <v>179</v>
      </c>
      <c r="M3" s="221" t="s">
        <v>177</v>
      </c>
      <c r="N3" s="220" t="s">
        <v>178</v>
      </c>
      <c r="O3" s="223" t="s">
        <v>179</v>
      </c>
    </row>
    <row r="4" spans="1:15" x14ac:dyDescent="0.25">
      <c r="B4" s="224" t="s">
        <v>7</v>
      </c>
      <c r="C4" s="225" t="s">
        <v>180</v>
      </c>
      <c r="D4" s="226"/>
      <c r="F4" s="112"/>
      <c r="G4" s="226"/>
      <c r="I4" s="112"/>
      <c r="J4" s="226"/>
      <c r="L4" s="112"/>
      <c r="M4" s="226"/>
      <c r="O4" s="227"/>
    </row>
    <row r="5" spans="1:15" x14ac:dyDescent="0.25">
      <c r="B5" s="228"/>
      <c r="C5" s="229" t="s">
        <v>90</v>
      </c>
      <c r="D5" s="230"/>
      <c r="E5" s="229"/>
      <c r="F5" s="231"/>
      <c r="G5" s="230"/>
      <c r="H5" s="229"/>
      <c r="I5" s="231"/>
      <c r="J5" s="230"/>
      <c r="K5" s="229"/>
      <c r="L5" s="231"/>
      <c r="M5" s="230"/>
      <c r="N5" s="229"/>
      <c r="O5" s="232"/>
    </row>
    <row r="6" spans="1:15" x14ac:dyDescent="0.25">
      <c r="B6" s="228"/>
      <c r="C6" t="s">
        <v>181</v>
      </c>
      <c r="D6" s="226"/>
      <c r="F6" s="112"/>
      <c r="G6" s="226"/>
      <c r="I6" s="112"/>
      <c r="J6" s="226"/>
      <c r="L6" s="112"/>
      <c r="M6" s="226"/>
      <c r="O6" s="227"/>
    </row>
    <row r="7" spans="1:15" ht="15.75" thickBot="1" x14ac:dyDescent="0.3">
      <c r="B7" s="219"/>
      <c r="C7" s="220" t="s">
        <v>182</v>
      </c>
      <c r="D7" s="221"/>
      <c r="E7" s="220"/>
      <c r="F7" s="222"/>
      <c r="G7" s="221"/>
      <c r="H7" s="220"/>
      <c r="I7" s="222"/>
      <c r="J7" s="221"/>
      <c r="K7" s="220"/>
      <c r="L7" s="222"/>
      <c r="M7" s="221"/>
      <c r="N7" s="220"/>
      <c r="O7" s="223"/>
    </row>
    <row r="8" spans="1:15" x14ac:dyDescent="0.25">
      <c r="B8" s="224" t="s">
        <v>11</v>
      </c>
      <c r="C8" s="225" t="s">
        <v>180</v>
      </c>
      <c r="D8" s="233"/>
      <c r="E8" s="225"/>
      <c r="F8" s="234"/>
      <c r="G8" s="233"/>
      <c r="H8" s="225"/>
      <c r="I8" s="234"/>
      <c r="J8" s="233"/>
      <c r="K8" s="225"/>
      <c r="L8" s="234"/>
      <c r="M8" s="233"/>
      <c r="N8" s="225"/>
      <c r="O8" s="235"/>
    </row>
    <row r="9" spans="1:15" x14ac:dyDescent="0.25">
      <c r="B9" s="228"/>
      <c r="C9" s="229" t="s">
        <v>90</v>
      </c>
      <c r="D9" s="230"/>
      <c r="E9" s="229"/>
      <c r="F9" s="231"/>
      <c r="G9" s="230"/>
      <c r="H9" s="229"/>
      <c r="I9" s="231"/>
      <c r="J9" s="230"/>
      <c r="K9" s="229"/>
      <c r="L9" s="231"/>
      <c r="M9" s="230"/>
      <c r="N9" s="229"/>
      <c r="O9" s="232"/>
    </row>
    <row r="10" spans="1:15" x14ac:dyDescent="0.25">
      <c r="B10" s="228"/>
      <c r="C10" t="s">
        <v>181</v>
      </c>
      <c r="D10" s="226"/>
      <c r="F10" s="112"/>
      <c r="G10" s="226"/>
      <c r="I10" s="112"/>
      <c r="J10" s="226"/>
      <c r="L10" s="112"/>
      <c r="M10" s="226"/>
      <c r="O10" s="227"/>
    </row>
    <row r="11" spans="1:15" ht="15.75" thickBot="1" x14ac:dyDescent="0.3">
      <c r="B11" s="219"/>
      <c r="C11" s="220" t="s">
        <v>182</v>
      </c>
      <c r="D11" s="221"/>
      <c r="E11" s="220"/>
      <c r="F11" s="222"/>
      <c r="G11" s="221"/>
      <c r="H11" s="220"/>
      <c r="I11" s="222"/>
      <c r="J11" s="221"/>
      <c r="K11" s="220"/>
      <c r="L11" s="222"/>
      <c r="M11" s="221"/>
      <c r="N11" s="220"/>
      <c r="O11" s="223"/>
    </row>
    <row r="12" spans="1:15" x14ac:dyDescent="0.25">
      <c r="B12" s="228" t="s">
        <v>18</v>
      </c>
      <c r="C12" t="s">
        <v>180</v>
      </c>
      <c r="D12" s="226"/>
      <c r="F12" s="112"/>
      <c r="G12" s="226"/>
      <c r="I12" s="112"/>
      <c r="J12" s="226"/>
      <c r="L12" s="112"/>
      <c r="M12" s="226"/>
      <c r="O12" s="227"/>
    </row>
    <row r="13" spans="1:15" x14ac:dyDescent="0.25">
      <c r="B13" s="228"/>
      <c r="C13" s="229" t="s">
        <v>90</v>
      </c>
      <c r="D13" s="230"/>
      <c r="E13" s="229"/>
      <c r="F13" s="231"/>
      <c r="G13" s="230"/>
      <c r="H13" s="229"/>
      <c r="I13" s="231"/>
      <c r="J13" s="230"/>
      <c r="K13" s="229"/>
      <c r="L13" s="231"/>
      <c r="M13" s="230"/>
      <c r="N13" s="229"/>
      <c r="O13" s="232"/>
    </row>
    <row r="14" spans="1:15" x14ac:dyDescent="0.25">
      <c r="B14" s="228"/>
      <c r="C14" t="s">
        <v>181</v>
      </c>
      <c r="D14" s="226"/>
      <c r="F14" s="112"/>
      <c r="G14" s="226"/>
      <c r="I14" s="112"/>
      <c r="J14" s="226"/>
      <c r="L14" s="112"/>
      <c r="M14" s="226"/>
      <c r="O14" s="227"/>
    </row>
    <row r="15" spans="1:15" ht="15.75" thickBot="1" x14ac:dyDescent="0.3">
      <c r="B15" s="219"/>
      <c r="C15" s="220" t="s">
        <v>182</v>
      </c>
      <c r="D15" s="221"/>
      <c r="E15" s="220"/>
      <c r="F15" s="222"/>
      <c r="G15" s="221"/>
      <c r="H15" s="220"/>
      <c r="I15" s="222"/>
      <c r="J15" s="221"/>
      <c r="K15" s="220"/>
      <c r="L15" s="222"/>
      <c r="M15" s="221"/>
      <c r="N15" s="220"/>
      <c r="O15" s="223"/>
    </row>
    <row r="16" spans="1:15" x14ac:dyDescent="0.25">
      <c r="B16" s="228" t="s">
        <v>12</v>
      </c>
      <c r="C16" s="225" t="s">
        <v>180</v>
      </c>
      <c r="D16" s="233"/>
      <c r="E16" s="225"/>
      <c r="F16" s="234"/>
      <c r="G16" s="233"/>
      <c r="H16" s="225"/>
      <c r="I16" s="234"/>
      <c r="J16" s="233"/>
      <c r="K16" s="225"/>
      <c r="L16" s="234"/>
      <c r="M16" s="233"/>
      <c r="N16" s="225"/>
      <c r="O16" s="235"/>
    </row>
    <row r="17" spans="2:15" x14ac:dyDescent="0.25">
      <c r="B17" s="228"/>
      <c r="C17" s="229" t="s">
        <v>90</v>
      </c>
      <c r="D17" s="230"/>
      <c r="E17" s="229"/>
      <c r="F17" s="231"/>
      <c r="G17" s="230"/>
      <c r="H17" s="229"/>
      <c r="I17" s="231"/>
      <c r="J17" s="230"/>
      <c r="K17" s="229"/>
      <c r="L17" s="231"/>
      <c r="M17" s="230"/>
      <c r="N17" s="229"/>
      <c r="O17" s="232"/>
    </row>
    <row r="18" spans="2:15" x14ac:dyDescent="0.25">
      <c r="B18" s="228"/>
      <c r="C18" t="s">
        <v>181</v>
      </c>
      <c r="D18" s="226"/>
      <c r="F18" s="112"/>
      <c r="G18" s="226"/>
      <c r="I18" s="112"/>
      <c r="J18" s="226"/>
      <c r="L18" s="112"/>
      <c r="M18" s="226"/>
      <c r="O18" s="227"/>
    </row>
    <row r="19" spans="2:15" ht="15.75" thickBot="1" x14ac:dyDescent="0.3">
      <c r="B19" s="219"/>
      <c r="C19" s="220" t="s">
        <v>182</v>
      </c>
      <c r="D19" s="221"/>
      <c r="E19" s="220"/>
      <c r="F19" s="222"/>
      <c r="G19" s="221"/>
      <c r="H19" s="220"/>
      <c r="I19" s="222"/>
      <c r="J19" s="221"/>
      <c r="K19" s="220"/>
      <c r="L19" s="222"/>
      <c r="M19" s="221"/>
      <c r="N19" s="220"/>
      <c r="O19" s="223"/>
    </row>
    <row r="20" spans="2:15" x14ac:dyDescent="0.25">
      <c r="B20" s="228" t="s">
        <v>20</v>
      </c>
      <c r="C20" s="225" t="s">
        <v>180</v>
      </c>
      <c r="D20" s="233"/>
      <c r="E20" s="225"/>
      <c r="F20" s="234"/>
      <c r="G20" s="233"/>
      <c r="H20" s="225"/>
      <c r="I20" s="234"/>
      <c r="J20" s="233"/>
      <c r="K20" s="225"/>
      <c r="L20" s="234"/>
      <c r="M20" s="233"/>
      <c r="N20" s="225"/>
      <c r="O20" s="235"/>
    </row>
    <row r="21" spans="2:15" x14ac:dyDescent="0.25">
      <c r="B21" s="228"/>
      <c r="C21" s="229" t="s">
        <v>90</v>
      </c>
      <c r="D21" s="230"/>
      <c r="E21" s="229"/>
      <c r="F21" s="231"/>
      <c r="G21" s="230"/>
      <c r="H21" s="229"/>
      <c r="I21" s="231"/>
      <c r="J21" s="230"/>
      <c r="K21" s="229"/>
      <c r="L21" s="231"/>
      <c r="M21" s="230"/>
      <c r="N21" s="229"/>
      <c r="O21" s="232"/>
    </row>
    <row r="22" spans="2:15" x14ac:dyDescent="0.25">
      <c r="B22" s="228"/>
      <c r="C22" t="s">
        <v>181</v>
      </c>
      <c r="D22" s="226"/>
      <c r="F22" s="112"/>
      <c r="G22" s="226"/>
      <c r="I22" s="112"/>
      <c r="J22" s="226"/>
      <c r="L22" s="112"/>
      <c r="M22" s="226"/>
      <c r="O22" s="227"/>
    </row>
    <row r="23" spans="2:15" ht="15.75" thickBot="1" x14ac:dyDescent="0.3">
      <c r="B23" s="219"/>
      <c r="C23" s="220" t="s">
        <v>182</v>
      </c>
      <c r="D23" s="221"/>
      <c r="E23" s="220"/>
      <c r="F23" s="222"/>
      <c r="G23" s="221"/>
      <c r="H23" s="220"/>
      <c r="I23" s="222"/>
      <c r="J23" s="221"/>
      <c r="K23" s="220"/>
      <c r="L23" s="222"/>
      <c r="M23" s="221"/>
      <c r="N23" s="220"/>
      <c r="O23" s="223"/>
    </row>
    <row r="24" spans="2:15" x14ac:dyDescent="0.25">
      <c r="B24" s="228" t="s">
        <v>19</v>
      </c>
      <c r="C24" s="225" t="s">
        <v>180</v>
      </c>
      <c r="D24" s="233"/>
      <c r="E24" s="225"/>
      <c r="F24" s="234"/>
      <c r="G24" s="233"/>
      <c r="H24" s="225"/>
      <c r="I24" s="234"/>
      <c r="J24" s="233"/>
      <c r="K24" s="225"/>
      <c r="L24" s="234"/>
      <c r="M24" s="233"/>
      <c r="N24" s="225"/>
      <c r="O24" s="235"/>
    </row>
    <row r="25" spans="2:15" x14ac:dyDescent="0.25">
      <c r="B25" s="228"/>
      <c r="C25" s="229" t="s">
        <v>90</v>
      </c>
      <c r="D25" s="230"/>
      <c r="E25" s="229"/>
      <c r="F25" s="231"/>
      <c r="G25" s="230"/>
      <c r="H25" s="229"/>
      <c r="I25" s="231"/>
      <c r="J25" s="230"/>
      <c r="K25" s="229"/>
      <c r="L25" s="231"/>
      <c r="M25" s="230"/>
      <c r="N25" s="229"/>
      <c r="O25" s="232"/>
    </row>
    <row r="26" spans="2:15" x14ac:dyDescent="0.25">
      <c r="B26" s="228"/>
      <c r="C26" t="s">
        <v>181</v>
      </c>
      <c r="D26" s="226"/>
      <c r="F26" s="112"/>
      <c r="G26" s="226"/>
      <c r="I26" s="112"/>
      <c r="J26" s="226"/>
      <c r="L26" s="112"/>
      <c r="M26" s="226"/>
      <c r="O26" s="227"/>
    </row>
    <row r="27" spans="2:15" ht="15.75" thickBot="1" x14ac:dyDescent="0.3">
      <c r="B27" s="219"/>
      <c r="C27" s="220" t="s">
        <v>182</v>
      </c>
      <c r="D27" s="221"/>
      <c r="E27" s="220"/>
      <c r="F27" s="222"/>
      <c r="G27" s="221"/>
      <c r="H27" s="220"/>
      <c r="I27" s="222"/>
      <c r="J27" s="221"/>
      <c r="K27" s="220"/>
      <c r="L27" s="222"/>
      <c r="M27" s="221"/>
      <c r="N27" s="220"/>
      <c r="O27" s="223"/>
    </row>
    <row r="28" spans="2:15" x14ac:dyDescent="0.25">
      <c r="B28" s="228" t="s">
        <v>183</v>
      </c>
      <c r="C28" s="225" t="s">
        <v>180</v>
      </c>
      <c r="D28" s="233"/>
      <c r="E28" s="225"/>
      <c r="F28" s="234"/>
      <c r="G28" s="233"/>
      <c r="H28" s="225"/>
      <c r="I28" s="234"/>
      <c r="J28" s="233"/>
      <c r="K28" s="225"/>
      <c r="L28" s="234"/>
      <c r="M28" s="233"/>
      <c r="N28" s="225"/>
      <c r="O28" s="235"/>
    </row>
    <row r="29" spans="2:15" x14ac:dyDescent="0.25">
      <c r="B29" s="228"/>
      <c r="C29" s="229" t="s">
        <v>90</v>
      </c>
      <c r="D29" s="230"/>
      <c r="E29" s="229"/>
      <c r="F29" s="231"/>
      <c r="G29" s="230"/>
      <c r="H29" s="229"/>
      <c r="I29" s="231"/>
      <c r="J29" s="230"/>
      <c r="K29" s="229"/>
      <c r="L29" s="231"/>
      <c r="M29" s="230"/>
      <c r="N29" s="229"/>
      <c r="O29" s="232"/>
    </row>
    <row r="30" spans="2:15" x14ac:dyDescent="0.25">
      <c r="B30" s="228"/>
      <c r="C30" t="s">
        <v>181</v>
      </c>
      <c r="D30" s="226"/>
      <c r="F30" s="112"/>
      <c r="G30" s="226"/>
      <c r="I30" s="112"/>
      <c r="J30" s="226"/>
      <c r="L30" s="112"/>
      <c r="M30" s="226"/>
      <c r="O30" s="227"/>
    </row>
    <row r="31" spans="2:15" ht="15.75" thickBot="1" x14ac:dyDescent="0.3">
      <c r="B31" s="219"/>
      <c r="C31" s="220" t="s">
        <v>182</v>
      </c>
      <c r="D31" s="221"/>
      <c r="E31" s="220"/>
      <c r="F31" s="222"/>
      <c r="G31" s="221"/>
      <c r="H31" s="220"/>
      <c r="I31" s="222"/>
      <c r="J31" s="221"/>
      <c r="K31" s="220"/>
      <c r="L31" s="222"/>
      <c r="M31" s="221"/>
      <c r="N31" s="220"/>
      <c r="O31" s="223"/>
    </row>
  </sheetData>
  <mergeCells count="4">
    <mergeCell ref="D2:F2"/>
    <mergeCell ref="G2:I2"/>
    <mergeCell ref="J2:L2"/>
    <mergeCell ref="M2:O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  <pageSetUpPr fitToPage="1"/>
  </sheetPr>
  <dimension ref="A1:AC42"/>
  <sheetViews>
    <sheetView showGridLines="0" zoomScale="90" zoomScaleNormal="90" zoomScaleSheetLayoutView="100" workbookViewId="0"/>
  </sheetViews>
  <sheetFormatPr defaultColWidth="9.42578125" defaultRowHeight="15" x14ac:dyDescent="0.25"/>
  <cols>
    <col min="1" max="1" width="22.140625" customWidth="1"/>
    <col min="2" max="2" width="35" customWidth="1"/>
    <col min="3" max="3" width="20.85546875" customWidth="1"/>
    <col min="4" max="4" width="19.140625" customWidth="1"/>
    <col min="5" max="5" width="19" customWidth="1"/>
    <col min="6" max="6" width="17" style="74" customWidth="1"/>
    <col min="7" max="7" width="17.42578125" style="75" customWidth="1"/>
    <col min="8" max="8" width="14.5703125" customWidth="1"/>
    <col min="9" max="9" width="16.42578125" customWidth="1"/>
    <col min="10" max="10" width="16.42578125" style="76" customWidth="1"/>
    <col min="11" max="12" width="16.42578125" customWidth="1"/>
    <col min="13" max="14" width="15.5703125" style="74" customWidth="1"/>
    <col min="15" max="15" width="13.5703125" customWidth="1"/>
    <col min="19" max="19" width="9.42578125" customWidth="1"/>
  </cols>
  <sheetData>
    <row r="1" spans="1:14" x14ac:dyDescent="0.25">
      <c r="A1" s="8" t="s">
        <v>96</v>
      </c>
      <c r="F1" s="12"/>
      <c r="G1" s="13"/>
      <c r="J1" s="17"/>
      <c r="M1" s="16"/>
      <c r="N1" s="16"/>
    </row>
    <row r="2" spans="1:14" ht="4.3499999999999996" customHeight="1" thickBot="1" x14ac:dyDescent="0.3">
      <c r="A2" s="8"/>
      <c r="F2" s="77"/>
      <c r="G2" s="78"/>
      <c r="J2" s="17"/>
      <c r="M2" s="16"/>
      <c r="N2" s="16"/>
    </row>
    <row r="3" spans="1:14" ht="15.75" thickBot="1" x14ac:dyDescent="0.3">
      <c r="A3" s="79" t="s">
        <v>129</v>
      </c>
      <c r="B3" s="105"/>
      <c r="F3" s="12"/>
      <c r="G3" s="13"/>
      <c r="J3" s="17"/>
      <c r="M3" s="16"/>
      <c r="N3" s="16"/>
    </row>
    <row r="4" spans="1:14" ht="4.3499999999999996" customHeight="1" thickBot="1" x14ac:dyDescent="0.3">
      <c r="A4" s="79"/>
      <c r="B4" s="80"/>
      <c r="F4" s="77"/>
      <c r="G4" s="78"/>
      <c r="J4" s="17"/>
      <c r="M4" s="16"/>
      <c r="N4" s="16"/>
    </row>
    <row r="5" spans="1:14" ht="15.75" thickBot="1" x14ac:dyDescent="0.3">
      <c r="A5" s="79" t="s">
        <v>131</v>
      </c>
      <c r="B5" s="106" t="s">
        <v>130</v>
      </c>
      <c r="C5" s="8"/>
      <c r="F5" s="12"/>
      <c r="G5" s="14"/>
      <c r="J5" s="18"/>
      <c r="M5" s="16"/>
      <c r="N5" s="16"/>
    </row>
    <row r="6" spans="1:14" ht="4.3499999999999996" customHeight="1" x14ac:dyDescent="0.25">
      <c r="A6" s="8"/>
      <c r="F6" s="77"/>
      <c r="G6" s="78"/>
      <c r="J6" s="17"/>
      <c r="M6" s="16"/>
      <c r="N6" s="16"/>
    </row>
    <row r="7" spans="1:14" ht="29.1" customHeight="1" x14ac:dyDescent="0.25">
      <c r="A7" s="81"/>
      <c r="B7" s="81"/>
      <c r="C7" s="82" t="s">
        <v>94</v>
      </c>
      <c r="D7" s="82" t="s">
        <v>8</v>
      </c>
      <c r="E7" s="321" t="s">
        <v>95</v>
      </c>
      <c r="F7" s="321"/>
      <c r="G7" s="321"/>
      <c r="H7" s="83"/>
      <c r="J7"/>
      <c r="M7"/>
      <c r="N7"/>
    </row>
    <row r="8" spans="1:14" ht="45" x14ac:dyDescent="0.25">
      <c r="A8" s="81"/>
      <c r="B8" s="81"/>
      <c r="C8" s="97" t="s">
        <v>93</v>
      </c>
      <c r="D8" s="97" t="s">
        <v>92</v>
      </c>
      <c r="E8" s="98" t="s">
        <v>91</v>
      </c>
      <c r="F8" s="108" t="s">
        <v>134</v>
      </c>
      <c r="G8" s="109" t="s">
        <v>135</v>
      </c>
      <c r="J8"/>
      <c r="M8"/>
      <c r="N8"/>
    </row>
    <row r="9" spans="1:14" ht="17.25" x14ac:dyDescent="0.25">
      <c r="A9" s="96" t="s">
        <v>90</v>
      </c>
      <c r="B9" s="96" t="s">
        <v>89</v>
      </c>
      <c r="C9" s="8"/>
      <c r="D9" s="91"/>
      <c r="E9" s="91"/>
      <c r="F9" s="15"/>
      <c r="G9"/>
      <c r="J9"/>
      <c r="M9"/>
      <c r="N9"/>
    </row>
    <row r="10" spans="1:14" x14ac:dyDescent="0.25">
      <c r="A10" s="323" t="s">
        <v>88</v>
      </c>
      <c r="B10" s="93" t="s">
        <v>55</v>
      </c>
      <c r="C10" s="84"/>
      <c r="D10" s="100"/>
      <c r="E10" s="86"/>
      <c r="F10" s="86"/>
      <c r="G10" s="86"/>
      <c r="J10"/>
      <c r="M10"/>
      <c r="N10"/>
    </row>
    <row r="11" spans="1:14" x14ac:dyDescent="0.25">
      <c r="A11" s="323"/>
      <c r="B11" s="94" t="s">
        <v>87</v>
      </c>
      <c r="C11" s="84"/>
      <c r="D11" s="100"/>
      <c r="E11" s="86"/>
      <c r="F11" s="86"/>
      <c r="G11" s="86"/>
      <c r="J11"/>
      <c r="M11"/>
      <c r="N11"/>
    </row>
    <row r="12" spans="1:14" x14ac:dyDescent="0.25">
      <c r="A12" s="323"/>
      <c r="B12" s="89" t="s">
        <v>86</v>
      </c>
      <c r="C12" s="84"/>
      <c r="D12" s="100"/>
      <c r="E12" s="86"/>
      <c r="F12" s="86"/>
      <c r="G12" s="86"/>
      <c r="J12"/>
      <c r="M12"/>
      <c r="N12"/>
    </row>
    <row r="13" spans="1:14" x14ac:dyDescent="0.25">
      <c r="A13" s="323"/>
      <c r="B13" s="103" t="s">
        <v>85</v>
      </c>
      <c r="C13" s="103">
        <f>SUM(C10:C12)</f>
        <v>0</v>
      </c>
      <c r="D13" s="104">
        <f>SUM(D10:D12)</f>
        <v>0</v>
      </c>
      <c r="E13" s="103">
        <f>SUM(E10:E12)</f>
        <v>0</v>
      </c>
      <c r="F13" s="103">
        <f t="shared" ref="F13:G13" si="0">SUM(F10:F12)</f>
        <v>0</v>
      </c>
      <c r="G13" s="103">
        <f t="shared" si="0"/>
        <v>0</v>
      </c>
      <c r="J13"/>
      <c r="M13"/>
      <c r="N13"/>
    </row>
    <row r="14" spans="1:14" ht="4.3499999999999996" customHeight="1" x14ac:dyDescent="0.25">
      <c r="A14" s="8"/>
      <c r="F14"/>
      <c r="G14"/>
      <c r="J14" s="17"/>
      <c r="M14" s="16"/>
      <c r="N14" s="16"/>
    </row>
    <row r="15" spans="1:14" ht="14.45" customHeight="1" x14ac:dyDescent="0.25">
      <c r="A15" s="322" t="s">
        <v>56</v>
      </c>
      <c r="B15" s="93" t="s">
        <v>84</v>
      </c>
      <c r="C15" s="84"/>
      <c r="D15" s="85"/>
      <c r="E15" s="86"/>
      <c r="F15" s="86"/>
      <c r="G15" s="86"/>
      <c r="J15"/>
      <c r="M15"/>
      <c r="N15"/>
    </row>
    <row r="16" spans="1:14" ht="14.45" customHeight="1" x14ac:dyDescent="0.25">
      <c r="A16" s="322"/>
      <c r="B16" s="93" t="s">
        <v>61</v>
      </c>
      <c r="C16" s="84"/>
      <c r="D16" s="85"/>
      <c r="E16" s="86"/>
      <c r="F16" s="86"/>
      <c r="G16" s="86"/>
      <c r="J16"/>
      <c r="M16"/>
      <c r="N16"/>
    </row>
    <row r="17" spans="1:21" ht="14.45" customHeight="1" x14ac:dyDescent="0.25">
      <c r="A17" s="322"/>
      <c r="B17" s="93" t="s">
        <v>62</v>
      </c>
      <c r="C17" s="84"/>
      <c r="D17" s="85"/>
      <c r="E17" s="86"/>
      <c r="F17" s="86"/>
      <c r="G17" s="86"/>
      <c r="J17"/>
      <c r="M17"/>
      <c r="N17"/>
    </row>
    <row r="18" spans="1:21" ht="33" customHeight="1" x14ac:dyDescent="0.25">
      <c r="A18" s="93" t="s">
        <v>83</v>
      </c>
      <c r="B18" s="93" t="s">
        <v>63</v>
      </c>
      <c r="C18" s="84"/>
      <c r="D18" s="85"/>
      <c r="E18" s="87"/>
      <c r="F18" s="87"/>
      <c r="G18" s="87"/>
      <c r="J18"/>
      <c r="M18"/>
      <c r="N18"/>
    </row>
    <row r="19" spans="1:21" x14ac:dyDescent="0.25">
      <c r="A19" s="324" t="s">
        <v>82</v>
      </c>
      <c r="B19" s="324"/>
      <c r="C19" s="92">
        <f>SUM(C15:C18)+C13</f>
        <v>0</v>
      </c>
      <c r="D19" s="101">
        <f>SUM(D15:D18)+D13</f>
        <v>0</v>
      </c>
      <c r="E19" s="92">
        <f>SUM(E15:E18)+E13</f>
        <v>0</v>
      </c>
      <c r="F19" s="92">
        <f t="shared" ref="F19:G19" si="1">SUM(F15:F18)+F13</f>
        <v>0</v>
      </c>
      <c r="G19" s="92">
        <f t="shared" si="1"/>
        <v>0</v>
      </c>
      <c r="J19"/>
      <c r="M19"/>
      <c r="N19"/>
    </row>
    <row r="20" spans="1:21" ht="4.3499999999999996" customHeight="1" x14ac:dyDescent="0.25">
      <c r="A20" s="8"/>
      <c r="F20"/>
      <c r="G20"/>
      <c r="J20" s="17"/>
      <c r="M20" s="16"/>
      <c r="N20" s="16"/>
    </row>
    <row r="21" spans="1:21" x14ac:dyDescent="0.25">
      <c r="A21" s="96" t="s">
        <v>81</v>
      </c>
      <c r="B21" s="96" t="s">
        <v>80</v>
      </c>
      <c r="C21" s="8"/>
      <c r="D21" s="91"/>
      <c r="E21" s="91"/>
      <c r="F21" s="91"/>
      <c r="G21" s="91"/>
      <c r="J21"/>
      <c r="M21"/>
      <c r="N21"/>
    </row>
    <row r="22" spans="1:21" x14ac:dyDescent="0.25">
      <c r="A22" s="93" t="s">
        <v>79</v>
      </c>
      <c r="B22" s="93" t="s">
        <v>78</v>
      </c>
      <c r="C22" s="84"/>
      <c r="D22" s="85"/>
      <c r="E22" s="86"/>
      <c r="F22" s="86"/>
      <c r="G22" s="86"/>
      <c r="J22"/>
      <c r="M22"/>
      <c r="N22"/>
    </row>
    <row r="23" spans="1:21" x14ac:dyDescent="0.25">
      <c r="A23" s="322" t="s">
        <v>58</v>
      </c>
      <c r="B23" s="93" t="s">
        <v>74</v>
      </c>
      <c r="C23" s="84"/>
      <c r="D23" s="85"/>
      <c r="E23" s="86"/>
      <c r="F23" s="86"/>
      <c r="G23" s="86"/>
      <c r="J23"/>
      <c r="M23"/>
      <c r="N23"/>
    </row>
    <row r="24" spans="1:21" x14ac:dyDescent="0.25">
      <c r="A24" s="322"/>
      <c r="B24" s="93" t="s">
        <v>59</v>
      </c>
      <c r="C24" s="84"/>
      <c r="D24" s="85"/>
      <c r="E24" s="86"/>
      <c r="F24" s="86"/>
      <c r="G24" s="86"/>
      <c r="J24"/>
      <c r="M24"/>
      <c r="N24"/>
    </row>
    <row r="25" spans="1:21" x14ac:dyDescent="0.25">
      <c r="A25" s="322"/>
      <c r="B25" s="94" t="s">
        <v>60</v>
      </c>
      <c r="C25" s="84"/>
      <c r="D25" s="85"/>
      <c r="E25" s="88"/>
      <c r="F25" s="88"/>
      <c r="G25" s="88"/>
      <c r="J25"/>
      <c r="M25"/>
      <c r="N25"/>
    </row>
    <row r="26" spans="1:21" s="14" customFormat="1" x14ac:dyDescent="0.25">
      <c r="A26" s="324" t="s">
        <v>77</v>
      </c>
      <c r="B26" s="324"/>
      <c r="C26" s="92">
        <f>SUM(C22:C25)</f>
        <v>0</v>
      </c>
      <c r="D26" s="101">
        <f t="shared" ref="D26:E26" si="2">SUM(D22:D25)</f>
        <v>0</v>
      </c>
      <c r="E26" s="92">
        <f t="shared" si="2"/>
        <v>0</v>
      </c>
      <c r="F26" s="92">
        <f t="shared" ref="F26:G26" si="3">SUM(F22:F25)</f>
        <v>0</v>
      </c>
      <c r="G26" s="92">
        <f t="shared" si="3"/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4.3499999999999996" customHeight="1" x14ac:dyDescent="0.25">
      <c r="A27" s="8"/>
      <c r="F27"/>
      <c r="G27"/>
      <c r="J27" s="17"/>
      <c r="M27" s="16"/>
      <c r="N27" s="16"/>
    </row>
    <row r="28" spans="1:21" x14ac:dyDescent="0.25">
      <c r="A28" s="331" t="s">
        <v>76</v>
      </c>
      <c r="B28" s="95" t="s">
        <v>75</v>
      </c>
      <c r="C28" s="84"/>
      <c r="D28" s="85"/>
      <c r="E28" s="86"/>
      <c r="F28" s="86"/>
      <c r="G28" s="86"/>
      <c r="J28"/>
      <c r="M28"/>
      <c r="N28"/>
    </row>
    <row r="29" spans="1:21" x14ac:dyDescent="0.25">
      <c r="A29" s="331"/>
      <c r="B29" s="95" t="s">
        <v>64</v>
      </c>
      <c r="C29" s="84"/>
      <c r="D29" s="85"/>
      <c r="E29" s="86"/>
      <c r="F29" s="86"/>
      <c r="G29" s="86"/>
      <c r="J29"/>
      <c r="M29"/>
      <c r="N29"/>
    </row>
    <row r="30" spans="1:21" x14ac:dyDescent="0.25">
      <c r="A30" s="331"/>
      <c r="B30" s="95" t="s">
        <v>74</v>
      </c>
      <c r="C30" s="84"/>
      <c r="D30" s="85"/>
      <c r="E30" s="86"/>
      <c r="F30" s="86"/>
      <c r="G30" s="86"/>
      <c r="J30"/>
      <c r="M30"/>
      <c r="N30"/>
    </row>
    <row r="31" spans="1:21" x14ac:dyDescent="0.25">
      <c r="A31" s="331"/>
      <c r="B31" s="95" t="s">
        <v>60</v>
      </c>
      <c r="C31" s="84"/>
      <c r="D31" s="85"/>
      <c r="E31" s="86"/>
      <c r="F31" s="86"/>
      <c r="G31" s="86"/>
      <c r="J31"/>
      <c r="M31"/>
      <c r="N31"/>
    </row>
    <row r="32" spans="1:21" s="14" customFormat="1" x14ac:dyDescent="0.25">
      <c r="A32" s="324" t="s">
        <v>133</v>
      </c>
      <c r="B32" s="324"/>
      <c r="C32" s="92">
        <f>SUM(C28:C31)</f>
        <v>0</v>
      </c>
      <c r="D32" s="101">
        <f t="shared" ref="D32" si="4">SUM(D28:D31)</f>
        <v>0</v>
      </c>
      <c r="E32" s="92">
        <f t="shared" ref="E32:G32" si="5">SUM(E28:E31)</f>
        <v>0</v>
      </c>
      <c r="F32" s="92">
        <f t="shared" si="5"/>
        <v>0</v>
      </c>
      <c r="G32" s="92">
        <f t="shared" si="5"/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9" ht="4.3499999999999996" customHeight="1" x14ac:dyDescent="0.25">
      <c r="A33" s="8"/>
      <c r="F33"/>
      <c r="G33"/>
      <c r="J33" s="17"/>
      <c r="M33" s="16"/>
      <c r="N33" s="16"/>
    </row>
    <row r="34" spans="1:29" x14ac:dyDescent="0.25">
      <c r="A34" s="325" t="s">
        <v>73</v>
      </c>
      <c r="B34" s="326"/>
      <c r="C34" s="8"/>
      <c r="D34" s="91"/>
      <c r="E34" s="91"/>
      <c r="F34" s="91"/>
      <c r="G34" s="91"/>
      <c r="J34"/>
      <c r="M34"/>
      <c r="N34"/>
    </row>
    <row r="35" spans="1:29" x14ac:dyDescent="0.25">
      <c r="A35" s="89" t="s">
        <v>72</v>
      </c>
      <c r="B35" s="89"/>
      <c r="C35" s="89"/>
      <c r="D35" s="90"/>
      <c r="E35" s="88"/>
      <c r="F35" s="88"/>
      <c r="G35" s="88"/>
      <c r="J35"/>
      <c r="M35"/>
      <c r="N35"/>
    </row>
    <row r="36" spans="1:29" x14ac:dyDescent="0.25">
      <c r="A36" s="327" t="s">
        <v>71</v>
      </c>
      <c r="B36" s="328"/>
      <c r="C36" s="92">
        <f>C35</f>
        <v>0</v>
      </c>
      <c r="D36" s="101">
        <f t="shared" ref="D36:E36" si="6">D35</f>
        <v>0</v>
      </c>
      <c r="E36" s="92">
        <f t="shared" si="6"/>
        <v>0</v>
      </c>
      <c r="F36" s="92">
        <f t="shared" ref="F36:G36" si="7">F35</f>
        <v>0</v>
      </c>
      <c r="G36" s="92">
        <f t="shared" si="7"/>
        <v>0</v>
      </c>
      <c r="J36"/>
      <c r="M36"/>
      <c r="N36"/>
    </row>
    <row r="37" spans="1:29" ht="4.3499999999999996" customHeight="1" x14ac:dyDescent="0.25">
      <c r="A37" s="8"/>
      <c r="F37"/>
      <c r="G37"/>
      <c r="J37" s="17"/>
      <c r="M37" s="16"/>
      <c r="N37" s="16"/>
    </row>
    <row r="38" spans="1:29" x14ac:dyDescent="0.25">
      <c r="A38" s="329" t="s">
        <v>132</v>
      </c>
      <c r="B38" s="330"/>
      <c r="C38" s="99">
        <f>SUM(C19+C26+C32+C36)</f>
        <v>0</v>
      </c>
      <c r="D38" s="102">
        <f>SUM(D19+D26+D32+D36)</f>
        <v>0</v>
      </c>
      <c r="E38" s="99">
        <f>SUM(E19+E26+E32+E36)</f>
        <v>0</v>
      </c>
      <c r="F38" s="99">
        <f t="shared" ref="F38:G38" si="8">SUM(F19+F26+F32+F36)</f>
        <v>0</v>
      </c>
      <c r="G38" s="99">
        <f t="shared" si="8"/>
        <v>0</v>
      </c>
      <c r="J38"/>
      <c r="M38"/>
      <c r="N38"/>
    </row>
    <row r="39" spans="1:29" ht="4.3499999999999996" customHeight="1" x14ac:dyDescent="0.25">
      <c r="A39" s="8"/>
      <c r="F39" s="77"/>
      <c r="G39" s="78"/>
      <c r="J39" s="17"/>
      <c r="M39" s="16"/>
      <c r="N39" s="16"/>
    </row>
    <row r="40" spans="1:29" ht="17.25" x14ac:dyDescent="0.25">
      <c r="A40" s="71" t="s">
        <v>70</v>
      </c>
      <c r="B40" s="14"/>
      <c r="C40" s="14"/>
      <c r="D40" s="14"/>
      <c r="E40" s="14"/>
      <c r="F40" s="14"/>
      <c r="G40" s="14"/>
      <c r="H40" s="14"/>
      <c r="I40" s="14"/>
      <c r="J40" s="72"/>
      <c r="K40" s="14"/>
      <c r="L40" s="14"/>
      <c r="M40" s="73"/>
      <c r="N40" s="73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7.25" x14ac:dyDescent="0.25">
      <c r="A41" s="71" t="s">
        <v>69</v>
      </c>
      <c r="B41" s="14"/>
      <c r="C41" s="14"/>
      <c r="D41" s="14"/>
      <c r="E41" s="14"/>
      <c r="F41" s="14"/>
      <c r="G41" s="14"/>
      <c r="H41" s="14"/>
      <c r="I41" s="14"/>
      <c r="J41" s="72"/>
      <c r="K41" s="14"/>
      <c r="L41" s="14"/>
      <c r="M41" s="73"/>
      <c r="N41" s="73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x14ac:dyDescent="0.25">
      <c r="A42" t="s">
        <v>68</v>
      </c>
    </row>
  </sheetData>
  <mergeCells count="11">
    <mergeCell ref="A26:B26"/>
    <mergeCell ref="A34:B34"/>
    <mergeCell ref="A36:B36"/>
    <mergeCell ref="A38:B38"/>
    <mergeCell ref="A32:B32"/>
    <mergeCell ref="A28:A31"/>
    <mergeCell ref="E7:G7"/>
    <mergeCell ref="A23:A25"/>
    <mergeCell ref="A15:A17"/>
    <mergeCell ref="A10:A13"/>
    <mergeCell ref="A19:B19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1789-AD68-4DC6-A605-944F36A2A577}">
  <sheetPr>
    <pageSetUpPr fitToPage="1"/>
  </sheetPr>
  <dimension ref="B1:P56"/>
  <sheetViews>
    <sheetView showGridLines="0" tabSelected="1" workbookViewId="0">
      <selection activeCell="B1" sqref="B1:G1"/>
    </sheetView>
  </sheetViews>
  <sheetFormatPr defaultColWidth="8.85546875" defaultRowHeight="15" x14ac:dyDescent="0.25"/>
  <cols>
    <col min="1" max="1" width="3" style="164" customWidth="1"/>
    <col min="2" max="2" width="40.140625" style="164" customWidth="1"/>
    <col min="3" max="3" width="14.7109375" style="164" bestFit="1" customWidth="1"/>
    <col min="4" max="4" width="14.42578125" style="164" bestFit="1" customWidth="1"/>
    <col min="5" max="5" width="17.140625" style="164" bestFit="1" customWidth="1"/>
    <col min="6" max="6" width="22.85546875" style="164" customWidth="1"/>
    <col min="7" max="7" width="16.85546875" style="164" bestFit="1" customWidth="1"/>
    <col min="8" max="8" width="15.85546875" style="164" bestFit="1" customWidth="1"/>
    <col min="9" max="9" width="16.140625" style="164" customWidth="1"/>
    <col min="10" max="10" width="15.140625" style="164" customWidth="1"/>
    <col min="11" max="11" width="13.140625" style="164" customWidth="1"/>
    <col min="12" max="16384" width="8.85546875" style="164"/>
  </cols>
  <sheetData>
    <row r="1" spans="2:11" ht="21" x14ac:dyDescent="0.35">
      <c r="B1" s="267" t="s">
        <v>186</v>
      </c>
      <c r="C1" s="267"/>
      <c r="D1" s="267"/>
      <c r="E1" s="267"/>
      <c r="F1" s="267"/>
      <c r="G1" s="267"/>
      <c r="H1" s="163"/>
      <c r="I1" s="163"/>
      <c r="J1" s="163"/>
      <c r="K1" s="163"/>
    </row>
    <row r="2" spans="2:11" ht="21" x14ac:dyDescent="0.35">
      <c r="B2" s="165" t="s">
        <v>195</v>
      </c>
      <c r="C2" s="166"/>
      <c r="D2" s="166"/>
      <c r="E2" s="166"/>
      <c r="F2" s="166"/>
      <c r="G2" s="166"/>
      <c r="H2" s="163"/>
      <c r="I2" s="163"/>
      <c r="J2" s="163"/>
      <c r="K2" s="163"/>
    </row>
    <row r="3" spans="2:11" ht="17.100000000000001" customHeight="1" x14ac:dyDescent="0.25">
      <c r="B3" s="167"/>
      <c r="C3" s="245"/>
    </row>
    <row r="4" spans="2:11" ht="28.7" customHeight="1" x14ac:dyDescent="0.25">
      <c r="B4" s="246" t="s">
        <v>114</v>
      </c>
      <c r="C4" s="247" t="s">
        <v>188</v>
      </c>
      <c r="D4" s="247" t="s">
        <v>189</v>
      </c>
      <c r="E4" s="247" t="s">
        <v>196</v>
      </c>
      <c r="F4" s="169"/>
      <c r="G4" s="169"/>
      <c r="H4" s="169"/>
    </row>
    <row r="5" spans="2:11" x14ac:dyDescent="0.25">
      <c r="B5" s="248" t="s">
        <v>119</v>
      </c>
      <c r="C5" s="249">
        <f>SUM('[1]Current Year Programs'!B5+'[1]Legacy Programs'!B5)</f>
        <v>42505.710000000006</v>
      </c>
      <c r="D5" s="249">
        <f>SUM('[1]Current Year Programs'!C5+'[1]Legacy Programs'!C5)</f>
        <v>32339.199999999997</v>
      </c>
      <c r="E5" s="249">
        <f>'[1]Current Year Programs'!D5</f>
        <v>17086.96</v>
      </c>
      <c r="F5" s="169"/>
      <c r="G5" s="169"/>
      <c r="H5" s="169"/>
    </row>
    <row r="6" spans="2:11" x14ac:dyDescent="0.25">
      <c r="B6" s="248" t="s">
        <v>120</v>
      </c>
      <c r="C6" s="249">
        <f>SUM('[1]Current Year Programs'!B6+'[1]Legacy Programs'!B6)</f>
        <v>39648.639999999999</v>
      </c>
      <c r="D6" s="249">
        <f>SUM('[1]Current Year Programs'!C6+'[1]Legacy Programs'!C6)</f>
        <v>24503.040000000001</v>
      </c>
      <c r="E6" s="249">
        <f>'[1]Current Year Programs'!D6</f>
        <v>18255.939999999999</v>
      </c>
    </row>
    <row r="7" spans="2:11" x14ac:dyDescent="0.25">
      <c r="B7" s="248" t="s">
        <v>121</v>
      </c>
      <c r="C7" s="249">
        <f>SUM('[1]Current Year Programs'!B7+'[1]Legacy Programs'!B7)</f>
        <v>94894.35</v>
      </c>
      <c r="D7" s="249">
        <f>SUM('[1]Current Year Programs'!C7+'[1]Legacy Programs'!C7)</f>
        <v>86415.839999999982</v>
      </c>
      <c r="E7" s="249">
        <f>'[1]Current Year Programs'!D7</f>
        <v>62474.92</v>
      </c>
    </row>
    <row r="8" spans="2:11" x14ac:dyDescent="0.25">
      <c r="B8" s="248" t="s">
        <v>136</v>
      </c>
      <c r="C8" s="249">
        <f>SUM('[1]Current Year Programs'!B8+'[1]Legacy Programs'!B8)</f>
        <v>229519.26</v>
      </c>
      <c r="D8" s="249">
        <f>SUM('[1]Current Year Programs'!C8+'[1]Legacy Programs'!C8)</f>
        <v>83125.8</v>
      </c>
      <c r="E8" s="249">
        <f>'[1]Current Year Programs'!D8</f>
        <v>41934.19</v>
      </c>
    </row>
    <row r="9" spans="2:11" x14ac:dyDescent="0.25">
      <c r="B9" s="248" t="s">
        <v>153</v>
      </c>
      <c r="C9" s="249">
        <f>SUM('[1]Current Year Programs'!B9+'[1]Legacy Programs'!B9)</f>
        <v>544763.67000000004</v>
      </c>
      <c r="D9" s="249">
        <f>SUM('[1]Current Year Programs'!C9+'[1]Legacy Programs'!C9)</f>
        <v>561543.29999999993</v>
      </c>
      <c r="E9" s="249">
        <f>'[1]Current Year Programs'!D9</f>
        <v>396103.97000000003</v>
      </c>
    </row>
    <row r="10" spans="2:11" x14ac:dyDescent="0.25">
      <c r="B10" s="171" t="s">
        <v>122</v>
      </c>
      <c r="C10" s="249">
        <f>SUM('[1]Current Year Programs'!B10+'[1]Legacy Programs'!B10)</f>
        <v>7532.42</v>
      </c>
      <c r="D10" s="249">
        <f>SUM('[1]Current Year Programs'!C10+'[1]Legacy Programs'!C10)</f>
        <v>5274.1699999999992</v>
      </c>
      <c r="E10" s="249">
        <f>'[1]Current Year Programs'!D10</f>
        <v>2340.02</v>
      </c>
    </row>
    <row r="11" spans="2:11" x14ac:dyDescent="0.25">
      <c r="B11" s="248" t="s">
        <v>123</v>
      </c>
      <c r="C11" s="249">
        <f>SUM('[1]Current Year Programs'!B11+'[1]Legacy Programs'!B11)</f>
        <v>52684.409999999996</v>
      </c>
      <c r="D11" s="249">
        <f>SUM('[1]Current Year Programs'!C11+'[1]Legacy Programs'!C11)</f>
        <v>33314.089999999997</v>
      </c>
      <c r="E11" s="249">
        <f>'[1]Current Year Programs'!D11</f>
        <v>25502.51</v>
      </c>
    </row>
    <row r="12" spans="2:11" ht="4.3499999999999996" customHeight="1" x14ac:dyDescent="0.25">
      <c r="C12" s="172"/>
      <c r="D12" s="249"/>
      <c r="E12" s="172"/>
    </row>
    <row r="13" spans="2:11" ht="17.25" x14ac:dyDescent="0.25">
      <c r="B13" s="250" t="s">
        <v>167</v>
      </c>
      <c r="C13" s="249">
        <f>SUM('[1]Current Year Programs'!B13)</f>
        <v>236587.41282</v>
      </c>
      <c r="D13" s="249">
        <f>SUM('[1]Current Year Programs'!C13)</f>
        <v>39147.312483499998</v>
      </c>
      <c r="E13" s="249">
        <f>SUM('[1]Current Year Programs'!D13)</f>
        <v>32132.2893635</v>
      </c>
    </row>
    <row r="14" spans="2:11" ht="4.3499999999999996" customHeight="1" x14ac:dyDescent="0.25">
      <c r="C14" s="172"/>
      <c r="D14" s="172"/>
      <c r="E14" s="172"/>
    </row>
    <row r="15" spans="2:11" x14ac:dyDescent="0.25">
      <c r="B15" s="251" t="s">
        <v>2</v>
      </c>
      <c r="C15" s="252">
        <f>SUM(C5:C13)</f>
        <v>1248135.8728200002</v>
      </c>
      <c r="D15" s="252">
        <f>SUM(D5:D13)</f>
        <v>865662.75248349993</v>
      </c>
      <c r="E15" s="252">
        <f>SUM(E5:E13)</f>
        <v>595830.79936349997</v>
      </c>
    </row>
    <row r="16" spans="2:11" ht="3" customHeight="1" x14ac:dyDescent="0.25">
      <c r="B16" s="167"/>
      <c r="C16" s="176"/>
      <c r="D16" s="176"/>
      <c r="E16" s="176"/>
      <c r="F16" s="176"/>
      <c r="G16" s="176"/>
    </row>
    <row r="17" spans="2:16" x14ac:dyDescent="0.25">
      <c r="B17" s="167" t="s">
        <v>197</v>
      </c>
      <c r="C17" s="176"/>
      <c r="D17" s="176"/>
      <c r="E17" s="176"/>
      <c r="F17" s="176"/>
      <c r="G17" s="176"/>
    </row>
    <row r="18" spans="2:16" x14ac:dyDescent="0.25">
      <c r="B18" s="204"/>
      <c r="C18" s="172"/>
      <c r="D18" s="172"/>
      <c r="E18" s="172"/>
      <c r="F18" s="172"/>
      <c r="G18" s="172"/>
    </row>
    <row r="19" spans="2:16" s="180" customFormat="1" ht="30" x14ac:dyDescent="0.25">
      <c r="B19" s="177" t="s">
        <v>126</v>
      </c>
      <c r="C19" s="178" t="s">
        <v>112</v>
      </c>
      <c r="D19" s="178" t="s">
        <v>110</v>
      </c>
      <c r="E19" s="178" t="s">
        <v>109</v>
      </c>
      <c r="F19" s="179"/>
      <c r="G19" s="164"/>
      <c r="I19" s="266"/>
      <c r="J19" s="266"/>
      <c r="K19" s="266"/>
      <c r="L19" s="266"/>
    </row>
    <row r="20" spans="2:16" s="180" customFormat="1" ht="14.1" customHeight="1" x14ac:dyDescent="0.25">
      <c r="B20" s="261" t="s">
        <v>113</v>
      </c>
      <c r="C20" s="263" t="s">
        <v>0</v>
      </c>
      <c r="D20" s="264"/>
      <c r="E20" s="265"/>
      <c r="F20" s="179"/>
      <c r="G20" s="164"/>
      <c r="I20" s="164"/>
      <c r="J20" s="164"/>
      <c r="K20" s="164"/>
      <c r="L20" s="164"/>
      <c r="M20" s="164"/>
      <c r="N20" s="164"/>
      <c r="O20" s="164"/>
    </row>
    <row r="21" spans="2:16" s="180" customFormat="1" x14ac:dyDescent="0.25">
      <c r="B21" s="262"/>
      <c r="C21" s="181" t="s">
        <v>9</v>
      </c>
      <c r="D21" s="181" t="s">
        <v>10</v>
      </c>
      <c r="E21" s="181" t="s">
        <v>10</v>
      </c>
      <c r="F21" s="179"/>
      <c r="G21" s="164"/>
      <c r="I21" s="164"/>
      <c r="J21" s="164"/>
      <c r="K21" s="164"/>
      <c r="L21" s="164"/>
      <c r="M21" s="164"/>
      <c r="N21" s="164"/>
      <c r="O21" s="164"/>
    </row>
    <row r="22" spans="2:16" s="180" customFormat="1" ht="14.45" customHeight="1" x14ac:dyDescent="0.25">
      <c r="B22" s="170" t="s">
        <v>7</v>
      </c>
      <c r="C22" s="182">
        <f>SUM('Current Year Programs'!B34+'Legacy Programs'!B17)</f>
        <v>7924.2650179478715</v>
      </c>
      <c r="D22" s="182">
        <f>SUM('Current Year Programs'!C34+'Legacy Programs'!C17)</f>
        <v>52642.940015416105</v>
      </c>
      <c r="E22" s="182">
        <f>SUM('Current Year Programs'!D34+'Legacy Programs'!D17)</f>
        <v>530760.39604004542</v>
      </c>
      <c r="F22" s="164"/>
      <c r="G22" s="164"/>
      <c r="H22" s="164"/>
      <c r="I22" s="183"/>
      <c r="J22" s="183"/>
      <c r="K22" s="183"/>
      <c r="L22" s="183"/>
      <c r="M22" s="183"/>
      <c r="N22" s="183"/>
      <c r="O22" s="183"/>
      <c r="P22" s="184"/>
    </row>
    <row r="23" spans="2:16" s="180" customFormat="1" ht="14.45" customHeight="1" x14ac:dyDescent="0.25">
      <c r="B23" s="46" t="s">
        <v>11</v>
      </c>
      <c r="C23" s="182">
        <f>'Legacy Programs'!B18</f>
        <v>0</v>
      </c>
      <c r="D23" s="182">
        <f>'Legacy Programs'!C18</f>
        <v>0</v>
      </c>
      <c r="E23" s="182">
        <f>'Legacy Programs'!D18</f>
        <v>0</v>
      </c>
      <c r="F23" s="164"/>
      <c r="G23" s="164"/>
      <c r="H23" s="164"/>
      <c r="I23" s="183"/>
      <c r="J23" s="183"/>
      <c r="K23" s="183"/>
      <c r="L23" s="183"/>
      <c r="M23" s="183"/>
      <c r="N23" s="183"/>
      <c r="O23" s="183"/>
      <c r="P23" s="184"/>
    </row>
    <row r="24" spans="2:16" s="180" customFormat="1" x14ac:dyDescent="0.25">
      <c r="B24" s="170" t="s">
        <v>14</v>
      </c>
      <c r="C24" s="182">
        <f>SUM('Current Year Programs'!B35+'Legacy Programs'!B19)</f>
        <v>49976.931064263619</v>
      </c>
      <c r="D24" s="182">
        <f>SUM('Current Year Programs'!C35+'Legacy Programs'!C19)</f>
        <v>132795.41355708273</v>
      </c>
      <c r="E24" s="182">
        <f>SUM('Current Year Programs'!D35+'Legacy Programs'!D19)</f>
        <v>1492603.2593507022</v>
      </c>
      <c r="F24" s="164"/>
      <c r="G24" s="164"/>
      <c r="H24" s="164"/>
      <c r="I24" s="164"/>
      <c r="J24" s="164"/>
      <c r="K24" s="164"/>
      <c r="L24" s="164"/>
      <c r="M24" s="164"/>
      <c r="N24" s="164"/>
      <c r="O24" s="164"/>
    </row>
    <row r="25" spans="2:16" s="180" customFormat="1" x14ac:dyDescent="0.25">
      <c r="B25" s="46" t="s">
        <v>12</v>
      </c>
      <c r="C25" s="182">
        <f>'Legacy Programs'!B20</f>
        <v>1429</v>
      </c>
      <c r="D25" s="182">
        <f>'Legacy Programs'!C20</f>
        <v>17227</v>
      </c>
      <c r="E25" s="182">
        <f>'Legacy Programs'!D20</f>
        <v>333882</v>
      </c>
      <c r="F25" s="164"/>
      <c r="G25" s="164"/>
      <c r="H25" s="164"/>
      <c r="I25" s="164"/>
      <c r="J25" s="164"/>
      <c r="K25" s="164"/>
      <c r="L25" s="164"/>
      <c r="M25" s="164"/>
      <c r="N25" s="164"/>
      <c r="O25" s="164"/>
    </row>
    <row r="26" spans="2:16" s="180" customFormat="1" x14ac:dyDescent="0.25">
      <c r="B26" s="170" t="s">
        <v>15</v>
      </c>
      <c r="C26" s="182">
        <f>SUM('Current Year Programs'!B36+'Legacy Programs'!B21)</f>
        <v>135193.27442651306</v>
      </c>
      <c r="D26" s="182">
        <f>SUM('Current Year Programs'!C36+'Legacy Programs'!C21)</f>
        <v>643785.44214846333</v>
      </c>
      <c r="E26" s="182">
        <f>SUM('Current Year Programs'!D36+'Legacy Programs'!D21)</f>
        <v>8161361.3297695806</v>
      </c>
      <c r="F26" s="164"/>
      <c r="G26" s="164"/>
      <c r="H26" s="164"/>
    </row>
    <row r="27" spans="2:16" s="180" customFormat="1" x14ac:dyDescent="0.25">
      <c r="B27" s="170" t="s">
        <v>19</v>
      </c>
      <c r="C27" s="182">
        <f>SUM('Current Year Programs'!B37+'Legacy Programs'!B22)</f>
        <v>4654</v>
      </c>
      <c r="D27" s="182">
        <f>SUM('Current Year Programs'!C37+'Legacy Programs'!C22)</f>
        <v>12445.473266119578</v>
      </c>
      <c r="E27" s="182">
        <f>SUM('Current Year Programs'!D37+'Legacy Programs'!D22)</f>
        <v>131572.53703399765</v>
      </c>
      <c r="F27" s="164"/>
      <c r="G27" s="164"/>
      <c r="H27" s="164"/>
    </row>
    <row r="28" spans="2:16" s="180" customFormat="1" x14ac:dyDescent="0.25">
      <c r="B28" s="46" t="s">
        <v>6</v>
      </c>
      <c r="C28" s="182">
        <f>'Legacy Programs'!B23</f>
        <v>0</v>
      </c>
      <c r="D28" s="182">
        <f>'Legacy Programs'!C23</f>
        <v>0</v>
      </c>
      <c r="E28" s="182">
        <f>'Legacy Programs'!D23</f>
        <v>0</v>
      </c>
      <c r="F28" s="164"/>
      <c r="G28" s="164"/>
      <c r="H28" s="164"/>
    </row>
    <row r="29" spans="2:16" ht="4.3499999999999996" customHeight="1" x14ac:dyDescent="0.25">
      <c r="C29" s="185"/>
      <c r="D29" s="185"/>
      <c r="E29" s="185"/>
    </row>
    <row r="30" spans="2:16" ht="17.25" x14ac:dyDescent="0.25">
      <c r="B30" s="173" t="s">
        <v>167</v>
      </c>
      <c r="C30" s="182">
        <f>SUM('Current Year Programs'!B39)</f>
        <v>9147.3387999999995</v>
      </c>
      <c r="D30" s="182">
        <f>SUM('Current Year Programs'!C39)</f>
        <v>72756.424775199994</v>
      </c>
      <c r="E30" s="182">
        <f>SUM('Current Year Programs'!D39)</f>
        <v>1234140.4641708999</v>
      </c>
      <c r="F30" s="186"/>
    </row>
    <row r="31" spans="2:16" ht="4.3499999999999996" customHeight="1" x14ac:dyDescent="0.25">
      <c r="C31" s="187"/>
      <c r="D31" s="185"/>
      <c r="E31" s="188"/>
      <c r="F31" s="188"/>
    </row>
    <row r="32" spans="2:16" s="184" customFormat="1" x14ac:dyDescent="0.25">
      <c r="B32" s="189" t="s">
        <v>2</v>
      </c>
      <c r="C32" s="190">
        <f>SUM(C22:C30)</f>
        <v>208324.80930872457</v>
      </c>
      <c r="D32" s="190">
        <f>SUM(D22:D30)</f>
        <v>931652.69376228168</v>
      </c>
      <c r="E32" s="190">
        <f>SUM(E22:E30)</f>
        <v>11884319.986365225</v>
      </c>
      <c r="F32" s="191"/>
    </row>
    <row r="33" spans="2:10" x14ac:dyDescent="0.25">
      <c r="C33" s="172"/>
      <c r="D33" s="172"/>
      <c r="E33" s="172"/>
      <c r="F33" s="172"/>
      <c r="G33" s="172"/>
    </row>
    <row r="34" spans="2:10" ht="30" x14ac:dyDescent="0.25">
      <c r="C34" s="178" t="s">
        <v>110</v>
      </c>
      <c r="D34" s="178" t="s">
        <v>109</v>
      </c>
      <c r="E34" s="172"/>
      <c r="F34" s="172"/>
      <c r="G34" s="172"/>
    </row>
    <row r="35" spans="2:10" x14ac:dyDescent="0.25">
      <c r="B35" s="261" t="s">
        <v>111</v>
      </c>
      <c r="C35" s="268" t="s">
        <v>0</v>
      </c>
      <c r="D35" s="268"/>
      <c r="E35" s="172"/>
      <c r="F35" s="172"/>
      <c r="G35" s="172"/>
    </row>
    <row r="36" spans="2:10" x14ac:dyDescent="0.25">
      <c r="B36" s="262"/>
      <c r="C36" s="181" t="s">
        <v>1</v>
      </c>
      <c r="D36" s="181" t="s">
        <v>1</v>
      </c>
      <c r="E36" s="172"/>
      <c r="F36" s="172"/>
      <c r="G36" s="172"/>
    </row>
    <row r="37" spans="2:10" x14ac:dyDescent="0.25">
      <c r="B37" s="46" t="s">
        <v>7</v>
      </c>
      <c r="C37" s="182">
        <f>'Legacy Programs'!B29</f>
        <v>3796.5295030772004</v>
      </c>
      <c r="D37" s="182">
        <f>'Legacy Programs'!C29</f>
        <v>35372.132661349198</v>
      </c>
      <c r="E37" s="172"/>
      <c r="F37" s="172"/>
      <c r="G37" s="172"/>
    </row>
    <row r="38" spans="2:10" x14ac:dyDescent="0.25">
      <c r="B38" s="170" t="s">
        <v>11</v>
      </c>
      <c r="C38" s="182">
        <f>SUM('Current Year Programs'!B46+'Legacy Programs'!B30)</f>
        <v>293264.14116429834</v>
      </c>
      <c r="D38" s="182">
        <f>SUM('Current Year Programs'!C46+'Legacy Programs'!C30)</f>
        <v>2333992.8709898852</v>
      </c>
      <c r="E38" s="172"/>
      <c r="F38" s="172"/>
      <c r="G38" s="172"/>
    </row>
    <row r="39" spans="2:10" x14ac:dyDescent="0.25">
      <c r="B39" s="170" t="s">
        <v>12</v>
      </c>
      <c r="C39" s="182">
        <f>SUM('Current Year Programs'!B47+'Legacy Programs'!B31)</f>
        <v>512005.55229999998</v>
      </c>
      <c r="D39" s="182">
        <f>SUM('Current Year Programs'!C47+'Legacy Programs'!C31)</f>
        <v>3825016.4983000001</v>
      </c>
      <c r="E39" s="172"/>
      <c r="G39" s="172"/>
    </row>
    <row r="40" spans="2:10" x14ac:dyDescent="0.25">
      <c r="B40" s="170" t="s">
        <v>15</v>
      </c>
      <c r="C40" s="182">
        <f>SUM('Current Year Programs'!B48+'Legacy Programs'!B32)</f>
        <v>2045907.577528357</v>
      </c>
      <c r="D40" s="182">
        <f>SUM('Current Year Programs'!C48+'Legacy Programs'!C32)</f>
        <v>19455252.611078616</v>
      </c>
      <c r="E40" s="172"/>
      <c r="G40" s="172"/>
    </row>
    <row r="41" spans="2:10" x14ac:dyDescent="0.25">
      <c r="B41" s="46" t="s">
        <v>19</v>
      </c>
      <c r="C41" s="182">
        <f>'Legacy Programs'!B33</f>
        <v>0</v>
      </c>
      <c r="D41" s="182">
        <f>'Legacy Programs'!C33</f>
        <v>0</v>
      </c>
      <c r="E41" s="172"/>
      <c r="G41" s="172"/>
    </row>
    <row r="42" spans="2:10" x14ac:dyDescent="0.25">
      <c r="B42" s="170" t="s">
        <v>6</v>
      </c>
      <c r="C42" s="182">
        <f>SUM('Current Year Programs'!B49+'Legacy Programs'!B34)</f>
        <v>303457.13996287965</v>
      </c>
      <c r="D42" s="182">
        <f>SUM('Current Year Programs'!C49+'Legacy Programs'!C34)</f>
        <v>2650335.6362947905</v>
      </c>
      <c r="E42" s="192"/>
    </row>
    <row r="43" spans="2:10" ht="4.3499999999999996" customHeight="1" x14ac:dyDescent="0.25">
      <c r="C43" s="185"/>
      <c r="D43" s="185"/>
    </row>
    <row r="44" spans="2:10" ht="17.25" x14ac:dyDescent="0.25">
      <c r="B44" s="173" t="s">
        <v>167</v>
      </c>
      <c r="C44" s="182">
        <f>SUM('Current Year Programs'!B51)</f>
        <v>139531.69503999999</v>
      </c>
      <c r="D44" s="182">
        <f>SUM('Current Year Programs'!C51)</f>
        <v>2686052.5191000002</v>
      </c>
    </row>
    <row r="45" spans="2:10" ht="4.3499999999999996" customHeight="1" x14ac:dyDescent="0.25">
      <c r="C45" s="185"/>
      <c r="D45" s="185"/>
    </row>
    <row r="46" spans="2:10" s="184" customFormat="1" x14ac:dyDescent="0.25">
      <c r="B46" s="189" t="s">
        <v>2</v>
      </c>
      <c r="C46" s="190">
        <f>SUM(C37:C44)</f>
        <v>3297962.6354986122</v>
      </c>
      <c r="D46" s="190">
        <f>SUM(D37:D44)</f>
        <v>30986022.268424641</v>
      </c>
    </row>
    <row r="47" spans="2:10" x14ac:dyDescent="0.25">
      <c r="C47" s="172"/>
      <c r="D47" s="172"/>
      <c r="E47" s="172"/>
      <c r="F47" s="172"/>
      <c r="G47" s="172"/>
    </row>
    <row r="48" spans="2:10" s="193" customFormat="1" ht="14.45" customHeight="1" x14ac:dyDescent="0.25">
      <c r="C48" s="258" t="s">
        <v>101</v>
      </c>
      <c r="D48" s="259"/>
      <c r="E48" s="259"/>
      <c r="F48" s="260"/>
      <c r="G48" s="258" t="s">
        <v>100</v>
      </c>
      <c r="H48" s="259"/>
      <c r="I48" s="259"/>
      <c r="J48" s="260"/>
    </row>
    <row r="49" spans="2:10" s="193" customFormat="1" ht="14.45" customHeight="1" x14ac:dyDescent="0.25">
      <c r="B49" s="257" t="s">
        <v>108</v>
      </c>
      <c r="C49" s="255" t="s">
        <v>168</v>
      </c>
      <c r="D49" s="253" t="s">
        <v>169</v>
      </c>
      <c r="E49" s="253" t="s">
        <v>170</v>
      </c>
      <c r="F49" s="253" t="s">
        <v>102</v>
      </c>
      <c r="G49" s="253" t="s">
        <v>168</v>
      </c>
      <c r="H49" s="253" t="s">
        <v>169</v>
      </c>
      <c r="I49" s="253" t="s">
        <v>170</v>
      </c>
      <c r="J49" s="253" t="s">
        <v>102</v>
      </c>
    </row>
    <row r="50" spans="2:10" s="193" customFormat="1" ht="14.45" customHeight="1" x14ac:dyDescent="0.25">
      <c r="B50" s="257"/>
      <c r="C50" s="256"/>
      <c r="D50" s="254"/>
      <c r="E50" s="254"/>
      <c r="F50" s="254"/>
      <c r="G50" s="254"/>
      <c r="H50" s="254"/>
      <c r="I50" s="254"/>
      <c r="J50" s="254"/>
    </row>
    <row r="51" spans="2:10" s="193" customFormat="1" x14ac:dyDescent="0.25">
      <c r="B51" s="257"/>
      <c r="C51" s="256"/>
      <c r="D51" s="254"/>
      <c r="E51" s="254"/>
      <c r="F51" s="254"/>
      <c r="G51" s="254"/>
      <c r="H51" s="254"/>
      <c r="I51" s="254"/>
      <c r="J51" s="254"/>
    </row>
    <row r="52" spans="2:10" s="193" customFormat="1" x14ac:dyDescent="0.25">
      <c r="B52" s="194" t="s">
        <v>107</v>
      </c>
      <c r="C52" s="195">
        <f>SUM('Current Year Programs'!B59+'Legacy Programs'!B41)</f>
        <v>547134.2183367582</v>
      </c>
      <c r="D52" s="195">
        <f>SUM('Current Year Programs'!C59+'Legacy Programs'!C41)</f>
        <v>351.48715264667902</v>
      </c>
      <c r="E52" s="195">
        <f>SUM('Current Year Programs'!D59+'Legacy Programs'!D41)</f>
        <v>283.7305931003313</v>
      </c>
      <c r="F52" s="195">
        <f>SUM('Current Year Programs'!E59+'Legacy Programs'!E41)</f>
        <v>1024.8179631385101</v>
      </c>
      <c r="G52" s="195">
        <f>SUM('Current Year Programs'!F59+'Legacy Programs'!F41)</f>
        <v>6979337.0101744868</v>
      </c>
      <c r="H52" s="195">
        <f>SUM('Current Year Programs'!G59+'Legacy Programs'!G41)</f>
        <v>4483.62981303779</v>
      </c>
      <c r="I52" s="195">
        <f>SUM('Current Year Programs'!H59+'Legacy Programs'!H41)</f>
        <v>3619.3156322112277</v>
      </c>
      <c r="J52" s="195">
        <f>SUM('Current Year Programs'!I59+'Legacy Programs'!I41)</f>
        <v>13072.751985001751</v>
      </c>
    </row>
    <row r="53" spans="2:10" s="193" customFormat="1" x14ac:dyDescent="0.25">
      <c r="B53" s="196" t="s">
        <v>106</v>
      </c>
      <c r="C53" s="195">
        <f>SUM('Current Year Programs'!B60+'Legacy Programs'!B42)</f>
        <v>197063.57704293332</v>
      </c>
      <c r="D53" s="195">
        <f>SUM('Current Year Programs'!C60+'Legacy Programs'!C42)</f>
        <v>1244.2313579381128</v>
      </c>
      <c r="E53" s="197"/>
      <c r="F53" s="197"/>
      <c r="G53" s="195">
        <f>SUM('Current Year Programs'!F60+'Legacy Programs'!F42)</f>
        <v>2048769.145185349</v>
      </c>
      <c r="H53" s="195">
        <f>SUM('Current Year Programs'!G60+'Legacy Programs'!G42)</f>
        <v>11690.181128542021</v>
      </c>
      <c r="I53" s="197"/>
      <c r="J53" s="197"/>
    </row>
    <row r="54" spans="2:10" s="193" customFormat="1" x14ac:dyDescent="0.25">
      <c r="B54" s="198" t="s">
        <v>105</v>
      </c>
      <c r="C54" s="199">
        <f t="shared" ref="C54:J54" si="0">SUM(C52:C53)</f>
        <v>744197.79537969152</v>
      </c>
      <c r="D54" s="199">
        <f t="shared" si="0"/>
        <v>1595.7185105847918</v>
      </c>
      <c r="E54" s="199">
        <f t="shared" si="0"/>
        <v>283.7305931003313</v>
      </c>
      <c r="F54" s="217">
        <f t="shared" si="0"/>
        <v>1024.8179631385101</v>
      </c>
      <c r="G54" s="199">
        <f t="shared" si="0"/>
        <v>9028106.1553598363</v>
      </c>
      <c r="H54" s="199">
        <f t="shared" si="0"/>
        <v>16173.81094157981</v>
      </c>
      <c r="I54" s="199">
        <f t="shared" si="0"/>
        <v>3619.3156322112277</v>
      </c>
      <c r="J54" s="217">
        <f t="shared" si="0"/>
        <v>13072.751985001751</v>
      </c>
    </row>
    <row r="55" spans="2:10" x14ac:dyDescent="0.25">
      <c r="C55" s="203"/>
      <c r="D55" s="203"/>
      <c r="E55" s="203"/>
      <c r="F55" s="203"/>
      <c r="G55" s="203"/>
    </row>
    <row r="56" spans="2:10" ht="17.25" x14ac:dyDescent="0.25">
      <c r="B56" s="204" t="s">
        <v>171</v>
      </c>
      <c r="C56" s="203"/>
      <c r="D56" s="203"/>
      <c r="E56" s="203"/>
      <c r="F56" s="203"/>
      <c r="G56" s="203"/>
    </row>
  </sheetData>
  <mergeCells count="17">
    <mergeCell ref="B35:B36"/>
    <mergeCell ref="C20:E20"/>
    <mergeCell ref="B20:B21"/>
    <mergeCell ref="I19:L19"/>
    <mergeCell ref="B1:G1"/>
    <mergeCell ref="C35:D35"/>
    <mergeCell ref="E49:E51"/>
    <mergeCell ref="D49:D51"/>
    <mergeCell ref="C49:C51"/>
    <mergeCell ref="B49:B51"/>
    <mergeCell ref="G48:J48"/>
    <mergeCell ref="C48:F48"/>
    <mergeCell ref="J49:J51"/>
    <mergeCell ref="F49:F51"/>
    <mergeCell ref="G49:G51"/>
    <mergeCell ref="H49:H51"/>
    <mergeCell ref="I49:I51"/>
  </mergeCells>
  <pageMargins left="0.7" right="0.7" top="0.75" bottom="0.75" header="0.3" footer="0.3"/>
  <pageSetup scale="6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2"/>
  <sheetViews>
    <sheetView showGridLines="0" zoomScaleNormal="100" workbookViewId="0">
      <selection sqref="A1:F1"/>
    </sheetView>
  </sheetViews>
  <sheetFormatPr defaultColWidth="8.85546875" defaultRowHeight="15" x14ac:dyDescent="0.25"/>
  <cols>
    <col min="1" max="1" width="42.85546875" style="19" customWidth="1"/>
    <col min="2" max="2" width="17.5703125" style="19" customWidth="1"/>
    <col min="3" max="4" width="16.7109375" style="19" customWidth="1"/>
    <col min="5" max="5" width="16.5703125" style="19" customWidth="1"/>
    <col min="6" max="6" width="16.85546875" style="19" bestFit="1" customWidth="1"/>
    <col min="7" max="7" width="15.85546875" style="19" bestFit="1" customWidth="1"/>
    <col min="8" max="8" width="16.140625" style="19" customWidth="1"/>
    <col min="9" max="9" width="15.140625" style="19" customWidth="1"/>
    <col min="10" max="10" width="13.140625" style="19" customWidth="1"/>
    <col min="11" max="16384" width="8.85546875" style="19"/>
  </cols>
  <sheetData>
    <row r="1" spans="1:10" ht="21" x14ac:dyDescent="0.35">
      <c r="A1" s="274" t="s">
        <v>185</v>
      </c>
      <c r="B1" s="274"/>
      <c r="C1" s="274"/>
      <c r="D1" s="274"/>
      <c r="E1" s="274"/>
      <c r="F1" s="274"/>
      <c r="G1" s="63"/>
      <c r="H1" s="63"/>
      <c r="I1" s="63"/>
      <c r="J1" s="63"/>
    </row>
    <row r="2" spans="1:10" ht="21" x14ac:dyDescent="0.35">
      <c r="A2" s="274" t="s">
        <v>195</v>
      </c>
      <c r="B2" s="274"/>
      <c r="C2" s="274"/>
      <c r="D2" s="274"/>
      <c r="E2" s="274"/>
      <c r="F2" s="274"/>
      <c r="G2" s="63"/>
      <c r="H2" s="63"/>
      <c r="I2" s="63"/>
      <c r="J2" s="63"/>
    </row>
    <row r="3" spans="1:10" ht="17.100000000000001" customHeight="1" x14ac:dyDescent="0.25">
      <c r="A3" s="56"/>
    </row>
    <row r="4" spans="1:10" ht="27.6" customHeight="1" x14ac:dyDescent="0.25">
      <c r="A4" s="135" t="s">
        <v>114</v>
      </c>
      <c r="B4" s="118" t="s">
        <v>190</v>
      </c>
      <c r="C4" s="118" t="s">
        <v>191</v>
      </c>
      <c r="D4" s="118" t="s">
        <v>192</v>
      </c>
      <c r="E4" s="118" t="s">
        <v>152</v>
      </c>
      <c r="F4" s="117"/>
      <c r="G4" s="117"/>
      <c r="H4" s="117"/>
    </row>
    <row r="5" spans="1:10" x14ac:dyDescent="0.25">
      <c r="A5" s="46" t="s">
        <v>119</v>
      </c>
      <c r="B5" s="53">
        <f>'Budgets, Expenses &amp; Incentives'!H5</f>
        <v>41351.520000000004</v>
      </c>
      <c r="C5" s="53">
        <f>'Budgets, Expenses &amp; Incentives'!H20</f>
        <v>31185.01</v>
      </c>
      <c r="D5" s="53">
        <f>'Budgets, Expenses &amp; Incentives'!H35</f>
        <v>17086.96</v>
      </c>
      <c r="E5" s="141">
        <f t="shared" ref="E5:E11" si="0">IFERROR(C5/B5,0)</f>
        <v>0.75414422492812827</v>
      </c>
      <c r="F5" s="117"/>
      <c r="G5" s="117"/>
      <c r="H5" s="117"/>
    </row>
    <row r="6" spans="1:10" x14ac:dyDescent="0.25">
      <c r="A6" s="46" t="s">
        <v>120</v>
      </c>
      <c r="B6" s="53">
        <f>'Budgets, Expenses &amp; Incentives'!H6</f>
        <v>39648.639999999999</v>
      </c>
      <c r="C6" s="53">
        <f>'Budgets, Expenses &amp; Incentives'!H21</f>
        <v>24503.040000000001</v>
      </c>
      <c r="D6" s="53">
        <f>'Budgets, Expenses &amp; Incentives'!H36</f>
        <v>18255.939999999999</v>
      </c>
      <c r="E6" s="141">
        <f t="shared" si="0"/>
        <v>0.618004551984633</v>
      </c>
    </row>
    <row r="7" spans="1:10" x14ac:dyDescent="0.25">
      <c r="A7" s="46" t="s">
        <v>121</v>
      </c>
      <c r="B7" s="53">
        <f>'Budgets, Expenses &amp; Incentives'!H7</f>
        <v>94894.35</v>
      </c>
      <c r="C7" s="53">
        <f>'Budgets, Expenses &amp; Incentives'!H22</f>
        <v>86415.839999999982</v>
      </c>
      <c r="D7" s="53">
        <f>'Budgets, Expenses &amp; Incentives'!H37</f>
        <v>62474.92</v>
      </c>
      <c r="E7" s="141">
        <f t="shared" si="0"/>
        <v>0.91065316322836898</v>
      </c>
    </row>
    <row r="8" spans="1:10" x14ac:dyDescent="0.25">
      <c r="A8" s="46" t="s">
        <v>136</v>
      </c>
      <c r="B8" s="53">
        <f>'Budgets, Expenses &amp; Incentives'!H8</f>
        <v>94463.6</v>
      </c>
      <c r="C8" s="53">
        <f>'Budgets, Expenses &amp; Incentives'!H23</f>
        <v>66149</v>
      </c>
      <c r="D8" s="53">
        <f>'Budgets, Expenses &amp; Incentives'!H38</f>
        <v>41934.19</v>
      </c>
      <c r="E8" s="141">
        <f t="shared" si="0"/>
        <v>0.7002591474388018</v>
      </c>
    </row>
    <row r="9" spans="1:10" x14ac:dyDescent="0.25">
      <c r="A9" s="46" t="s">
        <v>153</v>
      </c>
      <c r="B9" s="53">
        <f>'Budgets, Expenses &amp; Incentives'!H9</f>
        <v>556794.99</v>
      </c>
      <c r="C9" s="53">
        <f>'Budgets, Expenses &amp; Incentives'!H24</f>
        <v>528819.46</v>
      </c>
      <c r="D9" s="53">
        <f>'Budgets, Expenses &amp; Incentives'!H39</f>
        <v>396103.97000000003</v>
      </c>
      <c r="E9" s="141">
        <f>IFERROR(C9/B9,0)-('Current Year Programs'!F9)</f>
        <v>0.94975613914916868</v>
      </c>
    </row>
    <row r="10" spans="1:10" x14ac:dyDescent="0.25">
      <c r="A10" s="57" t="s">
        <v>122</v>
      </c>
      <c r="B10" s="53">
        <f>'Budgets, Expenses &amp; Incentives'!H10</f>
        <v>7532.42</v>
      </c>
      <c r="C10" s="53">
        <f>'Budgets, Expenses &amp; Incentives'!H25</f>
        <v>5274.1699999999992</v>
      </c>
      <c r="D10" s="53">
        <f>'Budgets, Expenses &amp; Incentives'!H40</f>
        <v>2340.02</v>
      </c>
      <c r="E10" s="141">
        <f t="shared" si="0"/>
        <v>0.70019595296066861</v>
      </c>
    </row>
    <row r="11" spans="1:10" x14ac:dyDescent="0.25">
      <c r="A11" s="46" t="s">
        <v>123</v>
      </c>
      <c r="B11" s="53">
        <f>'Budgets, Expenses &amp; Incentives'!H11</f>
        <v>52684.409999999996</v>
      </c>
      <c r="C11" s="53">
        <f>'Budgets, Expenses &amp; Incentives'!H26</f>
        <v>33314.089999999997</v>
      </c>
      <c r="D11" s="53">
        <f>'Budgets, Expenses &amp; Incentives'!H41</f>
        <v>25502.51</v>
      </c>
      <c r="E11" s="141">
        <f t="shared" si="0"/>
        <v>0.6323329804775264</v>
      </c>
    </row>
    <row r="12" spans="1:10" ht="4.3499999999999996" customHeight="1" x14ac:dyDescent="0.25">
      <c r="B12" s="43"/>
      <c r="C12" s="43"/>
      <c r="D12" s="43"/>
      <c r="E12" s="43"/>
    </row>
    <row r="13" spans="1:10" x14ac:dyDescent="0.25">
      <c r="A13" s="46" t="s">
        <v>155</v>
      </c>
      <c r="B13" s="53">
        <f>'Budgets, Expenses &amp; Incentives'!H14</f>
        <v>236587.41282</v>
      </c>
      <c r="C13" s="53">
        <f>'Budgets, Expenses &amp; Incentives'!H29</f>
        <v>39147.312483499998</v>
      </c>
      <c r="D13" s="53">
        <f>'Budgets, Expenses &amp; Incentives'!H44</f>
        <v>32132.2893635</v>
      </c>
      <c r="E13" s="141">
        <f>IFERROR(C13/B13,0)</f>
        <v>0.16546659019972454</v>
      </c>
    </row>
    <row r="14" spans="1:10" ht="4.3499999999999996" customHeight="1" x14ac:dyDescent="0.25">
      <c r="B14" s="43"/>
      <c r="C14" s="43"/>
      <c r="D14" s="43"/>
      <c r="E14" s="43"/>
    </row>
    <row r="15" spans="1:10" x14ac:dyDescent="0.25">
      <c r="A15" s="52" t="s">
        <v>2</v>
      </c>
      <c r="B15" s="51">
        <f>SUM(B5:B13)</f>
        <v>1123957.3428200001</v>
      </c>
      <c r="C15" s="51">
        <f>SUM(C5:C13)</f>
        <v>814807.92248349998</v>
      </c>
      <c r="D15" s="51">
        <f>SUM(D5:D13)</f>
        <v>595830.79936349997</v>
      </c>
      <c r="E15" s="161">
        <f>IFERROR(C15/B15,0)</f>
        <v>0.72494559307664941</v>
      </c>
    </row>
    <row r="16" spans="1:10" ht="3" customHeight="1" x14ac:dyDescent="0.25">
      <c r="A16" s="56"/>
      <c r="B16" s="58"/>
      <c r="C16" s="58"/>
      <c r="D16" s="58"/>
      <c r="E16" s="58"/>
      <c r="F16" s="58"/>
    </row>
    <row r="17" spans="1:14" x14ac:dyDescent="0.25">
      <c r="A17" s="56"/>
      <c r="B17" s="58"/>
      <c r="C17" s="58"/>
      <c r="D17" s="58"/>
      <c r="E17" s="58"/>
      <c r="F17" s="58"/>
    </row>
    <row r="18" spans="1:14" ht="27.95" customHeight="1" x14ac:dyDescent="0.25">
      <c r="A18" s="135" t="s">
        <v>127</v>
      </c>
      <c r="B18" s="54" t="s">
        <v>128</v>
      </c>
    </row>
    <row r="19" spans="1:14" x14ac:dyDescent="0.25">
      <c r="A19" s="46" t="s">
        <v>7</v>
      </c>
      <c r="B19" s="59">
        <f>Participants!G4</f>
        <v>275626</v>
      </c>
    </row>
    <row r="20" spans="1:14" x14ac:dyDescent="0.25">
      <c r="A20" s="46" t="s">
        <v>11</v>
      </c>
      <c r="B20" s="59">
        <f>Participants!G5</f>
        <v>170984</v>
      </c>
    </row>
    <row r="21" spans="1:14" x14ac:dyDescent="0.25">
      <c r="A21" s="46" t="s">
        <v>14</v>
      </c>
      <c r="B21" s="59">
        <f>Participants!G6</f>
        <v>531064</v>
      </c>
    </row>
    <row r="22" spans="1:14" x14ac:dyDescent="0.25">
      <c r="A22" s="46" t="s">
        <v>12</v>
      </c>
      <c r="B22" s="59">
        <f>Participants!G7</f>
        <v>291332</v>
      </c>
    </row>
    <row r="23" spans="1:14" x14ac:dyDescent="0.25">
      <c r="A23" s="46" t="s">
        <v>15</v>
      </c>
      <c r="B23" s="59">
        <f>Participants!G8</f>
        <v>2559462</v>
      </c>
    </row>
    <row r="24" spans="1:14" x14ac:dyDescent="0.25">
      <c r="A24" s="46" t="s">
        <v>19</v>
      </c>
      <c r="B24" s="59">
        <f>Participants!G9</f>
        <v>14051</v>
      </c>
    </row>
    <row r="25" spans="1:14" x14ac:dyDescent="0.25">
      <c r="A25" s="46" t="s">
        <v>6</v>
      </c>
      <c r="B25" s="59">
        <f>Participants!G10</f>
        <v>182947</v>
      </c>
    </row>
    <row r="26" spans="1:14" ht="4.3499999999999996" customHeight="1" x14ac:dyDescent="0.25">
      <c r="B26" s="61"/>
    </row>
    <row r="27" spans="1:14" x14ac:dyDescent="0.25">
      <c r="A27" s="46" t="s">
        <v>155</v>
      </c>
      <c r="B27" s="59">
        <f>Participants!G13</f>
        <v>3523</v>
      </c>
    </row>
    <row r="28" spans="1:14" ht="4.3499999999999996" customHeight="1" x14ac:dyDescent="0.25">
      <c r="B28" s="61"/>
    </row>
    <row r="29" spans="1:14" x14ac:dyDescent="0.25">
      <c r="A29" s="52" t="s">
        <v>2</v>
      </c>
      <c r="B29" s="62">
        <f>SUM(B19:B27)</f>
        <v>4028989</v>
      </c>
    </row>
    <row r="30" spans="1:14" x14ac:dyDescent="0.25">
      <c r="B30" s="43"/>
      <c r="C30" s="43"/>
      <c r="D30" s="43"/>
      <c r="E30" s="43"/>
      <c r="F30" s="43"/>
    </row>
    <row r="31" spans="1:14" customFormat="1" x14ac:dyDescent="0.25">
      <c r="A31" s="64" t="s">
        <v>126</v>
      </c>
      <c r="B31" s="48" t="s">
        <v>112</v>
      </c>
      <c r="C31" s="48" t="s">
        <v>110</v>
      </c>
      <c r="D31" s="48" t="s">
        <v>109</v>
      </c>
      <c r="E31" s="142"/>
      <c r="H31" s="276"/>
      <c r="I31" s="276"/>
      <c r="J31" s="276"/>
      <c r="K31" s="276"/>
    </row>
    <row r="32" spans="1:14" customFormat="1" ht="14.45" customHeight="1" x14ac:dyDescent="0.25">
      <c r="A32" s="269" t="s">
        <v>113</v>
      </c>
      <c r="B32" s="277" t="s">
        <v>0</v>
      </c>
      <c r="C32" s="278"/>
      <c r="D32" s="279"/>
      <c r="E32" s="142"/>
      <c r="H32" s="19"/>
      <c r="I32" s="19"/>
      <c r="J32" s="19"/>
      <c r="K32" s="19"/>
      <c r="L32" s="19"/>
      <c r="M32" s="19"/>
      <c r="N32" s="19"/>
    </row>
    <row r="33" spans="1:15" customFormat="1" x14ac:dyDescent="0.25">
      <c r="A33" s="269"/>
      <c r="B33" s="47" t="s">
        <v>9</v>
      </c>
      <c r="C33" s="47" t="s">
        <v>10</v>
      </c>
      <c r="D33" s="47" t="s">
        <v>10</v>
      </c>
      <c r="E33" s="142"/>
      <c r="H33" s="19"/>
      <c r="I33" s="19"/>
      <c r="J33" s="19"/>
      <c r="K33" s="19"/>
      <c r="L33" s="19"/>
      <c r="M33" s="19"/>
      <c r="N33" s="19"/>
    </row>
    <row r="34" spans="1:15" customFormat="1" ht="14.45" customHeight="1" x14ac:dyDescent="0.25">
      <c r="A34" s="46" t="s">
        <v>7</v>
      </c>
      <c r="B34" s="45">
        <f>'Electric Savings'!G5</f>
        <v>7921.2547192538714</v>
      </c>
      <c r="C34" s="45">
        <f>'Electric Savings'!G16</f>
        <v>44947.940015416105</v>
      </c>
      <c r="D34" s="50">
        <f>'Electric Savings'!G27</f>
        <v>506045.45930454542</v>
      </c>
      <c r="E34" s="2"/>
      <c r="H34" s="10"/>
      <c r="I34" s="10"/>
      <c r="J34" s="10"/>
      <c r="K34" s="10"/>
      <c r="L34" s="10"/>
      <c r="M34" s="10"/>
      <c r="N34" s="10"/>
      <c r="O34" s="8"/>
    </row>
    <row r="35" spans="1:15" customFormat="1" x14ac:dyDescent="0.25">
      <c r="A35" s="46" t="s">
        <v>14</v>
      </c>
      <c r="B35" s="45">
        <f>'Electric Savings'!G6</f>
        <v>49976.931064263619</v>
      </c>
      <c r="C35" s="45">
        <f>'Electric Savings'!G17</f>
        <v>132795.41355708273</v>
      </c>
      <c r="D35" s="50">
        <f>'Electric Savings'!G28</f>
        <v>1492603.2593507022</v>
      </c>
      <c r="E35" s="2"/>
      <c r="H35" s="19"/>
      <c r="I35" s="19"/>
      <c r="J35" s="19"/>
      <c r="K35" s="19"/>
      <c r="L35" s="19"/>
      <c r="M35" s="19"/>
      <c r="N35" s="19"/>
    </row>
    <row r="36" spans="1:15" customFormat="1" x14ac:dyDescent="0.25">
      <c r="A36" s="46" t="s">
        <v>15</v>
      </c>
      <c r="B36" s="45">
        <f>'Electric Savings'!G7</f>
        <v>134608.27442651306</v>
      </c>
      <c r="C36" s="45">
        <f>'Electric Savings'!G18</f>
        <v>638838.67514846334</v>
      </c>
      <c r="D36" s="50">
        <f>'Electric Savings'!G29</f>
        <v>8081780.6807695804</v>
      </c>
      <c r="E36" s="2"/>
    </row>
    <row r="37" spans="1:15" customFormat="1" x14ac:dyDescent="0.25">
      <c r="A37" s="46" t="s">
        <v>19</v>
      </c>
      <c r="B37" s="45">
        <f>'Electric Savings'!G8</f>
        <v>4654</v>
      </c>
      <c r="C37" s="45">
        <f>'Electric Savings'!G19</f>
        <v>12445.473266119578</v>
      </c>
      <c r="D37" s="50">
        <f>'Electric Savings'!G30</f>
        <v>131572.53703399765</v>
      </c>
      <c r="E37" s="2"/>
    </row>
    <row r="38" spans="1:15" ht="4.3499999999999996" customHeight="1" x14ac:dyDescent="0.25">
      <c r="B38" s="60"/>
      <c r="C38" s="60"/>
      <c r="D38" s="61"/>
      <c r="E38" s="61"/>
    </row>
    <row r="39" spans="1:15" x14ac:dyDescent="0.25">
      <c r="A39" s="46" t="s">
        <v>155</v>
      </c>
      <c r="B39" s="45">
        <f>'Electric Savings'!G10</f>
        <v>9147.3387999999995</v>
      </c>
      <c r="C39" s="45">
        <f>'Electric Savings'!G21</f>
        <v>72756.424775199994</v>
      </c>
      <c r="D39" s="50">
        <f>'Electric Savings'!G32</f>
        <v>1234140.4641708999</v>
      </c>
      <c r="E39" s="2"/>
    </row>
    <row r="40" spans="1:15" ht="4.3499999999999996" customHeight="1" x14ac:dyDescent="0.25">
      <c r="B40" s="131"/>
      <c r="C40" s="60"/>
      <c r="D40" s="61"/>
      <c r="E40" s="61"/>
    </row>
    <row r="41" spans="1:15" s="8" customFormat="1" x14ac:dyDescent="0.25">
      <c r="A41" s="44" t="s">
        <v>2</v>
      </c>
      <c r="B41" s="49">
        <f>SUM(B34:B39)</f>
        <v>206307.79901003055</v>
      </c>
      <c r="C41" s="49">
        <f>SUM(C34:C39)</f>
        <v>901783.92676228168</v>
      </c>
      <c r="D41" s="49">
        <f>SUM(D34:D39)</f>
        <v>11446142.400629725</v>
      </c>
      <c r="E41" s="143"/>
    </row>
    <row r="42" spans="1:15" x14ac:dyDescent="0.25">
      <c r="B42" s="43"/>
      <c r="C42" s="43"/>
      <c r="D42" s="43"/>
      <c r="E42" s="43"/>
      <c r="F42" s="43"/>
    </row>
    <row r="43" spans="1:15" x14ac:dyDescent="0.25">
      <c r="B43" s="48" t="s">
        <v>110</v>
      </c>
      <c r="C43" s="48" t="s">
        <v>109</v>
      </c>
      <c r="D43" s="43"/>
      <c r="E43" s="43"/>
      <c r="F43" s="43"/>
    </row>
    <row r="44" spans="1:15" x14ac:dyDescent="0.25">
      <c r="A44" s="270" t="s">
        <v>111</v>
      </c>
      <c r="B44" s="280" t="s">
        <v>0</v>
      </c>
      <c r="C44" s="280"/>
      <c r="D44" s="43"/>
      <c r="E44" s="43"/>
      <c r="F44" s="43"/>
    </row>
    <row r="45" spans="1:15" x14ac:dyDescent="0.25">
      <c r="A45" s="271"/>
      <c r="B45" s="47" t="s">
        <v>1</v>
      </c>
      <c r="C45" s="47" t="s">
        <v>1</v>
      </c>
      <c r="D45" s="43"/>
      <c r="E45" s="43"/>
      <c r="F45" s="43"/>
    </row>
    <row r="46" spans="1:15" x14ac:dyDescent="0.25">
      <c r="A46" s="46" t="s">
        <v>11</v>
      </c>
      <c r="B46" s="45">
        <f>'Gas Savings'!G5</f>
        <v>293264.14116429834</v>
      </c>
      <c r="C46" s="45">
        <f>'Gas Savings'!G16</f>
        <v>2333992.8709898852</v>
      </c>
      <c r="D46" s="43"/>
      <c r="E46" s="43"/>
      <c r="F46" s="43"/>
    </row>
    <row r="47" spans="1:15" x14ac:dyDescent="0.25">
      <c r="A47" s="46" t="s">
        <v>12</v>
      </c>
      <c r="B47" s="45">
        <f>'Gas Savings'!G6</f>
        <v>494352.55229999998</v>
      </c>
      <c r="C47" s="45">
        <f>'Gas Savings'!G17</f>
        <v>3501652.4983000001</v>
      </c>
      <c r="D47" s="43"/>
      <c r="E47" s="43"/>
      <c r="F47" s="43"/>
    </row>
    <row r="48" spans="1:15" x14ac:dyDescent="0.25">
      <c r="A48" s="46" t="s">
        <v>15</v>
      </c>
      <c r="B48" s="45">
        <f>'Gas Savings'!G7</f>
        <v>2026779.8805283571</v>
      </c>
      <c r="C48" s="45">
        <f>'Gas Savings'!G18</f>
        <v>19063412.136078615</v>
      </c>
      <c r="D48" s="43"/>
      <c r="E48" s="43"/>
      <c r="F48" s="43"/>
    </row>
    <row r="49" spans="1:10" x14ac:dyDescent="0.25">
      <c r="A49" s="46" t="s">
        <v>6</v>
      </c>
      <c r="B49" s="45">
        <f>'Gas Savings'!G8</f>
        <v>303457.13996287965</v>
      </c>
      <c r="C49" s="45">
        <f>'Gas Savings'!G19</f>
        <v>2650335.6362947905</v>
      </c>
      <c r="D49" s="43"/>
      <c r="E49" s="43"/>
    </row>
    <row r="50" spans="1:10" ht="4.3499999999999996" customHeight="1" x14ac:dyDescent="0.25">
      <c r="B50" s="60"/>
      <c r="C50" s="60"/>
    </row>
    <row r="51" spans="1:10" x14ac:dyDescent="0.25">
      <c r="A51" s="46" t="s">
        <v>155</v>
      </c>
      <c r="B51" s="45">
        <f>'Gas Savings'!G10</f>
        <v>139531.69503999999</v>
      </c>
      <c r="C51" s="45">
        <f>'Gas Savings'!G21</f>
        <v>2686052.5191000002</v>
      </c>
    </row>
    <row r="52" spans="1:10" ht="4.3499999999999996" customHeight="1" x14ac:dyDescent="0.25">
      <c r="B52" s="60"/>
      <c r="C52" s="60"/>
    </row>
    <row r="53" spans="1:10" s="8" customFormat="1" x14ac:dyDescent="0.25">
      <c r="A53" s="44" t="s">
        <v>2</v>
      </c>
      <c r="B53" s="49">
        <f>SUM(B46:B51)</f>
        <v>3257385.4089955352</v>
      </c>
      <c r="C53" s="49">
        <f>SUM(C46:C51)</f>
        <v>30235445.66076329</v>
      </c>
    </row>
    <row r="54" spans="1:10" x14ac:dyDescent="0.25">
      <c r="B54" s="43"/>
      <c r="C54" s="43"/>
      <c r="D54" s="43"/>
      <c r="E54" s="43"/>
      <c r="F54" s="43"/>
    </row>
    <row r="55" spans="1:10" s="20" customFormat="1" ht="14.45" customHeight="1" x14ac:dyDescent="0.25">
      <c r="B55" s="283" t="s">
        <v>101</v>
      </c>
      <c r="C55" s="284"/>
      <c r="D55" s="284"/>
      <c r="E55" s="285"/>
      <c r="F55" s="283" t="s">
        <v>100</v>
      </c>
      <c r="G55" s="284"/>
      <c r="H55" s="284"/>
      <c r="I55" s="285"/>
    </row>
    <row r="56" spans="1:10" s="20" customFormat="1" ht="14.45" customHeight="1" x14ac:dyDescent="0.25">
      <c r="A56" s="275" t="s">
        <v>108</v>
      </c>
      <c r="B56" s="281" t="s">
        <v>98</v>
      </c>
      <c r="C56" s="272" t="s">
        <v>97</v>
      </c>
      <c r="D56" s="272" t="s">
        <v>103</v>
      </c>
      <c r="E56" s="272" t="s">
        <v>102</v>
      </c>
      <c r="F56" s="272" t="s">
        <v>98</v>
      </c>
      <c r="G56" s="272" t="s">
        <v>97</v>
      </c>
      <c r="H56" s="272" t="s">
        <v>103</v>
      </c>
      <c r="I56" s="272" t="s">
        <v>102</v>
      </c>
    </row>
    <row r="57" spans="1:10" s="20" customFormat="1" ht="14.45" customHeight="1" x14ac:dyDescent="0.25">
      <c r="A57" s="275"/>
      <c r="B57" s="282"/>
      <c r="C57" s="273"/>
      <c r="D57" s="273"/>
      <c r="E57" s="273"/>
      <c r="F57" s="273"/>
      <c r="G57" s="273"/>
      <c r="H57" s="273"/>
      <c r="I57" s="273"/>
    </row>
    <row r="58" spans="1:10" s="20" customFormat="1" x14ac:dyDescent="0.25">
      <c r="A58" s="275"/>
      <c r="B58" s="282"/>
      <c r="C58" s="273"/>
      <c r="D58" s="273"/>
      <c r="E58" s="273"/>
      <c r="F58" s="273"/>
      <c r="G58" s="273"/>
      <c r="H58" s="273"/>
      <c r="I58" s="273"/>
    </row>
    <row r="59" spans="1:10" s="20" customFormat="1" x14ac:dyDescent="0.25">
      <c r="A59" s="42" t="s">
        <v>107</v>
      </c>
      <c r="B59" s="39">
        <f>'Emissions Reductions'!B14</f>
        <v>529593.10608039459</v>
      </c>
      <c r="C59" s="38">
        <f>'Emissions Reductions'!C14</f>
        <v>340.21848146031539</v>
      </c>
      <c r="D59" s="38">
        <f>'Emissions Reductions'!D14</f>
        <v>274.63419587760404</v>
      </c>
      <c r="E59" s="38">
        <f>'Emissions Reductions'!E14</f>
        <v>991.96231943851012</v>
      </c>
      <c r="F59" s="38">
        <f>'Emissions Reductions'!F14</f>
        <v>6722007.2643698202</v>
      </c>
      <c r="G59" s="38">
        <f>'Emissions Reductions'!G14</f>
        <v>4318.3173602375782</v>
      </c>
      <c r="H59" s="38">
        <f>'Emissions Reductions'!H14</f>
        <v>3485.8706401917798</v>
      </c>
      <c r="I59" s="41">
        <f>'Emissions Reductions'!I14</f>
        <v>12590.7566406927</v>
      </c>
    </row>
    <row r="60" spans="1:10" s="20" customFormat="1" x14ac:dyDescent="0.25">
      <c r="A60" s="40" t="s">
        <v>106</v>
      </c>
      <c r="B60" s="39">
        <f>'Emissions Reductions'!B27</f>
        <v>173233.67856930799</v>
      </c>
      <c r="C60" s="38">
        <f>'Emissions Reductions'!C27</f>
        <v>1228.9226770301336</v>
      </c>
      <c r="D60" s="37"/>
      <c r="E60" s="37"/>
      <c r="F60" s="39">
        <f>'Emissions Reductions'!D27</f>
        <v>1607975.9737769566</v>
      </c>
      <c r="G60" s="38">
        <f>'Emissions Reductions'!E27</f>
        <v>11407.009044742512</v>
      </c>
      <c r="H60" s="37"/>
      <c r="I60" s="37"/>
    </row>
    <row r="61" spans="1:10" s="20" customFormat="1" x14ac:dyDescent="0.25">
      <c r="A61" s="36" t="s">
        <v>105</v>
      </c>
      <c r="B61" s="35">
        <f t="shared" ref="B61:I61" si="1">SUM(B59:B60)</f>
        <v>702826.7846497026</v>
      </c>
      <c r="C61" s="34">
        <f t="shared" si="1"/>
        <v>1569.141158490449</v>
      </c>
      <c r="D61" s="33">
        <f t="shared" si="1"/>
        <v>274.63419587760404</v>
      </c>
      <c r="E61" s="132">
        <f t="shared" si="1"/>
        <v>991.96231943851012</v>
      </c>
      <c r="F61" s="34">
        <f t="shared" si="1"/>
        <v>8329983.2381467763</v>
      </c>
      <c r="G61" s="34">
        <f t="shared" si="1"/>
        <v>15725.326404980089</v>
      </c>
      <c r="H61" s="33">
        <f t="shared" si="1"/>
        <v>3485.8706401917798</v>
      </c>
      <c r="I61" s="132">
        <f t="shared" si="1"/>
        <v>12590.7566406927</v>
      </c>
    </row>
    <row r="62" spans="1:10" s="20" customFormat="1" x14ac:dyDescent="0.25">
      <c r="A62" s="32"/>
      <c r="B62" s="31"/>
      <c r="C62" s="31"/>
      <c r="D62" s="31"/>
      <c r="E62" s="31"/>
      <c r="F62" s="30"/>
      <c r="G62" s="31"/>
      <c r="H62" s="31"/>
      <c r="I62" s="31"/>
      <c r="J62" s="30"/>
    </row>
  </sheetData>
  <mergeCells count="18">
    <mergeCell ref="H56:H58"/>
    <mergeCell ref="H31:K31"/>
    <mergeCell ref="B32:D32"/>
    <mergeCell ref="B44:C44"/>
    <mergeCell ref="I56:I58"/>
    <mergeCell ref="B56:B58"/>
    <mergeCell ref="C56:C58"/>
    <mergeCell ref="D56:D58"/>
    <mergeCell ref="F56:F58"/>
    <mergeCell ref="B55:E55"/>
    <mergeCell ref="F55:I55"/>
    <mergeCell ref="A32:A33"/>
    <mergeCell ref="A44:A45"/>
    <mergeCell ref="G56:G58"/>
    <mergeCell ref="A1:F1"/>
    <mergeCell ref="A2:F2"/>
    <mergeCell ref="A56:A58"/>
    <mergeCell ref="E56:E58"/>
  </mergeCells>
  <conditionalFormatting sqref="E5:E11">
    <cfRule type="expression" dxfId="185" priority="3972">
      <formula>IF($J5="TL",TRUE,FALSE)</formula>
    </cfRule>
    <cfRule type="expression" dxfId="184" priority="3973">
      <formula>IF($J5="ST",TRUE,FALSE)</formula>
    </cfRule>
    <cfRule type="expression" dxfId="183" priority="3974">
      <formula>IF(AND($J5="C",$K5=3),TRUE,FALSE)</formula>
    </cfRule>
    <cfRule type="expression" dxfId="182" priority="3975">
      <formula>IF(AND($J5&lt;&gt;"",$J5&lt;&gt;"ST"),TRUE,FALSE)</formula>
    </cfRule>
    <cfRule type="expression" dxfId="181" priority="3976">
      <formula>IF(OR($J5="ST",$J5="TL"),TRUE,FALSE)</formula>
    </cfRule>
    <cfRule type="expression" dxfId="180" priority="3977">
      <formula>IF($J5="SC",TRUE,FALSE)</formula>
    </cfRule>
    <cfRule type="expression" dxfId="179" priority="3978">
      <formula>IF(AND($J5="C",$K5=2),TRUE,FALSE)</formula>
    </cfRule>
  </conditionalFormatting>
  <conditionalFormatting sqref="E13 E15">
    <cfRule type="expression" dxfId="178" priority="3965">
      <formula>IF($M13="TL",TRUE,FALSE)</formula>
    </cfRule>
    <cfRule type="expression" dxfId="177" priority="3966">
      <formula>IF($M13="ST",TRUE,FALSE)</formula>
    </cfRule>
    <cfRule type="expression" dxfId="176" priority="3967">
      <formula>IF(AND($M13="C",$N13=3),TRUE,FALSE)</formula>
    </cfRule>
    <cfRule type="expression" dxfId="175" priority="3968">
      <formula>IF(AND($M13&lt;&gt;"",$M13&lt;&gt;"ST"),TRUE,FALSE)</formula>
    </cfRule>
    <cfRule type="expression" dxfId="174" priority="3969">
      <formula>IF(OR($M13="ST",$M13="TL"),TRUE,FALSE)</formula>
    </cfRule>
    <cfRule type="expression" dxfId="173" priority="3970">
      <formula>IF($M13="SC",TRUE,FALSE)</formula>
    </cfRule>
    <cfRule type="expression" dxfId="172" priority="3971">
      <formula>IF(AND($M13="C",$N13=2),TRUE,FALSE)</formula>
    </cfRule>
  </conditionalFormatting>
  <printOptions verticalCentered="1"/>
  <pageMargins left="0.7" right="0.7" top="0.75" bottom="1.75" header="0.3" footer="0.3"/>
  <pageSetup scale="50" orientation="landscape" r:id="rId1"/>
  <ignoredErrors>
    <ignoredError sqref="E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62C8-8853-4681-9FA1-A9BCD2B5F3D1}">
  <sheetPr>
    <pageSetUpPr fitToPage="1"/>
  </sheetPr>
  <dimension ref="A1:J45"/>
  <sheetViews>
    <sheetView showGridLines="0" workbookViewId="0"/>
  </sheetViews>
  <sheetFormatPr defaultColWidth="8.85546875" defaultRowHeight="15" x14ac:dyDescent="0.25"/>
  <cols>
    <col min="1" max="1" width="48.85546875" style="164" customWidth="1"/>
    <col min="2" max="3" width="17.5703125" style="164" customWidth="1"/>
    <col min="4" max="4" width="18.140625" style="164" customWidth="1"/>
    <col min="5" max="5" width="16.85546875" style="164" bestFit="1" customWidth="1"/>
    <col min="6" max="6" width="17.85546875" style="164" bestFit="1" customWidth="1"/>
    <col min="7" max="7" width="16.140625" style="164" customWidth="1"/>
    <col min="8" max="8" width="15.140625" style="164" customWidth="1"/>
    <col min="9" max="9" width="13.140625" style="164" customWidth="1"/>
    <col min="10" max="16384" width="8.85546875" style="164"/>
  </cols>
  <sheetData>
    <row r="1" spans="1:10" ht="21" x14ac:dyDescent="0.35">
      <c r="A1" s="236" t="s">
        <v>184</v>
      </c>
      <c r="B1" s="163"/>
      <c r="C1" s="163"/>
      <c r="D1" s="163"/>
      <c r="E1" s="163"/>
      <c r="F1" s="163"/>
      <c r="G1" s="163"/>
      <c r="H1" s="163"/>
      <c r="I1" s="163"/>
    </row>
    <row r="2" spans="1:10" ht="21" x14ac:dyDescent="0.35">
      <c r="A2" s="163" t="s">
        <v>195</v>
      </c>
      <c r="B2" s="163"/>
      <c r="C2" s="163"/>
      <c r="D2" s="163"/>
      <c r="E2" s="163"/>
      <c r="F2" s="163"/>
      <c r="G2" s="163"/>
      <c r="H2" s="163"/>
      <c r="I2" s="163"/>
    </row>
    <row r="3" spans="1:10" x14ac:dyDescent="0.25">
      <c r="A3" s="167"/>
      <c r="D3" s="203"/>
      <c r="G3" s="167"/>
    </row>
    <row r="4" spans="1:10" ht="27.95" customHeight="1" x14ac:dyDescent="0.25">
      <c r="A4" s="168" t="s">
        <v>114</v>
      </c>
      <c r="B4" s="178" t="s">
        <v>193</v>
      </c>
      <c r="C4" s="178" t="s">
        <v>194</v>
      </c>
      <c r="E4" s="167"/>
      <c r="F4" s="167"/>
      <c r="G4" s="167"/>
    </row>
    <row r="5" spans="1:10" x14ac:dyDescent="0.25">
      <c r="A5" s="173" t="s">
        <v>119</v>
      </c>
      <c r="B5" s="241">
        <v>1154.19</v>
      </c>
      <c r="C5" s="241">
        <v>1154.19</v>
      </c>
      <c r="E5" s="167"/>
      <c r="F5" s="167"/>
      <c r="G5" s="167"/>
    </row>
    <row r="6" spans="1:10" x14ac:dyDescent="0.25">
      <c r="A6" s="170" t="s">
        <v>120</v>
      </c>
      <c r="B6" s="241">
        <v>0</v>
      </c>
      <c r="C6" s="241">
        <v>0</v>
      </c>
    </row>
    <row r="7" spans="1:10" x14ac:dyDescent="0.25">
      <c r="A7" s="170" t="s">
        <v>121</v>
      </c>
      <c r="B7" s="205"/>
      <c r="C7" s="205"/>
      <c r="D7" s="203"/>
    </row>
    <row r="8" spans="1:10" x14ac:dyDescent="0.25">
      <c r="A8" s="170" t="s">
        <v>136</v>
      </c>
      <c r="B8" s="241">
        <v>135055.66</v>
      </c>
      <c r="C8" s="241">
        <v>16976.8</v>
      </c>
      <c r="D8" s="172"/>
      <c r="E8" s="172"/>
    </row>
    <row r="9" spans="1:10" x14ac:dyDescent="0.25">
      <c r="A9" s="170" t="s">
        <v>153</v>
      </c>
      <c r="B9" s="241">
        <v>18231.68</v>
      </c>
      <c r="C9" s="241">
        <v>18128.080000000002</v>
      </c>
    </row>
    <row r="10" spans="1:10" x14ac:dyDescent="0.25">
      <c r="A10" s="171" t="s">
        <v>122</v>
      </c>
      <c r="B10" s="241">
        <v>0</v>
      </c>
      <c r="C10" s="241">
        <v>0</v>
      </c>
      <c r="D10" s="206"/>
      <c r="E10" s="206"/>
    </row>
    <row r="11" spans="1:10" x14ac:dyDescent="0.25">
      <c r="A11" s="170" t="s">
        <v>123</v>
      </c>
      <c r="B11" s="241">
        <v>0</v>
      </c>
      <c r="C11" s="241">
        <v>0</v>
      </c>
    </row>
    <row r="12" spans="1:10" x14ac:dyDescent="0.25">
      <c r="A12" s="174" t="s">
        <v>2</v>
      </c>
      <c r="B12" s="175">
        <f>SUM(B5:B11)</f>
        <v>154441.53</v>
      </c>
      <c r="C12" s="175">
        <f>SUM(C5:C11)</f>
        <v>36259.07</v>
      </c>
    </row>
    <row r="13" spans="1:10" x14ac:dyDescent="0.25">
      <c r="B13" s="172"/>
      <c r="C13" s="172"/>
      <c r="D13" s="172"/>
      <c r="E13" s="172"/>
    </row>
    <row r="14" spans="1:10" s="180" customFormat="1" x14ac:dyDescent="0.25">
      <c r="A14" s="193"/>
      <c r="B14" s="178" t="s">
        <v>112</v>
      </c>
      <c r="C14" s="178" t="s">
        <v>110</v>
      </c>
      <c r="D14" s="178" t="s">
        <v>109</v>
      </c>
      <c r="G14" s="266"/>
      <c r="H14" s="266"/>
      <c r="I14" s="266"/>
      <c r="J14" s="266"/>
    </row>
    <row r="15" spans="1:10" s="180" customFormat="1" x14ac:dyDescent="0.25">
      <c r="A15" s="261" t="s">
        <v>113</v>
      </c>
      <c r="B15" s="263" t="s">
        <v>0</v>
      </c>
      <c r="C15" s="264"/>
      <c r="D15" s="265"/>
    </row>
    <row r="16" spans="1:10" s="180" customFormat="1" ht="13.5" customHeight="1" x14ac:dyDescent="0.25">
      <c r="A16" s="262"/>
      <c r="B16" s="181" t="s">
        <v>9</v>
      </c>
      <c r="C16" s="181" t="s">
        <v>10</v>
      </c>
      <c r="D16" s="181" t="s">
        <v>10</v>
      </c>
      <c r="E16" s="186"/>
      <c r="F16" s="164"/>
      <c r="H16" s="183"/>
    </row>
    <row r="17" spans="1:8" s="180" customFormat="1" x14ac:dyDescent="0.25">
      <c r="A17" s="173" t="s">
        <v>7</v>
      </c>
      <c r="B17" s="242">
        <v>3.0102986940000003</v>
      </c>
      <c r="C17" s="242">
        <v>7695</v>
      </c>
      <c r="D17" s="242">
        <v>24714.936735499999</v>
      </c>
      <c r="E17" s="186"/>
      <c r="F17" s="164"/>
      <c r="H17" s="183"/>
    </row>
    <row r="18" spans="1:8" s="180" customFormat="1" x14ac:dyDescent="0.25">
      <c r="A18" s="46" t="s">
        <v>11</v>
      </c>
      <c r="B18" s="242">
        <v>0</v>
      </c>
      <c r="C18" s="242">
        <v>0</v>
      </c>
      <c r="D18" s="242">
        <v>0</v>
      </c>
      <c r="E18" s="186"/>
      <c r="F18" s="164"/>
      <c r="H18" s="183"/>
    </row>
    <row r="19" spans="1:8" s="180" customFormat="1" x14ac:dyDescent="0.25">
      <c r="A19" s="173" t="s">
        <v>14</v>
      </c>
      <c r="B19" s="207"/>
      <c r="C19" s="207"/>
      <c r="D19" s="208"/>
      <c r="E19" s="203"/>
      <c r="H19" s="164"/>
    </row>
    <row r="20" spans="1:8" s="180" customFormat="1" x14ac:dyDescent="0.25">
      <c r="A20" s="46" t="s">
        <v>12</v>
      </c>
      <c r="B20" s="242">
        <v>1429</v>
      </c>
      <c r="C20" s="242">
        <v>17227</v>
      </c>
      <c r="D20" s="242">
        <v>333882</v>
      </c>
      <c r="E20" s="164"/>
    </row>
    <row r="21" spans="1:8" s="180" customFormat="1" x14ac:dyDescent="0.25">
      <c r="A21" s="173" t="s">
        <v>15</v>
      </c>
      <c r="B21" s="242">
        <v>585</v>
      </c>
      <c r="C21" s="242">
        <v>4946.7669999999998</v>
      </c>
      <c r="D21" s="242">
        <v>79580.649000000005</v>
      </c>
      <c r="E21" s="164"/>
    </row>
    <row r="22" spans="1:8" s="180" customFormat="1" x14ac:dyDescent="0.25">
      <c r="A22" s="173" t="s">
        <v>19</v>
      </c>
      <c r="B22" s="242">
        <v>0</v>
      </c>
      <c r="C22" s="242">
        <v>0</v>
      </c>
      <c r="D22" s="242">
        <v>0</v>
      </c>
    </row>
    <row r="23" spans="1:8" s="180" customFormat="1" x14ac:dyDescent="0.25">
      <c r="A23" s="46" t="s">
        <v>6</v>
      </c>
      <c r="B23" s="242">
        <v>0</v>
      </c>
      <c r="C23" s="242">
        <v>0</v>
      </c>
      <c r="D23" s="242">
        <v>0</v>
      </c>
    </row>
    <row r="24" spans="1:8" s="184" customFormat="1" x14ac:dyDescent="0.25">
      <c r="A24" s="189" t="s">
        <v>2</v>
      </c>
      <c r="B24" s="190">
        <f>SUM(B17:B23)</f>
        <v>2017.0102986940001</v>
      </c>
      <c r="C24" s="190">
        <f t="shared" ref="C24:D24" si="0">SUM(C17:C23)</f>
        <v>29868.767</v>
      </c>
      <c r="D24" s="190">
        <f t="shared" si="0"/>
        <v>438177.58573549998</v>
      </c>
    </row>
    <row r="25" spans="1:8" x14ac:dyDescent="0.25">
      <c r="B25" s="172"/>
      <c r="C25" s="172"/>
      <c r="D25" s="172"/>
      <c r="E25" s="172"/>
    </row>
    <row r="26" spans="1:8" x14ac:dyDescent="0.25">
      <c r="A26" s="193"/>
      <c r="B26" s="178" t="s">
        <v>110</v>
      </c>
      <c r="C26" s="178" t="s">
        <v>109</v>
      </c>
      <c r="D26" s="172"/>
      <c r="E26" s="172"/>
    </row>
    <row r="27" spans="1:8" x14ac:dyDescent="0.25">
      <c r="A27" s="261" t="s">
        <v>111</v>
      </c>
      <c r="B27" s="268" t="s">
        <v>0</v>
      </c>
      <c r="C27" s="268"/>
      <c r="D27" s="172"/>
      <c r="E27" s="172"/>
    </row>
    <row r="28" spans="1:8" x14ac:dyDescent="0.25">
      <c r="A28" s="262"/>
      <c r="B28" s="181" t="s">
        <v>1</v>
      </c>
      <c r="C28" s="181" t="s">
        <v>1</v>
      </c>
      <c r="D28" s="172"/>
      <c r="E28" s="172"/>
    </row>
    <row r="29" spans="1:8" x14ac:dyDescent="0.25">
      <c r="A29" s="46" t="s">
        <v>7</v>
      </c>
      <c r="B29" s="242">
        <v>3796.5295030772004</v>
      </c>
      <c r="C29" s="242">
        <v>35372.132661349198</v>
      </c>
      <c r="F29" s="172"/>
    </row>
    <row r="30" spans="1:8" x14ac:dyDescent="0.25">
      <c r="A30" s="170" t="s">
        <v>11</v>
      </c>
      <c r="B30" s="242">
        <v>0</v>
      </c>
      <c r="C30" s="242">
        <v>0</v>
      </c>
      <c r="F30" s="172"/>
    </row>
    <row r="31" spans="1:8" x14ac:dyDescent="0.25">
      <c r="A31" s="170" t="s">
        <v>12</v>
      </c>
      <c r="B31" s="242">
        <v>17653</v>
      </c>
      <c r="C31" s="242">
        <v>323364</v>
      </c>
      <c r="F31" s="172"/>
    </row>
    <row r="32" spans="1:8" x14ac:dyDescent="0.25">
      <c r="A32" s="170" t="s">
        <v>15</v>
      </c>
      <c r="B32" s="242">
        <v>19127.697</v>
      </c>
      <c r="C32" s="242">
        <v>391840.47499999998</v>
      </c>
      <c r="F32" s="172"/>
    </row>
    <row r="33" spans="1:9" x14ac:dyDescent="0.25">
      <c r="A33" s="240" t="s">
        <v>19</v>
      </c>
      <c r="B33" s="242">
        <v>0</v>
      </c>
      <c r="C33" s="242">
        <v>0</v>
      </c>
      <c r="F33" s="172"/>
    </row>
    <row r="34" spans="1:9" x14ac:dyDescent="0.25">
      <c r="A34" s="170" t="s">
        <v>6</v>
      </c>
      <c r="B34" s="242">
        <v>0</v>
      </c>
      <c r="C34" s="242">
        <v>0</v>
      </c>
    </row>
    <row r="35" spans="1:9" x14ac:dyDescent="0.25">
      <c r="A35" s="189" t="s">
        <v>2</v>
      </c>
      <c r="B35" s="209">
        <f>SUM(B29:B34)</f>
        <v>40577.226503077196</v>
      </c>
      <c r="C35" s="209">
        <f>SUM(C29:C34)</f>
        <v>750576.60766134923</v>
      </c>
      <c r="D35" s="172"/>
      <c r="E35" s="172"/>
    </row>
    <row r="36" spans="1:9" x14ac:dyDescent="0.25">
      <c r="B36" s="172"/>
      <c r="C36" s="172"/>
      <c r="D36" s="172"/>
      <c r="E36" s="172"/>
    </row>
    <row r="37" spans="1:9" s="193" customFormat="1" ht="14.45" customHeight="1" x14ac:dyDescent="0.25">
      <c r="B37" s="286" t="s">
        <v>101</v>
      </c>
      <c r="C37" s="287"/>
      <c r="D37" s="287"/>
      <c r="E37" s="287"/>
      <c r="F37" s="286" t="s">
        <v>100</v>
      </c>
      <c r="G37" s="287"/>
      <c r="H37" s="287"/>
      <c r="I37" s="287"/>
    </row>
    <row r="38" spans="1:9" s="193" customFormat="1" ht="14.45" customHeight="1" x14ac:dyDescent="0.25">
      <c r="A38" s="257" t="s">
        <v>108</v>
      </c>
      <c r="B38" s="255" t="s">
        <v>168</v>
      </c>
      <c r="C38" s="253" t="s">
        <v>169</v>
      </c>
      <c r="D38" s="253" t="s">
        <v>170</v>
      </c>
      <c r="E38" s="253" t="s">
        <v>102</v>
      </c>
      <c r="F38" s="253" t="s">
        <v>168</v>
      </c>
      <c r="G38" s="253" t="s">
        <v>169</v>
      </c>
      <c r="H38" s="253" t="s">
        <v>170</v>
      </c>
      <c r="I38" s="253" t="s">
        <v>102</v>
      </c>
    </row>
    <row r="39" spans="1:9" s="193" customFormat="1" ht="14.45" customHeight="1" x14ac:dyDescent="0.25">
      <c r="A39" s="257"/>
      <c r="B39" s="256"/>
      <c r="C39" s="254"/>
      <c r="D39" s="254"/>
      <c r="E39" s="254"/>
      <c r="F39" s="254"/>
      <c r="G39" s="254"/>
      <c r="H39" s="254"/>
      <c r="I39" s="254"/>
    </row>
    <row r="40" spans="1:9" s="193" customFormat="1" x14ac:dyDescent="0.25">
      <c r="A40" s="257"/>
      <c r="B40" s="256"/>
      <c r="C40" s="254"/>
      <c r="D40" s="254"/>
      <c r="E40" s="254"/>
      <c r="F40" s="254"/>
      <c r="G40" s="254"/>
      <c r="H40" s="254"/>
      <c r="I40" s="254"/>
    </row>
    <row r="41" spans="1:9" s="193" customFormat="1" x14ac:dyDescent="0.25">
      <c r="A41" s="194" t="s">
        <v>107</v>
      </c>
      <c r="B41" s="195">
        <f>C24*1292/2200</f>
        <v>17541.112256363638</v>
      </c>
      <c r="C41" s="195">
        <f>C24*0.83/2200</f>
        <v>11.268671186363637</v>
      </c>
      <c r="D41" s="195">
        <f>C24*0.67/2200</f>
        <v>9.0963972227272727</v>
      </c>
      <c r="E41" s="195">
        <f>C24*1.1/1000</f>
        <v>32.855643700000002</v>
      </c>
      <c r="F41" s="195">
        <f>D24*1292/2200</f>
        <v>257329.74580466634</v>
      </c>
      <c r="G41" s="195">
        <f>D24*0.83/2200</f>
        <v>165.31245280021136</v>
      </c>
      <c r="H41" s="195">
        <f>D24*0.67/2200</f>
        <v>133.44499201944774</v>
      </c>
      <c r="I41" s="195">
        <f>D24*1.1/1000</f>
        <v>481.99534430904998</v>
      </c>
    </row>
    <row r="42" spans="1:9" s="193" customFormat="1" x14ac:dyDescent="0.25">
      <c r="A42" s="196" t="s">
        <v>106</v>
      </c>
      <c r="B42" s="195">
        <f>B35*1292/2200</f>
        <v>23829.898473625337</v>
      </c>
      <c r="C42" s="195">
        <f>B35*0.83/2200</f>
        <v>15.308680907979122</v>
      </c>
      <c r="D42" s="210"/>
      <c r="E42" s="210"/>
      <c r="F42" s="195">
        <f>C35*1292/2200</f>
        <v>440793.17140839237</v>
      </c>
      <c r="G42" s="195">
        <f>C35*0.83/2200</f>
        <v>283.17208379950904</v>
      </c>
      <c r="H42" s="211"/>
      <c r="I42" s="211"/>
    </row>
    <row r="43" spans="1:9" s="193" customFormat="1" x14ac:dyDescent="0.25">
      <c r="A43" s="198" t="s">
        <v>105</v>
      </c>
      <c r="B43" s="199">
        <f>SUM(B41:B42)</f>
        <v>41371.010729988979</v>
      </c>
      <c r="C43" s="200">
        <f t="shared" ref="C43:I43" si="1">SUM(C41:C42)</f>
        <v>26.577352094342757</v>
      </c>
      <c r="D43" s="201">
        <f t="shared" si="1"/>
        <v>9.0963972227272727</v>
      </c>
      <c r="E43" s="202">
        <f t="shared" si="1"/>
        <v>32.855643700000002</v>
      </c>
      <c r="F43" s="200">
        <f t="shared" si="1"/>
        <v>698122.91721305868</v>
      </c>
      <c r="G43" s="200">
        <f t="shared" si="1"/>
        <v>448.4845365997204</v>
      </c>
      <c r="H43" s="201">
        <f t="shared" si="1"/>
        <v>133.44499201944774</v>
      </c>
      <c r="I43" s="202">
        <f t="shared" si="1"/>
        <v>481.99534430904998</v>
      </c>
    </row>
    <row r="44" spans="1:9" s="193" customFormat="1" x14ac:dyDescent="0.25">
      <c r="A44" s="212"/>
      <c r="B44" s="213"/>
      <c r="C44" s="213"/>
      <c r="D44" s="213"/>
      <c r="E44" s="214"/>
      <c r="F44" s="213"/>
      <c r="G44" s="213"/>
      <c r="H44" s="213"/>
      <c r="I44" s="214"/>
    </row>
    <row r="45" spans="1:9" x14ac:dyDescent="0.25">
      <c r="A45" s="215"/>
      <c r="B45" s="216"/>
    </row>
  </sheetData>
  <mergeCells count="16">
    <mergeCell ref="A15:A16"/>
    <mergeCell ref="A27:A28"/>
    <mergeCell ref="B37:E37"/>
    <mergeCell ref="F37:I37"/>
    <mergeCell ref="G14:J14"/>
    <mergeCell ref="B15:D15"/>
    <mergeCell ref="B27:C27"/>
    <mergeCell ref="G38:G40"/>
    <mergeCell ref="H38:H40"/>
    <mergeCell ref="I38:I40"/>
    <mergeCell ref="A38:A40"/>
    <mergeCell ref="B38:B40"/>
    <mergeCell ref="C38:C40"/>
    <mergeCell ref="D38:D40"/>
    <mergeCell ref="E38:E40"/>
    <mergeCell ref="F38:F40"/>
  </mergeCells>
  <pageMargins left="0.7" right="0.7" top="0.75" bottom="0.75" header="0.3" footer="0.3"/>
  <pageSetup scale="6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showGridLines="0" zoomScaleNormal="100" workbookViewId="0">
      <selection activeCell="G10" sqref="G10"/>
    </sheetView>
  </sheetViews>
  <sheetFormatPr defaultColWidth="8.85546875" defaultRowHeight="18.75" x14ac:dyDescent="0.3"/>
  <cols>
    <col min="1" max="1" width="27.7109375" style="113" customWidth="1"/>
    <col min="2" max="2" width="21.5703125" style="113" customWidth="1"/>
    <col min="3" max="3" width="22.42578125" style="113" customWidth="1"/>
    <col min="4" max="4" width="22.5703125" style="113" customWidth="1"/>
    <col min="5" max="7" width="23.42578125" style="113" customWidth="1"/>
    <col min="8" max="9" width="21.140625" style="113" customWidth="1"/>
    <col min="10" max="16384" width="8.85546875" style="113"/>
  </cols>
  <sheetData>
    <row r="1" spans="1:8" x14ac:dyDescent="0.3">
      <c r="A1" s="126" t="s">
        <v>154</v>
      </c>
    </row>
    <row r="2" spans="1:8" ht="15.6" customHeight="1" x14ac:dyDescent="0.3">
      <c r="A2" s="115"/>
      <c r="B2" s="114"/>
      <c r="C2" s="114"/>
    </row>
    <row r="3" spans="1:8" ht="18.75" customHeight="1" x14ac:dyDescent="0.3">
      <c r="B3" s="288" t="s">
        <v>163</v>
      </c>
      <c r="C3" s="289"/>
      <c r="D3" s="289"/>
      <c r="E3" s="289"/>
      <c r="F3" s="289"/>
      <c r="G3" s="289"/>
      <c r="H3" s="290"/>
    </row>
    <row r="4" spans="1:8" customFormat="1" ht="30" x14ac:dyDescent="0.25">
      <c r="A4" s="9"/>
      <c r="B4" s="120" t="s">
        <v>124</v>
      </c>
      <c r="C4" s="120" t="s">
        <v>125</v>
      </c>
      <c r="D4" s="120" t="s">
        <v>57</v>
      </c>
      <c r="E4" s="120" t="s">
        <v>138</v>
      </c>
      <c r="F4" s="237" t="s">
        <v>166</v>
      </c>
      <c r="G4" s="238" t="s">
        <v>157</v>
      </c>
      <c r="H4" s="55" t="s">
        <v>137</v>
      </c>
    </row>
    <row r="5" spans="1:8" customFormat="1" ht="20.45" customHeight="1" x14ac:dyDescent="0.25">
      <c r="A5" s="124" t="s">
        <v>7</v>
      </c>
      <c r="B5" s="241">
        <v>17613.13</v>
      </c>
      <c r="C5" s="241">
        <v>20371.7</v>
      </c>
      <c r="D5" s="241">
        <v>0</v>
      </c>
      <c r="E5" s="241">
        <v>0</v>
      </c>
      <c r="F5" s="241">
        <v>200</v>
      </c>
      <c r="G5" s="241">
        <v>3166.69</v>
      </c>
      <c r="H5" s="156">
        <f>SUM(B5:G5)</f>
        <v>41351.520000000004</v>
      </c>
    </row>
    <row r="6" spans="1:8" customFormat="1" ht="20.45" customHeight="1" x14ac:dyDescent="0.25">
      <c r="A6" s="124" t="s">
        <v>11</v>
      </c>
      <c r="B6" s="241">
        <v>24208.11</v>
      </c>
      <c r="C6" s="241">
        <v>8162.54</v>
      </c>
      <c r="D6" s="241">
        <v>3487.36</v>
      </c>
      <c r="E6" s="241">
        <v>0</v>
      </c>
      <c r="F6" s="241">
        <v>0</v>
      </c>
      <c r="G6" s="241">
        <v>3790.63</v>
      </c>
      <c r="H6" s="156">
        <f t="shared" ref="H6:H11" si="0">SUM(B6:G6)</f>
        <v>39648.639999999999</v>
      </c>
    </row>
    <row r="7" spans="1:8" customFormat="1" ht="20.45" customHeight="1" x14ac:dyDescent="0.25">
      <c r="A7" s="124" t="s">
        <v>14</v>
      </c>
      <c r="B7" s="241">
        <v>40906.33</v>
      </c>
      <c r="C7" s="241">
        <v>42690.33</v>
      </c>
      <c r="D7" s="241">
        <v>2603.06</v>
      </c>
      <c r="E7" s="241">
        <v>2673.46</v>
      </c>
      <c r="F7" s="241">
        <v>0</v>
      </c>
      <c r="G7" s="241">
        <v>6021.17</v>
      </c>
      <c r="H7" s="156">
        <f t="shared" si="0"/>
        <v>94894.35</v>
      </c>
    </row>
    <row r="8" spans="1:8" customFormat="1" ht="20.45" customHeight="1" x14ac:dyDescent="0.25">
      <c r="A8" s="124" t="s">
        <v>12</v>
      </c>
      <c r="B8" s="241">
        <v>38929</v>
      </c>
      <c r="C8" s="241">
        <v>40622</v>
      </c>
      <c r="D8" s="241">
        <v>9164</v>
      </c>
      <c r="E8" s="241">
        <v>0</v>
      </c>
      <c r="F8" s="241">
        <v>0</v>
      </c>
      <c r="G8" s="241">
        <v>5748.6</v>
      </c>
      <c r="H8" s="156">
        <f t="shared" si="0"/>
        <v>94463.6</v>
      </c>
    </row>
    <row r="9" spans="1:8" customFormat="1" ht="20.45" customHeight="1" x14ac:dyDescent="0.25">
      <c r="A9" s="124" t="s">
        <v>15</v>
      </c>
      <c r="B9" s="241">
        <v>190498.29</v>
      </c>
      <c r="C9" s="241">
        <v>302809.15999999997</v>
      </c>
      <c r="D9" s="241">
        <v>6311.74</v>
      </c>
      <c r="E9" s="241">
        <v>0</v>
      </c>
      <c r="F9" s="241">
        <v>26912.799999999999</v>
      </c>
      <c r="G9" s="241">
        <v>30263</v>
      </c>
      <c r="H9" s="156">
        <f t="shared" si="0"/>
        <v>556794.99</v>
      </c>
    </row>
    <row r="10" spans="1:8" customFormat="1" ht="20.45" customHeight="1" x14ac:dyDescent="0.25">
      <c r="A10" s="124" t="s">
        <v>19</v>
      </c>
      <c r="B10" s="241">
        <v>2318.17</v>
      </c>
      <c r="C10" s="241">
        <v>3234.95</v>
      </c>
      <c r="D10" s="241">
        <v>503.63</v>
      </c>
      <c r="E10" s="241">
        <v>1164.47</v>
      </c>
      <c r="F10" s="241">
        <v>0</v>
      </c>
      <c r="G10" s="241">
        <v>311.2</v>
      </c>
      <c r="H10" s="156">
        <f t="shared" si="0"/>
        <v>7532.42</v>
      </c>
    </row>
    <row r="11" spans="1:8" customFormat="1" ht="20.45" customHeight="1" x14ac:dyDescent="0.25">
      <c r="A11" s="124" t="s">
        <v>6</v>
      </c>
      <c r="B11" s="241">
        <v>39041.33</v>
      </c>
      <c r="C11" s="241">
        <v>6257.45</v>
      </c>
      <c r="D11" s="241">
        <v>3095.77</v>
      </c>
      <c r="E11" s="241">
        <v>0</v>
      </c>
      <c r="F11" s="241">
        <v>0</v>
      </c>
      <c r="G11" s="241">
        <v>4289.8599999999997</v>
      </c>
      <c r="H11" s="156">
        <f t="shared" si="0"/>
        <v>52684.409999999996</v>
      </c>
    </row>
    <row r="12" spans="1:8" customFormat="1" ht="20.45" customHeight="1" x14ac:dyDescent="0.25">
      <c r="A12" s="157" t="s">
        <v>156</v>
      </c>
      <c r="B12" s="158">
        <f>SUM(B5:B11)</f>
        <v>353514.36</v>
      </c>
      <c r="C12" s="158">
        <f t="shared" ref="C12:H12" si="1">SUM(C5:C11)</f>
        <v>424148.13</v>
      </c>
      <c r="D12" s="158">
        <f t="shared" si="1"/>
        <v>25165.56</v>
      </c>
      <c r="E12" s="158">
        <f t="shared" si="1"/>
        <v>3837.9300000000003</v>
      </c>
      <c r="F12" s="158">
        <f t="shared" si="1"/>
        <v>27112.799999999999</v>
      </c>
      <c r="G12" s="158">
        <f t="shared" si="1"/>
        <v>53591.149999999994</v>
      </c>
      <c r="H12" s="158">
        <f t="shared" si="1"/>
        <v>887369.93</v>
      </c>
    </row>
    <row r="13" spans="1:8" customFormat="1" ht="6.6" customHeight="1" x14ac:dyDescent="0.25">
      <c r="A13" s="56"/>
      <c r="B13" s="121"/>
      <c r="C13" s="121"/>
      <c r="D13" s="121"/>
      <c r="E13" s="121"/>
      <c r="F13" s="121"/>
      <c r="G13" s="121"/>
      <c r="H13" s="122"/>
    </row>
    <row r="14" spans="1:8" customFormat="1" ht="18.600000000000001" customHeight="1" x14ac:dyDescent="0.25">
      <c r="A14" s="124" t="s">
        <v>187</v>
      </c>
      <c r="B14" s="241">
        <v>21153.623820000001</v>
      </c>
      <c r="C14" s="241">
        <v>215433.78899999999</v>
      </c>
      <c r="D14" s="241">
        <v>0</v>
      </c>
      <c r="E14" s="241">
        <v>0</v>
      </c>
      <c r="F14" s="43"/>
      <c r="G14" s="43"/>
      <c r="H14" s="156">
        <f t="shared" ref="H14" si="2">SUM(B14:E14)</f>
        <v>236587.41282</v>
      </c>
    </row>
    <row r="15" spans="1:8" customFormat="1" ht="6" customHeight="1" x14ac:dyDescent="0.25">
      <c r="A15" s="19"/>
      <c r="B15" s="121"/>
      <c r="C15" s="121"/>
      <c r="D15" s="121"/>
      <c r="E15" s="121"/>
      <c r="F15" s="121"/>
      <c r="G15" s="121"/>
      <c r="H15" s="123"/>
    </row>
    <row r="16" spans="1:8" customFormat="1" ht="18.95" customHeight="1" x14ac:dyDescent="0.25">
      <c r="A16" s="125" t="s">
        <v>2</v>
      </c>
      <c r="B16" s="155">
        <f>SUM(B12,B14)</f>
        <v>374667.98381999996</v>
      </c>
      <c r="C16" s="155">
        <f>SUM(C12,C14)</f>
        <v>639581.91899999999</v>
      </c>
      <c r="D16" s="155">
        <f>SUM(D12,D14)</f>
        <v>25165.56</v>
      </c>
      <c r="E16" s="155">
        <f>SUM(E12,E14)</f>
        <v>3837.9300000000003</v>
      </c>
      <c r="F16" s="155">
        <f>F12</f>
        <v>27112.799999999999</v>
      </c>
      <c r="G16" s="155">
        <f>G12</f>
        <v>53591.149999999994</v>
      </c>
      <c r="H16" s="155">
        <f>SUM(H12,H14)</f>
        <v>1123957.3428200001</v>
      </c>
    </row>
    <row r="18" spans="1:8" x14ac:dyDescent="0.3">
      <c r="B18" s="291" t="s">
        <v>164</v>
      </c>
      <c r="C18" s="291"/>
      <c r="D18" s="291"/>
      <c r="E18" s="291"/>
      <c r="F18" s="292"/>
      <c r="G18" s="292"/>
      <c r="H18" s="292"/>
    </row>
    <row r="19" spans="1:8" ht="30" x14ac:dyDescent="0.3">
      <c r="A19" s="9"/>
      <c r="B19" s="55" t="s">
        <v>124</v>
      </c>
      <c r="C19" s="55" t="s">
        <v>125</v>
      </c>
      <c r="D19" s="55" t="s">
        <v>57</v>
      </c>
      <c r="E19" s="55" t="s">
        <v>138</v>
      </c>
      <c r="F19" s="239" t="s">
        <v>166</v>
      </c>
      <c r="G19" s="238" t="s">
        <v>157</v>
      </c>
      <c r="H19" s="55" t="s">
        <v>137</v>
      </c>
    </row>
    <row r="20" spans="1:8" x14ac:dyDescent="0.3">
      <c r="A20" s="124" t="s">
        <v>7</v>
      </c>
      <c r="B20" s="241">
        <v>12842.9</v>
      </c>
      <c r="C20" s="241">
        <v>16264.23</v>
      </c>
      <c r="D20" s="241">
        <v>0</v>
      </c>
      <c r="E20" s="241">
        <v>0</v>
      </c>
      <c r="F20" s="241">
        <v>0</v>
      </c>
      <c r="G20" s="241">
        <v>2077.88</v>
      </c>
      <c r="H20" s="156">
        <f>SUM(B20:G20)</f>
        <v>31185.01</v>
      </c>
    </row>
    <row r="21" spans="1:8" x14ac:dyDescent="0.3">
      <c r="A21" s="124" t="s">
        <v>11</v>
      </c>
      <c r="B21" s="241">
        <v>12951.98</v>
      </c>
      <c r="C21" s="241">
        <v>7509.32</v>
      </c>
      <c r="D21" s="241">
        <v>1838.41</v>
      </c>
      <c r="E21" s="241">
        <v>0</v>
      </c>
      <c r="F21" s="241">
        <v>0</v>
      </c>
      <c r="G21" s="241">
        <v>2203.33</v>
      </c>
      <c r="H21" s="156">
        <f t="shared" ref="H21:H26" si="3">SUM(B21:G21)</f>
        <v>24503.040000000001</v>
      </c>
    </row>
    <row r="22" spans="1:8" x14ac:dyDescent="0.3">
      <c r="A22" s="124" t="s">
        <v>14</v>
      </c>
      <c r="B22" s="241">
        <v>17414.849999999999</v>
      </c>
      <c r="C22" s="241">
        <v>61136.2</v>
      </c>
      <c r="D22" s="241">
        <v>1019.18</v>
      </c>
      <c r="E22" s="241">
        <v>2127.9899999999998</v>
      </c>
      <c r="F22" s="241">
        <v>0</v>
      </c>
      <c r="G22" s="241">
        <v>4717.62</v>
      </c>
      <c r="H22" s="156">
        <f t="shared" si="3"/>
        <v>86415.839999999982</v>
      </c>
    </row>
    <row r="23" spans="1:8" x14ac:dyDescent="0.3">
      <c r="A23" s="124" t="s">
        <v>12</v>
      </c>
      <c r="B23" s="241">
        <v>40926</v>
      </c>
      <c r="C23" s="241">
        <v>17594</v>
      </c>
      <c r="D23" s="241">
        <v>1929</v>
      </c>
      <c r="E23" s="241">
        <v>0</v>
      </c>
      <c r="F23" s="241">
        <v>0</v>
      </c>
      <c r="G23" s="241">
        <v>5700</v>
      </c>
      <c r="H23" s="156">
        <f t="shared" si="3"/>
        <v>66149</v>
      </c>
    </row>
    <row r="24" spans="1:8" x14ac:dyDescent="0.3">
      <c r="A24" s="124" t="s">
        <v>15</v>
      </c>
      <c r="B24" s="241">
        <v>230704.05</v>
      </c>
      <c r="C24" s="241">
        <v>264315.94</v>
      </c>
      <c r="D24" s="241">
        <v>5722.11</v>
      </c>
      <c r="E24" s="241">
        <v>0</v>
      </c>
      <c r="F24" s="241">
        <v>0</v>
      </c>
      <c r="G24" s="241">
        <v>28077.360000000001</v>
      </c>
      <c r="H24" s="156">
        <f t="shared" si="3"/>
        <v>528819.46</v>
      </c>
    </row>
    <row r="25" spans="1:8" x14ac:dyDescent="0.3">
      <c r="A25" s="124" t="s">
        <v>19</v>
      </c>
      <c r="B25" s="241">
        <v>1605.38</v>
      </c>
      <c r="C25" s="241">
        <v>2623.6</v>
      </c>
      <c r="D25" s="241">
        <v>147.69</v>
      </c>
      <c r="E25" s="241">
        <v>609.71</v>
      </c>
      <c r="F25" s="241">
        <v>9.1300000000000008</v>
      </c>
      <c r="G25" s="241">
        <v>278.66000000000003</v>
      </c>
      <c r="H25" s="156">
        <f t="shared" si="3"/>
        <v>5274.1699999999992</v>
      </c>
    </row>
    <row r="26" spans="1:8" x14ac:dyDescent="0.3">
      <c r="A26" s="124" t="s">
        <v>6</v>
      </c>
      <c r="B26" s="241">
        <v>25301.919999999998</v>
      </c>
      <c r="C26" s="241">
        <v>3077.41</v>
      </c>
      <c r="D26" s="241">
        <v>1099.1500000000001</v>
      </c>
      <c r="E26" s="241">
        <v>0</v>
      </c>
      <c r="F26" s="241">
        <v>0</v>
      </c>
      <c r="G26" s="241">
        <v>3835.61</v>
      </c>
      <c r="H26" s="156">
        <f t="shared" si="3"/>
        <v>33314.089999999997</v>
      </c>
    </row>
    <row r="27" spans="1:8" x14ac:dyDescent="0.3">
      <c r="A27" s="157" t="s">
        <v>156</v>
      </c>
      <c r="B27" s="158">
        <f>SUM(B20:B26)</f>
        <v>341747.07999999996</v>
      </c>
      <c r="C27" s="158">
        <f t="shared" ref="C27" si="4">SUM(C20:C26)</f>
        <v>372520.69999999995</v>
      </c>
      <c r="D27" s="158">
        <f t="shared" ref="D27" si="5">SUM(D20:D26)</f>
        <v>11755.54</v>
      </c>
      <c r="E27" s="158">
        <f t="shared" ref="E27:G27" si="6">SUM(E20:E26)</f>
        <v>2737.7</v>
      </c>
      <c r="F27" s="158">
        <f t="shared" si="6"/>
        <v>9.1300000000000008</v>
      </c>
      <c r="G27" s="158">
        <f t="shared" si="6"/>
        <v>46890.460000000006</v>
      </c>
      <c r="H27" s="158">
        <f t="shared" ref="H27" si="7">SUM(H20:H26)</f>
        <v>775660.61</v>
      </c>
    </row>
    <row r="28" spans="1:8" customFormat="1" ht="6.6" customHeight="1" x14ac:dyDescent="0.25">
      <c r="A28" s="56"/>
      <c r="B28" s="121"/>
      <c r="C28" s="121"/>
      <c r="D28" s="121"/>
      <c r="E28" s="121"/>
      <c r="F28" s="121"/>
      <c r="G28" s="121"/>
      <c r="H28" s="122"/>
    </row>
    <row r="29" spans="1:8" customFormat="1" ht="18.600000000000001" customHeight="1" x14ac:dyDescent="0.25">
      <c r="A29" s="124" t="s">
        <v>187</v>
      </c>
      <c r="B29" s="241">
        <v>7274.1093600000004</v>
      </c>
      <c r="C29" s="241">
        <v>31873.203123499999</v>
      </c>
      <c r="D29" s="241">
        <v>0</v>
      </c>
      <c r="E29" s="241">
        <v>0</v>
      </c>
      <c r="F29" s="43"/>
      <c r="G29" s="43"/>
      <c r="H29" s="156">
        <f t="shared" ref="H29" si="8">SUM(B29:E29)</f>
        <v>39147.312483499998</v>
      </c>
    </row>
    <row r="30" spans="1:8" customFormat="1" ht="6.6" customHeight="1" x14ac:dyDescent="0.25">
      <c r="A30" s="19"/>
      <c r="B30" s="121"/>
      <c r="C30" s="121"/>
      <c r="D30" s="121"/>
      <c r="E30" s="121"/>
      <c r="F30" s="121"/>
      <c r="G30" s="121"/>
      <c r="H30" s="122"/>
    </row>
    <row r="31" spans="1:8" x14ac:dyDescent="0.3">
      <c r="A31" s="125" t="s">
        <v>2</v>
      </c>
      <c r="B31" s="155">
        <f>SUM(B27,B29)</f>
        <v>349021.18935999996</v>
      </c>
      <c r="C31" s="155">
        <f>SUM(C27,C29)</f>
        <v>404393.90312349994</v>
      </c>
      <c r="D31" s="155">
        <f>SUM(D27,D29)</f>
        <v>11755.54</v>
      </c>
      <c r="E31" s="155">
        <f>SUM(E27,E29)</f>
        <v>2737.7</v>
      </c>
      <c r="F31" s="155">
        <f>F27</f>
        <v>9.1300000000000008</v>
      </c>
      <c r="G31" s="155">
        <f>G27</f>
        <v>46890.460000000006</v>
      </c>
      <c r="H31" s="155">
        <f>SUM(H27,H29)</f>
        <v>814807.92248349998</v>
      </c>
    </row>
    <row r="33" spans="1:8" x14ac:dyDescent="0.3">
      <c r="B33" s="291" t="s">
        <v>165</v>
      </c>
      <c r="C33" s="291"/>
      <c r="D33" s="291"/>
      <c r="E33" s="291"/>
      <c r="F33" s="292"/>
      <c r="G33" s="292"/>
      <c r="H33" s="292"/>
    </row>
    <row r="34" spans="1:8" ht="30" x14ac:dyDescent="0.3">
      <c r="A34" s="9"/>
      <c r="B34" s="55" t="s">
        <v>124</v>
      </c>
      <c r="C34" s="55" t="s">
        <v>125</v>
      </c>
      <c r="D34" s="55" t="s">
        <v>57</v>
      </c>
      <c r="E34" s="55" t="s">
        <v>138</v>
      </c>
      <c r="F34" s="239" t="s">
        <v>166</v>
      </c>
      <c r="G34" s="238" t="s">
        <v>157</v>
      </c>
      <c r="H34" s="55" t="s">
        <v>137</v>
      </c>
    </row>
    <row r="35" spans="1:8" x14ac:dyDescent="0.3">
      <c r="A35" s="124" t="s">
        <v>7</v>
      </c>
      <c r="B35" s="241">
        <v>4611.71</v>
      </c>
      <c r="C35" s="241">
        <v>11237.95</v>
      </c>
      <c r="D35" s="241">
        <v>1237.3</v>
      </c>
      <c r="E35" s="241">
        <v>0</v>
      </c>
      <c r="F35" s="241">
        <v>0</v>
      </c>
      <c r="G35" s="241">
        <v>0</v>
      </c>
      <c r="H35" s="156">
        <f>SUM(B35:G35)</f>
        <v>17086.96</v>
      </c>
    </row>
    <row r="36" spans="1:8" x14ac:dyDescent="0.3">
      <c r="A36" s="124" t="s">
        <v>11</v>
      </c>
      <c r="B36" s="241">
        <v>10437.86</v>
      </c>
      <c r="C36" s="241">
        <v>6456.87</v>
      </c>
      <c r="D36" s="241">
        <v>1361.21</v>
      </c>
      <c r="E36" s="241">
        <v>0</v>
      </c>
      <c r="F36" s="241">
        <v>0</v>
      </c>
      <c r="G36" s="241">
        <v>0</v>
      </c>
      <c r="H36" s="156">
        <f t="shared" ref="H36:H41" si="9">SUM(B36:G36)</f>
        <v>18255.939999999999</v>
      </c>
    </row>
    <row r="37" spans="1:8" x14ac:dyDescent="0.3">
      <c r="A37" s="124" t="s">
        <v>14</v>
      </c>
      <c r="B37" s="241">
        <v>7174.99</v>
      </c>
      <c r="C37" s="241">
        <v>53670.01</v>
      </c>
      <c r="D37" s="241">
        <v>438.04</v>
      </c>
      <c r="E37" s="241">
        <v>1191.8800000000001</v>
      </c>
      <c r="F37" s="241">
        <v>0</v>
      </c>
      <c r="G37" s="241">
        <v>0</v>
      </c>
      <c r="H37" s="156">
        <f t="shared" si="9"/>
        <v>62474.92</v>
      </c>
    </row>
    <row r="38" spans="1:8" x14ac:dyDescent="0.3">
      <c r="A38" s="124" t="s">
        <v>12</v>
      </c>
      <c r="B38" s="241">
        <v>34903.050000000003</v>
      </c>
      <c r="C38" s="241">
        <v>5692.14</v>
      </c>
      <c r="D38" s="241">
        <v>1339</v>
      </c>
      <c r="E38" s="241">
        <v>0</v>
      </c>
      <c r="F38" s="241">
        <v>0</v>
      </c>
      <c r="G38" s="241">
        <v>0</v>
      </c>
      <c r="H38" s="156">
        <f t="shared" si="9"/>
        <v>41934.19</v>
      </c>
    </row>
    <row r="39" spans="1:8" x14ac:dyDescent="0.3">
      <c r="A39" s="124" t="s">
        <v>15</v>
      </c>
      <c r="B39" s="241">
        <v>188208.57</v>
      </c>
      <c r="C39" s="241">
        <v>205669.48</v>
      </c>
      <c r="D39" s="241">
        <v>2225.92</v>
      </c>
      <c r="E39" s="241">
        <v>0</v>
      </c>
      <c r="F39" s="241">
        <v>0</v>
      </c>
      <c r="G39" s="241">
        <v>0</v>
      </c>
      <c r="H39" s="156">
        <f t="shared" si="9"/>
        <v>396103.97000000003</v>
      </c>
    </row>
    <row r="40" spans="1:8" x14ac:dyDescent="0.3">
      <c r="A40" s="124" t="s">
        <v>19</v>
      </c>
      <c r="B40" s="241">
        <v>318.01</v>
      </c>
      <c r="C40" s="241">
        <v>1678.91</v>
      </c>
      <c r="D40" s="241">
        <v>4.03</v>
      </c>
      <c r="E40" s="241">
        <v>199.72</v>
      </c>
      <c r="F40" s="241">
        <v>0</v>
      </c>
      <c r="G40" s="241">
        <v>139.35</v>
      </c>
      <c r="H40" s="156">
        <f t="shared" si="9"/>
        <v>2340.02</v>
      </c>
    </row>
    <row r="41" spans="1:8" x14ac:dyDescent="0.3">
      <c r="A41" s="124" t="s">
        <v>6</v>
      </c>
      <c r="B41" s="241">
        <v>22456.35</v>
      </c>
      <c r="C41" s="241">
        <v>2358.1799999999998</v>
      </c>
      <c r="D41" s="241">
        <v>687.98</v>
      </c>
      <c r="E41" s="241">
        <v>0</v>
      </c>
      <c r="F41" s="241">
        <v>0</v>
      </c>
      <c r="G41" s="241">
        <v>0</v>
      </c>
      <c r="H41" s="156">
        <f t="shared" si="9"/>
        <v>25502.51</v>
      </c>
    </row>
    <row r="42" spans="1:8" x14ac:dyDescent="0.3">
      <c r="A42" s="157" t="s">
        <v>156</v>
      </c>
      <c r="B42" s="158">
        <f>SUM(B35:B41)</f>
        <v>268110.53999999998</v>
      </c>
      <c r="C42" s="158">
        <f t="shared" ref="C42:G42" si="10">SUM(C35:C41)</f>
        <v>286763.53999999998</v>
      </c>
      <c r="D42" s="158">
        <f t="shared" si="10"/>
        <v>7293.48</v>
      </c>
      <c r="E42" s="158">
        <f t="shared" si="10"/>
        <v>1391.6000000000001</v>
      </c>
      <c r="F42" s="158">
        <f t="shared" si="10"/>
        <v>0</v>
      </c>
      <c r="G42" s="158">
        <f t="shared" si="10"/>
        <v>139.35</v>
      </c>
      <c r="H42" s="158">
        <f t="shared" ref="H42" si="11">SUM(H35:H41)</f>
        <v>563698.51</v>
      </c>
    </row>
    <row r="43" spans="1:8" customFormat="1" ht="6.6" customHeight="1" x14ac:dyDescent="0.25">
      <c r="A43" s="56"/>
      <c r="B43" s="121"/>
      <c r="C43" s="121"/>
      <c r="D43" s="121"/>
      <c r="E43" s="121"/>
      <c r="F43" s="121"/>
      <c r="G43" s="121"/>
      <c r="H43" s="122"/>
    </row>
    <row r="44" spans="1:8" customFormat="1" ht="18.600000000000001" customHeight="1" x14ac:dyDescent="0.25">
      <c r="A44" s="124" t="s">
        <v>187</v>
      </c>
      <c r="B44" s="241">
        <v>6832.7174999999997</v>
      </c>
      <c r="C44" s="241">
        <v>25299.571863500001</v>
      </c>
      <c r="D44" s="241">
        <v>0</v>
      </c>
      <c r="E44" s="241">
        <v>0</v>
      </c>
      <c r="F44" s="43"/>
      <c r="G44" s="43"/>
      <c r="H44" s="156">
        <f t="shared" ref="H44" si="12">SUM(B44:E44)</f>
        <v>32132.2893635</v>
      </c>
    </row>
    <row r="45" spans="1:8" customFormat="1" ht="6.6" customHeight="1" x14ac:dyDescent="0.25">
      <c r="A45" s="56"/>
      <c r="B45" s="121"/>
      <c r="C45" s="121"/>
      <c r="D45" s="121"/>
      <c r="E45" s="121"/>
      <c r="F45" s="121"/>
      <c r="G45" s="121"/>
      <c r="H45" s="122"/>
    </row>
    <row r="46" spans="1:8" x14ac:dyDescent="0.3">
      <c r="A46" s="125" t="s">
        <v>2</v>
      </c>
      <c r="B46" s="155">
        <f>SUM(B42,B44)</f>
        <v>274943.25750000001</v>
      </c>
      <c r="C46" s="155">
        <f t="shared" ref="C46:E46" si="13">SUM(C42,C44)</f>
        <v>312063.11186349997</v>
      </c>
      <c r="D46" s="155">
        <f t="shared" si="13"/>
        <v>7293.48</v>
      </c>
      <c r="E46" s="155">
        <f t="shared" si="13"/>
        <v>1391.6000000000001</v>
      </c>
      <c r="F46" s="155">
        <f>F42</f>
        <v>0</v>
      </c>
      <c r="G46" s="155">
        <f>G42</f>
        <v>139.35</v>
      </c>
      <c r="H46" s="155">
        <f>SUM(H42,H44)</f>
        <v>595830.79936349997</v>
      </c>
    </row>
  </sheetData>
  <mergeCells count="3">
    <mergeCell ref="B3:H3"/>
    <mergeCell ref="B18:H18"/>
    <mergeCell ref="B33:H33"/>
  </mergeCells>
  <pageMargins left="0.7" right="0.7" top="0.75" bottom="0.75" header="0.3" footer="0.3"/>
  <pageSetup scale="61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showGridLines="0" zoomScaleNormal="100" workbookViewId="0">
      <selection activeCell="G8" sqref="G8"/>
    </sheetView>
  </sheetViews>
  <sheetFormatPr defaultRowHeight="15" x14ac:dyDescent="0.25"/>
  <cols>
    <col min="1" max="1" width="26.5703125" customWidth="1"/>
    <col min="2" max="2" width="18.42578125" customWidth="1"/>
    <col min="3" max="3" width="19" customWidth="1"/>
    <col min="4" max="4" width="17" customWidth="1"/>
    <col min="5" max="6" width="17.5703125" customWidth="1"/>
    <col min="7" max="7" width="21" customWidth="1"/>
  </cols>
  <sheetData>
    <row r="1" spans="1:7" ht="18.75" x14ac:dyDescent="0.25">
      <c r="A1" s="127" t="s">
        <v>146</v>
      </c>
      <c r="B1" s="130"/>
      <c r="C1" s="129"/>
    </row>
    <row r="3" spans="1:7" ht="28.35" customHeight="1" x14ac:dyDescent="0.25">
      <c r="A3" s="9"/>
      <c r="B3" s="55" t="s">
        <v>124</v>
      </c>
      <c r="C3" s="55" t="s">
        <v>125</v>
      </c>
      <c r="D3" s="55" t="s">
        <v>57</v>
      </c>
      <c r="E3" s="55" t="s">
        <v>138</v>
      </c>
      <c r="F3" s="238" t="s">
        <v>157</v>
      </c>
      <c r="G3" s="54" t="s">
        <v>128</v>
      </c>
    </row>
    <row r="4" spans="1:7" x14ac:dyDescent="0.25">
      <c r="A4" s="124" t="s">
        <v>7</v>
      </c>
      <c r="B4" s="242">
        <v>273139</v>
      </c>
      <c r="C4" s="242">
        <v>419</v>
      </c>
      <c r="D4" s="242">
        <v>1445</v>
      </c>
      <c r="E4" s="242">
        <v>0</v>
      </c>
      <c r="F4" s="242">
        <v>623</v>
      </c>
      <c r="G4" s="154">
        <f>SUM(B4:F4)</f>
        <v>275626</v>
      </c>
    </row>
    <row r="5" spans="1:7" x14ac:dyDescent="0.25">
      <c r="A5" s="124" t="s">
        <v>11</v>
      </c>
      <c r="B5" s="242">
        <v>169495</v>
      </c>
      <c r="C5" s="242">
        <v>20</v>
      </c>
      <c r="D5" s="242">
        <v>1084</v>
      </c>
      <c r="E5" s="242">
        <v>0</v>
      </c>
      <c r="F5" s="242">
        <v>385</v>
      </c>
      <c r="G5" s="154">
        <f t="shared" ref="G5:G11" si="0">SUM(B5:F5)</f>
        <v>170984</v>
      </c>
    </row>
    <row r="6" spans="1:7" x14ac:dyDescent="0.25">
      <c r="A6" s="124" t="s">
        <v>14</v>
      </c>
      <c r="B6" s="242">
        <v>502909</v>
      </c>
      <c r="C6" s="242">
        <v>2493</v>
      </c>
      <c r="D6" s="242">
        <v>1433</v>
      </c>
      <c r="E6" s="242">
        <v>23321</v>
      </c>
      <c r="F6" s="242">
        <v>908</v>
      </c>
      <c r="G6" s="154">
        <f t="shared" si="0"/>
        <v>531064</v>
      </c>
    </row>
    <row r="7" spans="1:7" x14ac:dyDescent="0.25">
      <c r="A7" s="124" t="s">
        <v>12</v>
      </c>
      <c r="B7" s="242">
        <v>290066</v>
      </c>
      <c r="C7" s="242">
        <v>41</v>
      </c>
      <c r="D7" s="242">
        <v>608</v>
      </c>
      <c r="E7" s="242">
        <v>0</v>
      </c>
      <c r="F7" s="242">
        <v>617</v>
      </c>
      <c r="G7" s="154">
        <f t="shared" si="0"/>
        <v>291332</v>
      </c>
    </row>
    <row r="8" spans="1:7" x14ac:dyDescent="0.25">
      <c r="A8" s="124" t="s">
        <v>20</v>
      </c>
      <c r="B8" s="242">
        <v>2531167</v>
      </c>
      <c r="C8" s="242">
        <v>10553</v>
      </c>
      <c r="D8" s="242">
        <v>13713</v>
      </c>
      <c r="E8" s="242">
        <v>0</v>
      </c>
      <c r="F8" s="242">
        <v>4029</v>
      </c>
      <c r="G8" s="154">
        <f t="shared" si="0"/>
        <v>2559462</v>
      </c>
    </row>
    <row r="9" spans="1:7" x14ac:dyDescent="0.25">
      <c r="A9" s="124" t="s">
        <v>19</v>
      </c>
      <c r="B9" s="242">
        <v>11847</v>
      </c>
      <c r="C9" s="242">
        <v>112</v>
      </c>
      <c r="D9" s="242">
        <v>22</v>
      </c>
      <c r="E9" s="242">
        <v>2042</v>
      </c>
      <c r="F9" s="242">
        <v>28</v>
      </c>
      <c r="G9" s="154">
        <f t="shared" si="0"/>
        <v>14051</v>
      </c>
    </row>
    <row r="10" spans="1:7" x14ac:dyDescent="0.25">
      <c r="A10" s="124" t="s">
        <v>6</v>
      </c>
      <c r="B10" s="242">
        <v>182025</v>
      </c>
      <c r="C10" s="242">
        <v>35</v>
      </c>
      <c r="D10" s="242">
        <v>412</v>
      </c>
      <c r="E10" s="242">
        <v>0</v>
      </c>
      <c r="F10" s="242">
        <v>475</v>
      </c>
      <c r="G10" s="154">
        <f t="shared" si="0"/>
        <v>182947</v>
      </c>
    </row>
    <row r="11" spans="1:7" x14ac:dyDescent="0.25">
      <c r="A11" s="157" t="s">
        <v>156</v>
      </c>
      <c r="B11" s="159">
        <f>SUM(B4:B10)</f>
        <v>3960648</v>
      </c>
      <c r="C11" s="159">
        <f t="shared" ref="C11:F11" si="1">SUM(C4:C10)</f>
        <v>13673</v>
      </c>
      <c r="D11" s="159">
        <f t="shared" si="1"/>
        <v>18717</v>
      </c>
      <c r="E11" s="159">
        <f t="shared" si="1"/>
        <v>25363</v>
      </c>
      <c r="F11" s="159">
        <f t="shared" si="1"/>
        <v>7065</v>
      </c>
      <c r="G11" s="154">
        <f t="shared" si="0"/>
        <v>4025466</v>
      </c>
    </row>
    <row r="12" spans="1:7" ht="6.6" customHeight="1" x14ac:dyDescent="0.25">
      <c r="A12" s="56"/>
      <c r="B12" s="121"/>
      <c r="C12" s="121"/>
      <c r="D12" s="121"/>
      <c r="E12" s="121"/>
      <c r="F12" s="121"/>
      <c r="G12" s="122"/>
    </row>
    <row r="13" spans="1:7" x14ac:dyDescent="0.25">
      <c r="A13" s="124" t="s">
        <v>187</v>
      </c>
      <c r="B13" s="242">
        <v>2970</v>
      </c>
      <c r="C13" s="242">
        <v>553</v>
      </c>
      <c r="D13" s="242">
        <v>0</v>
      </c>
      <c r="E13" s="242">
        <v>0</v>
      </c>
      <c r="F13" s="162"/>
      <c r="G13" s="154">
        <f>SUM(B13:E13)</f>
        <v>3523</v>
      </c>
    </row>
    <row r="14" spans="1:7" ht="6.6" customHeight="1" x14ac:dyDescent="0.25">
      <c r="A14" s="56"/>
      <c r="B14" s="121"/>
      <c r="C14" s="121"/>
      <c r="D14" s="121"/>
      <c r="E14" s="121"/>
      <c r="F14" s="121"/>
      <c r="G14" s="122"/>
    </row>
    <row r="15" spans="1:7" x14ac:dyDescent="0.25">
      <c r="A15" s="125" t="s">
        <v>2</v>
      </c>
      <c r="B15" s="153">
        <f>SUM(B11,B13)</f>
        <v>3963618</v>
      </c>
      <c r="C15" s="153">
        <f t="shared" ref="C15:G15" si="2">SUM(C11,C13)</f>
        <v>14226</v>
      </c>
      <c r="D15" s="153">
        <f t="shared" si="2"/>
        <v>18717</v>
      </c>
      <c r="E15" s="153">
        <f t="shared" si="2"/>
        <v>25363</v>
      </c>
      <c r="F15" s="153">
        <f>F11</f>
        <v>7065</v>
      </c>
      <c r="G15" s="153">
        <f t="shared" si="2"/>
        <v>4028989</v>
      </c>
    </row>
    <row r="17" spans="1:2" x14ac:dyDescent="0.25">
      <c r="A17" s="130"/>
      <c r="B17" s="129"/>
    </row>
  </sheetData>
  <pageMargins left="0.7" right="0.7" top="0.75" bottom="0.75" header="0.3" footer="0.3"/>
  <pageSetup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4"/>
  <sheetViews>
    <sheetView showGridLines="0" zoomScaleNormal="100" workbookViewId="0"/>
  </sheetViews>
  <sheetFormatPr defaultRowHeight="15" x14ac:dyDescent="0.25"/>
  <cols>
    <col min="1" max="1" width="20.85546875" bestFit="1" customWidth="1"/>
    <col min="2" max="2" width="15.5703125" bestFit="1" customWidth="1"/>
    <col min="3" max="3" width="17" bestFit="1" customWidth="1"/>
    <col min="4" max="4" width="17.5703125" bestFit="1" customWidth="1"/>
    <col min="5" max="5" width="15.5703125" customWidth="1"/>
    <col min="6" max="6" width="16.5703125" customWidth="1"/>
    <col min="7" max="7" width="16.140625" customWidth="1"/>
  </cols>
  <sheetData>
    <row r="1" spans="1:7" ht="21" customHeight="1" x14ac:dyDescent="0.25">
      <c r="A1" s="128" t="s">
        <v>148</v>
      </c>
      <c r="B1" s="116"/>
      <c r="C1" s="116"/>
    </row>
    <row r="3" spans="1:7" ht="18.75" x14ac:dyDescent="0.3">
      <c r="B3" s="291" t="s">
        <v>141</v>
      </c>
      <c r="C3" s="291"/>
      <c r="D3" s="291"/>
      <c r="E3" s="291"/>
      <c r="F3" s="292"/>
      <c r="G3" s="292"/>
    </row>
    <row r="4" spans="1:7" x14ac:dyDescent="0.25">
      <c r="A4" s="9"/>
      <c r="B4" s="55" t="s">
        <v>124</v>
      </c>
      <c r="C4" s="55" t="s">
        <v>125</v>
      </c>
      <c r="D4" s="55" t="s">
        <v>57</v>
      </c>
      <c r="E4" s="55" t="s">
        <v>138</v>
      </c>
      <c r="F4" s="55" t="s">
        <v>157</v>
      </c>
      <c r="G4" s="54" t="s">
        <v>137</v>
      </c>
    </row>
    <row r="5" spans="1:7" x14ac:dyDescent="0.25">
      <c r="A5" s="124" t="s">
        <v>7</v>
      </c>
      <c r="B5" s="242">
        <v>2735.0617502538717</v>
      </c>
      <c r="C5" s="242">
        <v>3947.137444</v>
      </c>
      <c r="D5" s="242">
        <v>63.906524999999704</v>
      </c>
      <c r="E5" s="242">
        <v>0</v>
      </c>
      <c r="F5" s="242">
        <v>1175.1489999999999</v>
      </c>
      <c r="G5" s="154">
        <f>SUM(B5:F5)</f>
        <v>7921.2547192538714</v>
      </c>
    </row>
    <row r="6" spans="1:7" x14ac:dyDescent="0.25">
      <c r="A6" s="124" t="s">
        <v>14</v>
      </c>
      <c r="B6" s="242">
        <v>6123.8269983036998</v>
      </c>
      <c r="C6" s="242">
        <v>16986.860304959919</v>
      </c>
      <c r="D6" s="242">
        <v>623.91014600000369</v>
      </c>
      <c r="E6" s="242">
        <v>26032.478714999997</v>
      </c>
      <c r="F6" s="242">
        <v>209.85490000000001</v>
      </c>
      <c r="G6" s="154">
        <f t="shared" ref="G6:G8" si="0">SUM(B6:F6)</f>
        <v>49976.931064263619</v>
      </c>
    </row>
    <row r="7" spans="1:7" x14ac:dyDescent="0.25">
      <c r="A7" s="124" t="s">
        <v>15</v>
      </c>
      <c r="B7" s="242">
        <v>12356.175355001003</v>
      </c>
      <c r="C7" s="242">
        <v>121375.2014800631</v>
      </c>
      <c r="D7" s="242">
        <v>462.01808804000001</v>
      </c>
      <c r="E7" s="242">
        <v>0</v>
      </c>
      <c r="F7" s="242">
        <v>414.87950340897538</v>
      </c>
      <c r="G7" s="154">
        <f t="shared" si="0"/>
        <v>134608.27442651306</v>
      </c>
    </row>
    <row r="8" spans="1:7" x14ac:dyDescent="0.25">
      <c r="A8" s="124" t="s">
        <v>19</v>
      </c>
      <c r="B8" s="242">
        <v>232</v>
      </c>
      <c r="C8" s="242">
        <v>1103</v>
      </c>
      <c r="D8" s="242">
        <v>1</v>
      </c>
      <c r="E8" s="242">
        <v>3313</v>
      </c>
      <c r="F8" s="242">
        <v>5</v>
      </c>
      <c r="G8" s="154">
        <f t="shared" si="0"/>
        <v>4654</v>
      </c>
    </row>
    <row r="9" spans="1:7" ht="6.6" customHeight="1" x14ac:dyDescent="0.25">
      <c r="A9" s="56"/>
      <c r="B9" s="121"/>
      <c r="C9" s="121"/>
      <c r="D9" s="121"/>
      <c r="E9" s="121"/>
      <c r="F9" s="121"/>
      <c r="G9" s="122"/>
    </row>
    <row r="10" spans="1:7" x14ac:dyDescent="0.25">
      <c r="A10" s="124" t="s">
        <v>158</v>
      </c>
      <c r="B10" s="242">
        <v>1029.106</v>
      </c>
      <c r="C10" s="242">
        <v>8118.2327999999998</v>
      </c>
      <c r="D10" s="242">
        <v>0</v>
      </c>
      <c r="E10" s="242">
        <v>0</v>
      </c>
      <c r="F10" s="160"/>
      <c r="G10" s="154">
        <f>SUM(B10:E10)</f>
        <v>9147.3387999999995</v>
      </c>
    </row>
    <row r="11" spans="1:7" ht="6.6" customHeight="1" x14ac:dyDescent="0.25">
      <c r="A11" s="56"/>
      <c r="B11" s="121"/>
      <c r="C11" s="121"/>
      <c r="D11" s="121"/>
      <c r="E11" s="121"/>
      <c r="F11" s="121"/>
      <c r="G11" s="122"/>
    </row>
    <row r="12" spans="1:7" x14ac:dyDescent="0.25">
      <c r="A12" s="125" t="s">
        <v>2</v>
      </c>
      <c r="B12" s="153">
        <f>SUM(B5:B10)</f>
        <v>22476.170103558576</v>
      </c>
      <c r="C12" s="153">
        <f>SUM(C5:C10)</f>
        <v>151530.43202902301</v>
      </c>
      <c r="D12" s="153">
        <f>SUM(D5:D10)</f>
        <v>1150.8347590400035</v>
      </c>
      <c r="E12" s="153">
        <f>SUM(E5:E10)</f>
        <v>29345.478714999997</v>
      </c>
      <c r="F12" s="153">
        <f>SUM(F5:F8)</f>
        <v>1804.8834034089753</v>
      </c>
      <c r="G12" s="153">
        <f>SUM(G5:G10)</f>
        <v>206307.79901003055</v>
      </c>
    </row>
    <row r="14" spans="1:7" ht="18.75" x14ac:dyDescent="0.3">
      <c r="B14" s="291" t="s">
        <v>142</v>
      </c>
      <c r="C14" s="291"/>
      <c r="D14" s="291"/>
      <c r="E14" s="291"/>
      <c r="F14" s="292"/>
      <c r="G14" s="292"/>
    </row>
    <row r="15" spans="1:7" x14ac:dyDescent="0.25">
      <c r="A15" s="9"/>
      <c r="B15" s="55" t="s">
        <v>124</v>
      </c>
      <c r="C15" s="55" t="s">
        <v>125</v>
      </c>
      <c r="D15" s="55" t="s">
        <v>57</v>
      </c>
      <c r="E15" s="55" t="s">
        <v>138</v>
      </c>
      <c r="F15" s="55" t="s">
        <v>157</v>
      </c>
      <c r="G15" s="54" t="s">
        <v>137</v>
      </c>
    </row>
    <row r="16" spans="1:7" x14ac:dyDescent="0.25">
      <c r="A16" s="124" t="s">
        <v>7</v>
      </c>
      <c r="B16" s="242">
        <v>16107.732505962</v>
      </c>
      <c r="C16" s="242">
        <v>25833.8488</v>
      </c>
      <c r="D16" s="242">
        <v>822.74020945411201</v>
      </c>
      <c r="E16" s="242">
        <v>0</v>
      </c>
      <c r="F16" s="242">
        <v>2183.6185</v>
      </c>
      <c r="G16" s="154">
        <f>SUM(B16:F16)</f>
        <v>44947.940015416105</v>
      </c>
    </row>
    <row r="17" spans="1:7" x14ac:dyDescent="0.25">
      <c r="A17" s="124" t="s">
        <v>14</v>
      </c>
      <c r="B17" s="242">
        <v>36738.162443274363</v>
      </c>
      <c r="C17" s="242">
        <v>94023.209880900395</v>
      </c>
      <c r="D17" s="242">
        <v>953.04186139796172</v>
      </c>
      <c r="E17" s="242">
        <v>52.844683410000002</v>
      </c>
      <c r="F17" s="242">
        <v>1028.1546880999999</v>
      </c>
      <c r="G17" s="154">
        <f t="shared" ref="G17:G19" si="1">SUM(B17:F17)</f>
        <v>132795.41355708273</v>
      </c>
    </row>
    <row r="18" spans="1:7" x14ac:dyDescent="0.25">
      <c r="A18" s="124" t="s">
        <v>15</v>
      </c>
      <c r="B18" s="242">
        <v>170096.3846038692</v>
      </c>
      <c r="C18" s="242">
        <v>459977.63104634697</v>
      </c>
      <c r="D18" s="242">
        <v>6474.4816740720462</v>
      </c>
      <c r="E18" s="242">
        <v>0</v>
      </c>
      <c r="F18" s="242">
        <v>2290.1778241750576</v>
      </c>
      <c r="G18" s="154">
        <f t="shared" si="1"/>
        <v>638838.67514846334</v>
      </c>
    </row>
    <row r="19" spans="1:7" x14ac:dyDescent="0.25">
      <c r="A19" s="124" t="s">
        <v>19</v>
      </c>
      <c r="B19" s="242">
        <v>6549.1040000000003</v>
      </c>
      <c r="C19" s="242">
        <v>5667.0750000000007</v>
      </c>
      <c r="D19" s="242">
        <v>14.983000000000001</v>
      </c>
      <c r="E19" s="242">
        <v>146.89126611957795</v>
      </c>
      <c r="F19" s="242">
        <v>67.42</v>
      </c>
      <c r="G19" s="154">
        <f t="shared" si="1"/>
        <v>12445.473266119578</v>
      </c>
    </row>
    <row r="20" spans="1:7" ht="6.6" customHeight="1" x14ac:dyDescent="0.25">
      <c r="A20" s="56"/>
      <c r="B20" s="121"/>
      <c r="C20" s="121"/>
      <c r="D20" s="121"/>
      <c r="E20" s="121"/>
      <c r="F20" s="121"/>
      <c r="G20" s="122"/>
    </row>
    <row r="21" spans="1:7" x14ac:dyDescent="0.25">
      <c r="A21" s="124" t="s">
        <v>158</v>
      </c>
      <c r="B21" s="242">
        <v>5015.9751096</v>
      </c>
      <c r="C21" s="242">
        <v>67740.449665599997</v>
      </c>
      <c r="D21" s="242">
        <v>0</v>
      </c>
      <c r="E21" s="242">
        <v>0</v>
      </c>
      <c r="F21" s="160"/>
      <c r="G21" s="154">
        <f t="shared" ref="G21" si="2">SUM(B21:E21)</f>
        <v>72756.424775199994</v>
      </c>
    </row>
    <row r="22" spans="1:7" ht="6.6" customHeight="1" x14ac:dyDescent="0.25">
      <c r="A22" s="56"/>
      <c r="B22" s="121"/>
      <c r="C22" s="121"/>
      <c r="D22" s="121"/>
      <c r="E22" s="121"/>
      <c r="F22" s="121"/>
      <c r="G22" s="122"/>
    </row>
    <row r="23" spans="1:7" x14ac:dyDescent="0.25">
      <c r="A23" s="125" t="s">
        <v>2</v>
      </c>
      <c r="B23" s="153">
        <f>SUM(B16:B21)</f>
        <v>234507.35866270555</v>
      </c>
      <c r="C23" s="153">
        <f>SUM(C16:C21)</f>
        <v>653242.21439284727</v>
      </c>
      <c r="D23" s="153">
        <f>SUM(D16:D21)</f>
        <v>8265.2467449241194</v>
      </c>
      <c r="E23" s="153">
        <f>SUM(E16:E21)</f>
        <v>199.73594952957797</v>
      </c>
      <c r="F23" s="153">
        <f>SUM(F16:F19)</f>
        <v>5569.3710122750581</v>
      </c>
      <c r="G23" s="153">
        <f>SUM(G16:G21)</f>
        <v>901783.92676228168</v>
      </c>
    </row>
    <row r="25" spans="1:7" ht="18.75" x14ac:dyDescent="0.3">
      <c r="B25" s="291" t="s">
        <v>143</v>
      </c>
      <c r="C25" s="291"/>
      <c r="D25" s="291"/>
      <c r="E25" s="291"/>
      <c r="F25" s="292"/>
      <c r="G25" s="292"/>
    </row>
    <row r="26" spans="1:7" x14ac:dyDescent="0.25">
      <c r="A26" s="9"/>
      <c r="B26" s="55" t="s">
        <v>124</v>
      </c>
      <c r="C26" s="55" t="s">
        <v>125</v>
      </c>
      <c r="D26" s="55" t="s">
        <v>57</v>
      </c>
      <c r="E26" s="55" t="s">
        <v>138</v>
      </c>
      <c r="F26" s="55" t="s">
        <v>157</v>
      </c>
      <c r="G26" s="54" t="s">
        <v>137</v>
      </c>
    </row>
    <row r="27" spans="1:7" x14ac:dyDescent="0.25">
      <c r="A27" s="124" t="s">
        <v>7</v>
      </c>
      <c r="B27" s="242">
        <v>136308.27573751126</v>
      </c>
      <c r="C27" s="242">
        <v>361276.02999999997</v>
      </c>
      <c r="D27" s="242">
        <v>8461.1535670341455</v>
      </c>
      <c r="E27" s="242">
        <v>0</v>
      </c>
      <c r="F27" s="242">
        <v>0</v>
      </c>
      <c r="G27" s="154">
        <f>SUM(B27:F27)</f>
        <v>506045.45930454542</v>
      </c>
    </row>
    <row r="28" spans="1:7" x14ac:dyDescent="0.25">
      <c r="A28" s="124" t="s">
        <v>14</v>
      </c>
      <c r="B28" s="242">
        <v>183858.45046345601</v>
      </c>
      <c r="C28" s="242">
        <v>1279842.9417614224</v>
      </c>
      <c r="D28" s="242">
        <v>11960.851280913708</v>
      </c>
      <c r="E28" s="242">
        <v>52.844683410000002</v>
      </c>
      <c r="F28" s="242">
        <v>16888.17116149998</v>
      </c>
      <c r="G28" s="154">
        <f t="shared" ref="G28:G30" si="3">SUM(B28:F28)</f>
        <v>1492603.2593507022</v>
      </c>
    </row>
    <row r="29" spans="1:7" x14ac:dyDescent="0.25">
      <c r="A29" s="124" t="s">
        <v>15</v>
      </c>
      <c r="B29" s="242">
        <v>1427920.9810083266</v>
      </c>
      <c r="C29" s="242">
        <v>6541965.1941482602</v>
      </c>
      <c r="D29" s="242">
        <v>76940.067266999991</v>
      </c>
      <c r="E29" s="242">
        <v>0</v>
      </c>
      <c r="F29" s="242">
        <v>34954.438345993491</v>
      </c>
      <c r="G29" s="154">
        <f t="shared" si="3"/>
        <v>8081780.6807695804</v>
      </c>
    </row>
    <row r="30" spans="1:7" x14ac:dyDescent="0.25">
      <c r="A30" s="124" t="s">
        <v>19</v>
      </c>
      <c r="B30" s="242">
        <v>45817.945</v>
      </c>
      <c r="C30" s="242">
        <v>82149.231</v>
      </c>
      <c r="D30" s="242">
        <v>199.274</v>
      </c>
      <c r="E30" s="242">
        <v>2425.7570339976555</v>
      </c>
      <c r="F30" s="242">
        <v>980.33</v>
      </c>
      <c r="G30" s="154">
        <f t="shared" si="3"/>
        <v>131572.53703399765</v>
      </c>
    </row>
    <row r="31" spans="1:7" ht="6.6" customHeight="1" x14ac:dyDescent="0.25">
      <c r="A31" s="56"/>
      <c r="B31" s="121"/>
      <c r="C31" s="121"/>
      <c r="D31" s="121"/>
      <c r="E31" s="121"/>
      <c r="F31" s="121"/>
      <c r="G31" s="122"/>
    </row>
    <row r="32" spans="1:7" x14ac:dyDescent="0.25">
      <c r="A32" s="124" t="s">
        <v>158</v>
      </c>
      <c r="B32" s="242">
        <v>100319.502192</v>
      </c>
      <c r="C32" s="242">
        <v>1133820.9619789</v>
      </c>
      <c r="D32" s="242">
        <v>0</v>
      </c>
      <c r="E32" s="242">
        <v>0</v>
      </c>
      <c r="F32" s="160"/>
      <c r="G32" s="154">
        <f t="shared" ref="G32" si="4">SUM(B32:E32)</f>
        <v>1234140.4641708999</v>
      </c>
    </row>
    <row r="33" spans="1:7" ht="6.6" customHeight="1" x14ac:dyDescent="0.25">
      <c r="A33" s="56"/>
      <c r="B33" s="121"/>
      <c r="C33" s="121"/>
      <c r="D33" s="121"/>
      <c r="E33" s="121"/>
      <c r="F33" s="121"/>
      <c r="G33" s="122"/>
    </row>
    <row r="34" spans="1:7" x14ac:dyDescent="0.25">
      <c r="A34" s="125" t="s">
        <v>2</v>
      </c>
      <c r="B34" s="153">
        <f>SUM(B27:B32)</f>
        <v>1894225.154401294</v>
      </c>
      <c r="C34" s="153">
        <f>SUM(C27:C32)</f>
        <v>9399054.3588885814</v>
      </c>
      <c r="D34" s="153">
        <f t="shared" ref="D34:E34" si="5">SUM(D27:D32)</f>
        <v>97561.346114947853</v>
      </c>
      <c r="E34" s="153">
        <f t="shared" si="5"/>
        <v>2478.6017174076555</v>
      </c>
      <c r="F34" s="153">
        <f>SUM(F27:F30)</f>
        <v>52822.939507493473</v>
      </c>
      <c r="G34" s="153">
        <f>SUM(G27:G32)</f>
        <v>11446142.400629725</v>
      </c>
    </row>
  </sheetData>
  <mergeCells count="3">
    <mergeCell ref="B14:G14"/>
    <mergeCell ref="B25:G25"/>
    <mergeCell ref="B3:G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3"/>
  <sheetViews>
    <sheetView showGridLines="0" zoomScaleNormal="100" workbookViewId="0">
      <selection activeCell="B3" sqref="B3:G3"/>
    </sheetView>
  </sheetViews>
  <sheetFormatPr defaultRowHeight="15" x14ac:dyDescent="0.25"/>
  <cols>
    <col min="1" max="1" width="28" bestFit="1" customWidth="1"/>
    <col min="2" max="2" width="16" customWidth="1"/>
    <col min="3" max="3" width="17.5703125" customWidth="1"/>
    <col min="4" max="4" width="15.5703125" customWidth="1"/>
    <col min="5" max="6" width="17.140625" customWidth="1"/>
    <col min="7" max="7" width="14.5703125" customWidth="1"/>
  </cols>
  <sheetData>
    <row r="1" spans="1:7" ht="21" customHeight="1" x14ac:dyDescent="0.25">
      <c r="A1" s="293" t="s">
        <v>147</v>
      </c>
      <c r="B1" s="293"/>
      <c r="C1" s="293"/>
      <c r="D1" s="293"/>
      <c r="E1" s="293"/>
      <c r="F1" s="293"/>
      <c r="G1" s="293"/>
    </row>
    <row r="3" spans="1:7" ht="18.75" x14ac:dyDescent="0.3">
      <c r="B3" s="291" t="s">
        <v>139</v>
      </c>
      <c r="C3" s="291"/>
      <c r="D3" s="291"/>
      <c r="E3" s="291"/>
      <c r="F3" s="292"/>
      <c r="G3" s="292"/>
    </row>
    <row r="4" spans="1:7" x14ac:dyDescent="0.25">
      <c r="A4" s="9"/>
      <c r="B4" s="55" t="s">
        <v>124</v>
      </c>
      <c r="C4" s="55" t="s">
        <v>125</v>
      </c>
      <c r="D4" s="55" t="s">
        <v>57</v>
      </c>
      <c r="E4" s="55" t="s">
        <v>138</v>
      </c>
      <c r="F4" s="55" t="s">
        <v>157</v>
      </c>
      <c r="G4" s="54" t="s">
        <v>137</v>
      </c>
    </row>
    <row r="5" spans="1:7" x14ac:dyDescent="0.25">
      <c r="A5" s="124" t="s">
        <v>11</v>
      </c>
      <c r="B5" s="242">
        <v>240911.22647432543</v>
      </c>
      <c r="C5" s="242">
        <v>41608.983130000001</v>
      </c>
      <c r="D5" s="242">
        <v>8942.4190299999991</v>
      </c>
      <c r="E5" s="242">
        <v>0</v>
      </c>
      <c r="F5" s="242">
        <v>1801.5125299729179</v>
      </c>
      <c r="G5" s="154">
        <f>SUM(B5:F5)</f>
        <v>293264.14116429834</v>
      </c>
    </row>
    <row r="6" spans="1:7" x14ac:dyDescent="0.25">
      <c r="A6" s="124" t="s">
        <v>12</v>
      </c>
      <c r="B6" s="242">
        <v>465581</v>
      </c>
      <c r="C6" s="242">
        <v>14611.552299999999</v>
      </c>
      <c r="D6" s="242">
        <v>5778</v>
      </c>
      <c r="E6" s="242">
        <v>0</v>
      </c>
      <c r="F6" s="242">
        <v>8382</v>
      </c>
      <c r="G6" s="154">
        <f t="shared" ref="G6:G8" si="0">SUM(B6:F6)</f>
        <v>494352.55229999998</v>
      </c>
    </row>
    <row r="7" spans="1:7" x14ac:dyDescent="0.25">
      <c r="A7" s="124" t="s">
        <v>15</v>
      </c>
      <c r="B7" s="242">
        <v>1721162.2243879035</v>
      </c>
      <c r="C7" s="242">
        <v>228242.57001852852</v>
      </c>
      <c r="D7" s="242">
        <v>49462.217288163934</v>
      </c>
      <c r="E7" s="242">
        <v>0</v>
      </c>
      <c r="F7" s="242">
        <v>27912.868833761233</v>
      </c>
      <c r="G7" s="154">
        <f t="shared" si="0"/>
        <v>2026779.8805283571</v>
      </c>
    </row>
    <row r="8" spans="1:7" x14ac:dyDescent="0.25">
      <c r="A8" s="124" t="s">
        <v>6</v>
      </c>
      <c r="B8" s="242">
        <v>273219.3509938987</v>
      </c>
      <c r="C8" s="242">
        <v>20394.180323786997</v>
      </c>
      <c r="D8" s="242">
        <v>7044.0909299999976</v>
      </c>
      <c r="E8" s="242">
        <v>0</v>
      </c>
      <c r="F8" s="242">
        <v>2799.5177151940002</v>
      </c>
      <c r="G8" s="154">
        <f t="shared" si="0"/>
        <v>303457.13996287965</v>
      </c>
    </row>
    <row r="9" spans="1:7" ht="6.6" customHeight="1" x14ac:dyDescent="0.25">
      <c r="A9" s="56"/>
      <c r="B9" s="121"/>
      <c r="C9" s="121"/>
      <c r="D9" s="121"/>
      <c r="E9" s="121"/>
      <c r="F9" s="121"/>
      <c r="G9" s="122"/>
    </row>
    <row r="10" spans="1:7" x14ac:dyDescent="0.25">
      <c r="A10" s="124" t="s">
        <v>158</v>
      </c>
      <c r="B10" s="242">
        <v>55502.87</v>
      </c>
      <c r="C10" s="242">
        <v>84028.825039999996</v>
      </c>
      <c r="D10" s="242">
        <v>0</v>
      </c>
      <c r="E10" s="242">
        <v>0</v>
      </c>
      <c r="F10" s="160"/>
      <c r="G10" s="154">
        <f>SUM(B10:E10)</f>
        <v>139531.69503999999</v>
      </c>
    </row>
    <row r="11" spans="1:7" ht="6.6" customHeight="1" x14ac:dyDescent="0.25">
      <c r="A11" s="56"/>
      <c r="B11" s="121"/>
      <c r="C11" s="121"/>
      <c r="D11" s="121"/>
      <c r="E11" s="121"/>
      <c r="F11" s="121"/>
      <c r="G11" s="122"/>
    </row>
    <row r="12" spans="1:7" x14ac:dyDescent="0.25">
      <c r="A12" s="125" t="s">
        <v>2</v>
      </c>
      <c r="B12" s="153">
        <f>SUM(B5:B10)</f>
        <v>2756376.6718561277</v>
      </c>
      <c r="C12" s="153">
        <f>SUM(C5:C10)</f>
        <v>388886.11081231548</v>
      </c>
      <c r="D12" s="153">
        <f>SUM(D5:D10)</f>
        <v>71226.727248163923</v>
      </c>
      <c r="E12" s="153">
        <f>SUM(E5:E10)</f>
        <v>0</v>
      </c>
      <c r="F12" s="153">
        <f>SUM(F5:F8)</f>
        <v>40895.899078928152</v>
      </c>
      <c r="G12" s="153">
        <f>SUM(G5:G10)</f>
        <v>3257385.4089955352</v>
      </c>
    </row>
    <row r="13" spans="1:7" x14ac:dyDescent="0.25">
      <c r="A13" s="8"/>
    </row>
    <row r="14" spans="1:7" ht="18.75" x14ac:dyDescent="0.3">
      <c r="A14" s="8"/>
      <c r="B14" s="291" t="s">
        <v>140</v>
      </c>
      <c r="C14" s="291"/>
      <c r="D14" s="291"/>
      <c r="E14" s="291"/>
      <c r="F14" s="292"/>
      <c r="G14" s="292"/>
    </row>
    <row r="15" spans="1:7" x14ac:dyDescent="0.25">
      <c r="A15" s="9"/>
      <c r="B15" s="55" t="s">
        <v>124</v>
      </c>
      <c r="C15" s="55" t="s">
        <v>125</v>
      </c>
      <c r="D15" s="55" t="s">
        <v>57</v>
      </c>
      <c r="E15" s="55" t="s">
        <v>138</v>
      </c>
      <c r="F15" s="55" t="s">
        <v>157</v>
      </c>
      <c r="G15" s="54" t="s">
        <v>137</v>
      </c>
    </row>
    <row r="16" spans="1:7" x14ac:dyDescent="0.25">
      <c r="A16" s="124" t="s">
        <v>11</v>
      </c>
      <c r="B16" s="242">
        <v>1582714.649783191</v>
      </c>
      <c r="C16" s="242">
        <v>587330.14886000007</v>
      </c>
      <c r="D16" s="242">
        <v>146002.71407999998</v>
      </c>
      <c r="E16" s="242">
        <v>0</v>
      </c>
      <c r="F16" s="242">
        <v>17945.3582666939</v>
      </c>
      <c r="G16" s="154">
        <f>SUM(B16:F16)</f>
        <v>2333992.8709898852</v>
      </c>
    </row>
    <row r="17" spans="1:7" x14ac:dyDescent="0.25">
      <c r="A17" s="124" t="s">
        <v>12</v>
      </c>
      <c r="B17" s="242">
        <v>3037440.1</v>
      </c>
      <c r="C17" s="242">
        <v>239078.3983</v>
      </c>
      <c r="D17" s="242">
        <v>98221</v>
      </c>
      <c r="E17" s="242">
        <v>0</v>
      </c>
      <c r="F17" s="242">
        <v>126913</v>
      </c>
      <c r="G17" s="154">
        <f t="shared" ref="G17:G19" si="1">SUM(B17:F17)</f>
        <v>3501652.4983000001</v>
      </c>
    </row>
    <row r="18" spans="1:7" x14ac:dyDescent="0.25">
      <c r="A18" s="124" t="s">
        <v>15</v>
      </c>
      <c r="B18" s="242">
        <v>14472628.055630714</v>
      </c>
      <c r="C18" s="242">
        <v>3661647.2921267711</v>
      </c>
      <c r="D18" s="242">
        <v>494622.16548299976</v>
      </c>
      <c r="E18" s="242">
        <v>0</v>
      </c>
      <c r="F18" s="242">
        <v>434514.6228381269</v>
      </c>
      <c r="G18" s="154">
        <f t="shared" si="1"/>
        <v>19063412.136078615</v>
      </c>
    </row>
    <row r="19" spans="1:7" x14ac:dyDescent="0.25">
      <c r="A19" s="124" t="s">
        <v>6</v>
      </c>
      <c r="B19" s="242">
        <v>2225549.770537396</v>
      </c>
      <c r="C19" s="242">
        <v>272002.42986999999</v>
      </c>
      <c r="D19" s="242">
        <v>106490.32775000001</v>
      </c>
      <c r="E19" s="242">
        <v>0</v>
      </c>
      <c r="F19" s="242">
        <v>46293.108137394098</v>
      </c>
      <c r="G19" s="154">
        <f t="shared" si="1"/>
        <v>2650335.6362947905</v>
      </c>
    </row>
    <row r="20" spans="1:7" ht="6.6" customHeight="1" x14ac:dyDescent="0.25">
      <c r="A20" s="56"/>
      <c r="B20" s="121"/>
      <c r="C20" s="121"/>
      <c r="D20" s="121"/>
      <c r="E20" s="121"/>
      <c r="F20" s="121"/>
      <c r="G20" s="122"/>
    </row>
    <row r="21" spans="1:7" x14ac:dyDescent="0.25">
      <c r="A21" s="124" t="s">
        <v>158</v>
      </c>
      <c r="B21" s="242">
        <v>1110057.3999999999</v>
      </c>
      <c r="C21" s="242">
        <v>1575995.1191</v>
      </c>
      <c r="D21" s="242">
        <v>0</v>
      </c>
      <c r="E21" s="242">
        <v>0</v>
      </c>
      <c r="F21" s="160"/>
      <c r="G21" s="154">
        <f>SUM(B21:E21)</f>
        <v>2686052.5191000002</v>
      </c>
    </row>
    <row r="22" spans="1:7" ht="6.6" customHeight="1" x14ac:dyDescent="0.25">
      <c r="A22" s="56"/>
      <c r="B22" s="121"/>
      <c r="C22" s="121"/>
      <c r="D22" s="121"/>
      <c r="E22" s="121"/>
      <c r="F22" s="121"/>
      <c r="G22" s="122"/>
    </row>
    <row r="23" spans="1:7" x14ac:dyDescent="0.25">
      <c r="A23" s="125" t="s">
        <v>2</v>
      </c>
      <c r="B23" s="153">
        <f>SUM(B16:B21)</f>
        <v>22428389.975951299</v>
      </c>
      <c r="C23" s="153">
        <f>SUM(C16:C21)</f>
        <v>6336053.3882567706</v>
      </c>
      <c r="D23" s="153">
        <f>SUM(D16:D21)</f>
        <v>845336.20731299976</v>
      </c>
      <c r="E23" s="153">
        <f>SUM(E16:E21)</f>
        <v>0</v>
      </c>
      <c r="F23" s="153">
        <f>SUM(F16:F19)</f>
        <v>625666.0892422148</v>
      </c>
      <c r="G23" s="153">
        <f>SUM(G16:G21)</f>
        <v>30235445.66076329</v>
      </c>
    </row>
  </sheetData>
  <mergeCells count="3">
    <mergeCell ref="B14:G14"/>
    <mergeCell ref="B3:G3"/>
    <mergeCell ref="A1:G1"/>
  </mergeCells>
  <pageMargins left="0.7" right="0.7" top="0.75" bottom="0.75" header="0.3" footer="0.3"/>
  <pageSetup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7"/>
  <sheetViews>
    <sheetView showGridLines="0" zoomScaleNormal="100" workbookViewId="0"/>
  </sheetViews>
  <sheetFormatPr defaultRowHeight="15" x14ac:dyDescent="0.25"/>
  <cols>
    <col min="1" max="1" width="29.140625" customWidth="1"/>
    <col min="2" max="4" width="11.5703125" bestFit="1" customWidth="1"/>
    <col min="5" max="6" width="12.42578125" customWidth="1"/>
    <col min="7" max="8" width="11.5703125" bestFit="1" customWidth="1"/>
    <col min="9" max="9" width="12.42578125" customWidth="1"/>
  </cols>
  <sheetData>
    <row r="1" spans="1:10" ht="18.75" x14ac:dyDescent="0.25">
      <c r="A1" s="128" t="s">
        <v>149</v>
      </c>
    </row>
    <row r="3" spans="1:10" s="20" customFormat="1" ht="14.45" customHeight="1" x14ac:dyDescent="0.25">
      <c r="B3" s="283" t="s">
        <v>101</v>
      </c>
      <c r="C3" s="284"/>
      <c r="D3" s="284"/>
      <c r="E3" s="285"/>
      <c r="F3" s="283" t="s">
        <v>100</v>
      </c>
      <c r="G3" s="284"/>
      <c r="H3" s="284"/>
      <c r="I3" s="285"/>
    </row>
    <row r="4" spans="1:10" s="20" customFormat="1" x14ac:dyDescent="0.25">
      <c r="A4" s="294" t="s">
        <v>104</v>
      </c>
      <c r="B4" s="295" t="s">
        <v>98</v>
      </c>
      <c r="C4" s="295" t="s">
        <v>97</v>
      </c>
      <c r="D4" s="295" t="s">
        <v>103</v>
      </c>
      <c r="E4" s="295" t="s">
        <v>102</v>
      </c>
      <c r="F4" s="295" t="s">
        <v>98</v>
      </c>
      <c r="G4" s="295" t="s">
        <v>97</v>
      </c>
      <c r="H4" s="295" t="s">
        <v>103</v>
      </c>
      <c r="I4" s="295" t="s">
        <v>102</v>
      </c>
    </row>
    <row r="5" spans="1:10" s="20" customFormat="1" x14ac:dyDescent="0.25">
      <c r="A5" s="294"/>
      <c r="B5" s="296"/>
      <c r="C5" s="296"/>
      <c r="D5" s="296"/>
      <c r="E5" s="296"/>
      <c r="F5" s="296"/>
      <c r="G5" s="296"/>
      <c r="H5" s="296"/>
      <c r="I5" s="296"/>
    </row>
    <row r="6" spans="1:10" s="20" customFormat="1" x14ac:dyDescent="0.25">
      <c r="A6" s="294"/>
      <c r="B6" s="297"/>
      <c r="C6" s="297"/>
      <c r="D6" s="297"/>
      <c r="E6" s="297"/>
      <c r="F6" s="297"/>
      <c r="G6" s="297"/>
      <c r="H6" s="297"/>
      <c r="I6" s="297"/>
    </row>
    <row r="7" spans="1:10" s="20" customFormat="1" x14ac:dyDescent="0.25">
      <c r="A7" s="26" t="s">
        <v>7</v>
      </c>
      <c r="B7" s="22">
        <f>SUM('Current Year Programs'!C34*1292/2200)</f>
        <v>26396.699318144365</v>
      </c>
      <c r="C7" s="22">
        <f>SUM('Current Year Programs'!C34*0.83/2200)</f>
        <v>16.957631914906983</v>
      </c>
      <c r="D7" s="22">
        <f>SUM('Current Year Programs'!C34*0.67/2200)</f>
        <v>13.688690822876724</v>
      </c>
      <c r="E7" s="22">
        <f>SUM('Current Year Programs'!C34*1.1/1000)</f>
        <v>49.442734016957722</v>
      </c>
      <c r="F7" s="22">
        <f>SUM('Current Year Programs'!D34*1292/2200)</f>
        <v>297186.6970097603</v>
      </c>
      <c r="G7" s="22">
        <f>SUM('Current Year Programs'!D34*0.83/2200)</f>
        <v>190.91715055580576</v>
      </c>
      <c r="H7" s="22">
        <f>SUM('Current Year Programs'!D34*0.67/2200)</f>
        <v>154.11384442456611</v>
      </c>
      <c r="I7" s="22">
        <f>SUM('Current Year Programs'!D34*1.1/1000)</f>
        <v>556.65000523500009</v>
      </c>
    </row>
    <row r="8" spans="1:10" s="20" customFormat="1" x14ac:dyDescent="0.25">
      <c r="A8" s="25" t="s">
        <v>14</v>
      </c>
      <c r="B8" s="22">
        <f>SUM('Current Year Programs'!C35*1292/2200)</f>
        <v>77987.124688977681</v>
      </c>
      <c r="C8" s="22">
        <f>SUM('Current Year Programs'!C35*0.83/2200)</f>
        <v>50.100087841990302</v>
      </c>
      <c r="D8" s="22">
        <f>SUM('Current Year Programs'!C35*0.67/2200)</f>
        <v>40.442239583293379</v>
      </c>
      <c r="E8" s="22">
        <f>SUM('Current Year Programs'!C35*1.1/1000)</f>
        <v>146.07495491279104</v>
      </c>
      <c r="F8" s="22">
        <f>SUM('Current Year Programs'!D35*1292/2200)</f>
        <v>876565.18685504876</v>
      </c>
      <c r="G8" s="22">
        <f>SUM('Current Year Programs'!D35*0.83/2200)</f>
        <v>563.11850239140131</v>
      </c>
      <c r="H8" s="22">
        <f>SUM('Current Year Programs'!D35*0.67/2200)</f>
        <v>454.56553807498659</v>
      </c>
      <c r="I8" s="22">
        <f>SUM('Current Year Programs'!D35*1.1/1000)</f>
        <v>1641.8635852857726</v>
      </c>
    </row>
    <row r="9" spans="1:10" s="20" customFormat="1" ht="14.45" customHeight="1" x14ac:dyDescent="0.25">
      <c r="A9" s="25" t="s">
        <v>15</v>
      </c>
      <c r="B9" s="22">
        <f>SUM('Current Year Programs'!C36*1292/2200)</f>
        <v>375172.53104173392</v>
      </c>
      <c r="C9" s="22">
        <f>SUM('Current Year Programs'!C36*0.83/2200)</f>
        <v>241.01640926055663</v>
      </c>
      <c r="D9" s="22">
        <f>SUM('Current Year Programs'!C36*0.67/2200)</f>
        <v>194.55541470430475</v>
      </c>
      <c r="E9" s="22">
        <f>SUM('Current Year Programs'!C36*1.1/1000)</f>
        <v>702.7225426633097</v>
      </c>
      <c r="F9" s="22">
        <f>SUM('Current Year Programs'!D36*1292/2200)</f>
        <v>4746209.3816155903</v>
      </c>
      <c r="G9" s="22">
        <f>SUM('Current Year Programs'!D36*0.83/2200)</f>
        <v>3049.035438653978</v>
      </c>
      <c r="H9" s="22">
        <f>SUM('Current Year Programs'!D36*0.67/2200)</f>
        <v>2461.2695709616451</v>
      </c>
      <c r="I9" s="22">
        <f>SUM('Current Year Programs'!D36*1.1/1000)</f>
        <v>8889.9587488465386</v>
      </c>
    </row>
    <row r="10" spans="1:10" s="20" customFormat="1" ht="14.45" customHeight="1" x14ac:dyDescent="0.25">
      <c r="A10" s="25" t="s">
        <v>19</v>
      </c>
      <c r="B10" s="22">
        <f>SUM('Current Year Programs'!C37*1292/2200)</f>
        <v>7308.8870271938604</v>
      </c>
      <c r="C10" s="22">
        <f>SUM('Current Year Programs'!C37*0.83/2200)</f>
        <v>4.6953376413087495</v>
      </c>
      <c r="D10" s="22">
        <f>SUM('Current Year Programs'!C37*0.67/2200)</f>
        <v>3.79021231286369</v>
      </c>
      <c r="E10" s="22">
        <f>SUM('Current Year Programs'!C37*1.1/1000)</f>
        <v>13.690020592731537</v>
      </c>
      <c r="F10" s="22">
        <f>SUM('Current Year Programs'!D37*1292/2200)</f>
        <v>77268.962658147721</v>
      </c>
      <c r="G10" s="22">
        <f>SUM('Current Year Programs'!D37*0.83/2200)</f>
        <v>49.638729881008203</v>
      </c>
      <c r="H10" s="22">
        <f>SUM('Current Year Programs'!D37*0.67/2200)</f>
        <v>40.069818096717469</v>
      </c>
      <c r="I10" s="22">
        <f>SUM('Current Year Programs'!D37*1.1/1000)</f>
        <v>144.72979073739742</v>
      </c>
    </row>
    <row r="11" spans="1:10" s="19" customFormat="1" ht="4.3499999999999996" customHeight="1" x14ac:dyDescent="0.25">
      <c r="A11" s="65"/>
      <c r="B11" s="66"/>
      <c r="C11" s="66"/>
      <c r="D11" s="65"/>
      <c r="E11" s="65"/>
      <c r="F11" s="65"/>
      <c r="G11" s="65"/>
      <c r="H11" s="65"/>
      <c r="I11" s="65"/>
    </row>
    <row r="12" spans="1:10" s="20" customFormat="1" ht="14.45" customHeight="1" x14ac:dyDescent="0.25">
      <c r="A12" s="29" t="s">
        <v>155</v>
      </c>
      <c r="B12" s="67">
        <f>SUM('Current Year Programs'!C39*1292/2200)</f>
        <v>42727.864004344723</v>
      </c>
      <c r="C12" s="67">
        <f>SUM('Current Year Programs'!C39*0.83/2200)</f>
        <v>27.449014801552725</v>
      </c>
      <c r="D12" s="67">
        <f>SUM('Current Year Programs'!C39*0.67/2200)</f>
        <v>22.157638454265452</v>
      </c>
      <c r="E12" s="67">
        <f>SUM('Current Year Programs'!C39*1.1/1000)</f>
        <v>80.032067252719997</v>
      </c>
      <c r="F12" s="67">
        <f>SUM('Current Year Programs'!D39*1292/2200)</f>
        <v>724777.0362312739</v>
      </c>
      <c r="G12" s="67">
        <f>SUM('Current Year Programs'!D39*0.83/2200)</f>
        <v>465.60753875538495</v>
      </c>
      <c r="H12" s="67">
        <f>SUM('Current Year Programs'!D39*0.67/2200)</f>
        <v>375.85186863386502</v>
      </c>
      <c r="I12" s="67">
        <f>SUM('Current Year Programs'!D39*1.1/1000)</f>
        <v>1357.5545105879901</v>
      </c>
    </row>
    <row r="13" spans="1:10" s="19" customFormat="1" ht="4.3499999999999996" customHeight="1" x14ac:dyDescent="0.25">
      <c r="B13" s="60"/>
      <c r="C13" s="60"/>
    </row>
    <row r="14" spans="1:10" s="20" customFormat="1" x14ac:dyDescent="0.25">
      <c r="A14" s="136" t="s">
        <v>150</v>
      </c>
      <c r="B14" s="70">
        <f t="shared" ref="B14:H14" si="0">SUM(B7:B12)</f>
        <v>529593.10608039459</v>
      </c>
      <c r="C14" s="21">
        <f t="shared" si="0"/>
        <v>340.21848146031539</v>
      </c>
      <c r="D14" s="21">
        <f t="shared" si="0"/>
        <v>274.63419587760404</v>
      </c>
      <c r="E14" s="133">
        <f t="shared" si="0"/>
        <v>991.96231943851012</v>
      </c>
      <c r="F14" s="21">
        <f t="shared" si="0"/>
        <v>6722007.2643698202</v>
      </c>
      <c r="G14" s="21">
        <f t="shared" si="0"/>
        <v>4318.3173602375782</v>
      </c>
      <c r="H14" s="21">
        <f t="shared" si="0"/>
        <v>3485.8706401917798</v>
      </c>
      <c r="I14" s="134">
        <f>SUM(I7:I12)</f>
        <v>12590.7566406927</v>
      </c>
    </row>
    <row r="15" spans="1:10" s="20" customFormat="1" ht="14.45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7"/>
    </row>
    <row r="16" spans="1:10" s="20" customFormat="1" x14ac:dyDescent="0.25">
      <c r="B16" s="283" t="s">
        <v>101</v>
      </c>
      <c r="C16" s="285"/>
      <c r="D16" s="283" t="s">
        <v>100</v>
      </c>
      <c r="E16" s="285"/>
      <c r="H16" s="68"/>
    </row>
    <row r="17" spans="1:8" s="20" customFormat="1" x14ac:dyDescent="0.25">
      <c r="A17" s="294" t="s">
        <v>99</v>
      </c>
      <c r="B17" s="272" t="s">
        <v>98</v>
      </c>
      <c r="C17" s="272" t="s">
        <v>97</v>
      </c>
      <c r="D17" s="272" t="s">
        <v>98</v>
      </c>
      <c r="E17" s="272" t="s">
        <v>97</v>
      </c>
      <c r="H17" s="69"/>
    </row>
    <row r="18" spans="1:8" s="20" customFormat="1" x14ac:dyDescent="0.25">
      <c r="A18" s="294"/>
      <c r="B18" s="272"/>
      <c r="C18" s="272"/>
      <c r="D18" s="272"/>
      <c r="E18" s="272"/>
    </row>
    <row r="19" spans="1:8" s="20" customFormat="1" x14ac:dyDescent="0.25">
      <c r="A19" s="294"/>
      <c r="B19" s="272"/>
      <c r="C19" s="272"/>
      <c r="D19" s="272"/>
      <c r="E19" s="272"/>
    </row>
    <row r="20" spans="1:8" s="20" customFormat="1" ht="14.45" customHeight="1" x14ac:dyDescent="0.25">
      <c r="A20" s="25" t="s">
        <v>11</v>
      </c>
      <c r="B20" s="23">
        <f>SUM('Current Year Programs'!B46*117/2200)</f>
        <v>15596.320234646777</v>
      </c>
      <c r="C20" s="22">
        <f>SUM('Current Year Programs'!B46*0.83/2200)</f>
        <v>110.64056234834892</v>
      </c>
      <c r="D20" s="22">
        <f>SUM('Current Year Programs'!C46*117/2200)</f>
        <v>124125.98450264389</v>
      </c>
      <c r="E20" s="22">
        <f>SUM('Current Year Programs'!C46*0.83/2200)</f>
        <v>880.5518558734567</v>
      </c>
    </row>
    <row r="21" spans="1:8" s="20" customFormat="1" x14ac:dyDescent="0.25">
      <c r="A21" s="25" t="s">
        <v>12</v>
      </c>
      <c r="B21" s="23">
        <f>SUM('Current Year Programs'!B47*117/2200)</f>
        <v>26290.567554136363</v>
      </c>
      <c r="C21" s="22">
        <f>SUM('Current Year Programs'!B47*0.83/2200)</f>
        <v>186.50573564045453</v>
      </c>
      <c r="D21" s="22">
        <f>SUM('Current Year Programs'!C47*117/2200)</f>
        <v>186224.24650050001</v>
      </c>
      <c r="E21" s="22">
        <f>SUM('Current Year Programs'!C47*0.83/2200)</f>
        <v>1321.0779879950001</v>
      </c>
    </row>
    <row r="22" spans="1:8" s="20" customFormat="1" x14ac:dyDescent="0.25">
      <c r="A22" s="25" t="s">
        <v>15</v>
      </c>
      <c r="B22" s="23">
        <f>SUM('Current Year Programs'!B48*117/2200)</f>
        <v>107787.83910082626</v>
      </c>
      <c r="C22" s="22">
        <f>SUM('Current Year Programs'!B48*0.83/2200)</f>
        <v>764.64877310842564</v>
      </c>
      <c r="D22" s="22">
        <f>SUM('Current Year Programs'!C48*117/2200)</f>
        <v>1013826.9181459991</v>
      </c>
      <c r="E22" s="22">
        <f>SUM('Current Year Programs'!C48*0.83/2200)</f>
        <v>7192.1054877023862</v>
      </c>
    </row>
    <row r="23" spans="1:8" s="20" customFormat="1" x14ac:dyDescent="0.25">
      <c r="A23" s="24" t="s">
        <v>6</v>
      </c>
      <c r="B23" s="23">
        <f>SUM('Current Year Programs'!B49*117/2200)</f>
        <v>16138.402443480418</v>
      </c>
      <c r="C23" s="22">
        <f>SUM('Current Year Programs'!B49*0.83/2200)</f>
        <v>114.48610280417731</v>
      </c>
      <c r="D23" s="22">
        <f>SUM('Current Year Programs'!C49*117/2200)</f>
        <v>140949.66793022293</v>
      </c>
      <c r="E23" s="22">
        <f>SUM('Current Year Programs'!C49*0.83/2200)</f>
        <v>999.89935369303453</v>
      </c>
    </row>
    <row r="24" spans="1:8" s="19" customFormat="1" ht="4.3499999999999996" customHeight="1" x14ac:dyDescent="0.25">
      <c r="A24" s="65"/>
      <c r="B24" s="66"/>
      <c r="C24" s="66"/>
      <c r="D24" s="65"/>
      <c r="E24" s="65"/>
    </row>
    <row r="25" spans="1:8" s="20" customFormat="1" x14ac:dyDescent="0.25">
      <c r="A25" s="24" t="s">
        <v>155</v>
      </c>
      <c r="B25" s="23">
        <f>SUM('Current Year Programs'!B51*117/2200)</f>
        <v>7420.5492362181812</v>
      </c>
      <c r="C25" s="22">
        <f>SUM('Current Year Programs'!B51*0.83/2200)</f>
        <v>52.641503128727265</v>
      </c>
      <c r="D25" s="22">
        <f>SUM('Current Year Programs'!C51*117/2200)</f>
        <v>142849.15669759092</v>
      </c>
      <c r="E25" s="22">
        <f>SUM('Current Year Programs'!C51*0.83/2200)</f>
        <v>1013.3743594786364</v>
      </c>
    </row>
    <row r="26" spans="1:8" s="19" customFormat="1" ht="4.3499999999999996" customHeight="1" x14ac:dyDescent="0.25">
      <c r="A26" s="65"/>
      <c r="B26" s="66"/>
      <c r="C26" s="66"/>
      <c r="D26" s="65"/>
      <c r="E26" s="65"/>
    </row>
    <row r="27" spans="1:8" s="20" customFormat="1" x14ac:dyDescent="0.25">
      <c r="A27" s="136" t="s">
        <v>151</v>
      </c>
      <c r="B27" s="70">
        <f>SUM(B20:B25)</f>
        <v>173233.67856930799</v>
      </c>
      <c r="C27" s="70">
        <f>SUM(C20:C25)</f>
        <v>1228.9226770301336</v>
      </c>
      <c r="D27" s="70">
        <f>SUM(D20:D25)</f>
        <v>1607975.9737769566</v>
      </c>
      <c r="E27" s="70">
        <f>SUM(E20:E25)</f>
        <v>11407.009044742512</v>
      </c>
    </row>
  </sheetData>
  <mergeCells count="18">
    <mergeCell ref="B16:C16"/>
    <mergeCell ref="D16:E16"/>
    <mergeCell ref="A17:A19"/>
    <mergeCell ref="B17:B19"/>
    <mergeCell ref="C17:C19"/>
    <mergeCell ref="D17:D19"/>
    <mergeCell ref="E17:E19"/>
    <mergeCell ref="B3:E3"/>
    <mergeCell ref="F3:I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  <pageSetup scale="98" orientation="landscape" horizontalDpi="4294967293" verticalDpi="300" r:id="rId1"/>
  <ignoredErrors>
    <ignoredError sqref="C24 D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415B02D5A274BB5247C7E04B614CD" ma:contentTypeVersion="14" ma:contentTypeDescription="Create a new document." ma:contentTypeScope="" ma:versionID="3cdc43d8a535e10f26207ea9f2cea321">
  <xsd:schema xmlns:xsd="http://www.w3.org/2001/XMLSchema" xmlns:xs="http://www.w3.org/2001/XMLSchema" xmlns:p="http://schemas.microsoft.com/office/2006/metadata/properties" xmlns:ns3="a9c0183b-03f1-4102-892d-7302450538ef" xmlns:ns4="0e69ef92-f563-4b5c-a84c-cc415d9e5684" targetNamespace="http://schemas.microsoft.com/office/2006/metadata/properties" ma:root="true" ma:fieldsID="2dfee0f1ca3ded039e20661eca351572" ns3:_="" ns4:_="">
    <xsd:import namespace="a9c0183b-03f1-4102-892d-7302450538ef"/>
    <xsd:import namespace="0e69ef92-f563-4b5c-a84c-cc415d9e56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0183b-03f1-4102-892d-7302450538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9ef92-f563-4b5c-a84c-cc415d9e5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F7385-B20F-41A3-9AF0-917C8DB4F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7C1C92-7FB6-4F63-8AAF-76030A8E688C}">
  <ds:schemaRefs>
    <ds:schemaRef ds:uri="0e69ef92-f563-4b5c-a84c-cc415d9e56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9c0183b-03f1-4102-892d-7302450538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E356C6-C210-4792-B788-56E4E2C34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0183b-03f1-4102-892d-7302450538ef"/>
    <ds:schemaRef ds:uri="0e69ef92-f563-4b5c-a84c-cc415d9e5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Sheet1</vt:lpstr>
      <vt:lpstr>Statewide Totals</vt:lpstr>
      <vt:lpstr>Current Year Programs</vt:lpstr>
      <vt:lpstr>Legacy Programs</vt:lpstr>
      <vt:lpstr>Budgets, Expenses &amp; Incentives</vt:lpstr>
      <vt:lpstr>Participants</vt:lpstr>
      <vt:lpstr>Electric Savings</vt:lpstr>
      <vt:lpstr>Gas Savings</vt:lpstr>
      <vt:lpstr>Emissions Reductions</vt:lpstr>
      <vt:lpstr>Goals</vt:lpstr>
      <vt:lpstr>Performance vs Goals</vt:lpstr>
      <vt:lpstr>Energy Savings % Retail Sales</vt:lpstr>
      <vt:lpstr>Equity</vt:lpstr>
      <vt:lpstr>Qtr Electric Master</vt:lpstr>
      <vt:lpstr>'Current Year Programs'!Print_Area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Menon, Nisha</dc:creator>
  <cp:lastModifiedBy>Zito, Melissa</cp:lastModifiedBy>
  <cp:lastPrinted>2024-12-09T13:32:33Z</cp:lastPrinted>
  <dcterms:created xsi:type="dcterms:W3CDTF">2021-04-01T12:59:18Z</dcterms:created>
  <dcterms:modified xsi:type="dcterms:W3CDTF">2025-01-30T18:35:59Z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0x010100ACC415B02D5A274BB5247C7E04B614CD</vt:lpwstr>
  </property>
  <property fmtid="{D5CDD505-2E9C-101B-9397-08002B2CF9AE}" pid="3" name="_dlc_DocIdItemGuid">
    <vt:lpwstr>d518755f-b4dd-401e-8d27-8b5a3f646fcf</vt:lpwstr>
  </property>
</Properties>
</file>