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908962_exelonds_com/Documents/"/>
    </mc:Choice>
  </mc:AlternateContent>
  <xr:revisionPtr revIDLastSave="0" documentId="8_{C9F9D739-1452-48F1-9531-5B1157AE86D3}" xr6:coauthVersionLast="41" xr6:coauthVersionMax="41" xr10:uidLastSave="{00000000-0000-0000-0000-000000000000}"/>
  <bookViews>
    <workbookView xWindow="-120" yWindow="-120" windowWidth="29040" windowHeight="15840" tabRatio="706" activeTab="7" xr2:uid="{A3CBBF7E-646C-47DA-B334-C313B1446294}"/>
  </bookViews>
  <sheets>
    <sheet name="Residential" sheetId="1" r:id="rId1"/>
    <sheet name="Res - TOU" sheetId="10" r:id="rId2"/>
    <sheet name="MGS-Sec" sheetId="2" r:id="rId3"/>
    <sheet name="MGS-Pri" sheetId="3" r:id="rId4"/>
    <sheet name="AGS-Sec" sheetId="4" r:id="rId5"/>
    <sheet name="AGS-Pri" sheetId="5" r:id="rId6"/>
    <sheet name="TGS-Sub" sheetId="7" r:id="rId7"/>
    <sheet name="TGS" sheetId="8" r:id="rId8"/>
    <sheet name="SPL-CSL" sheetId="9" r:id="rId9"/>
    <sheet name="DDC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0" i="1"/>
  <c r="C19" i="1"/>
  <c r="C16" i="1"/>
  <c r="C15" i="1"/>
  <c r="C14" i="1"/>
  <c r="C11" i="1"/>
  <c r="C10" i="1"/>
  <c r="C19" i="10"/>
  <c r="C14" i="10"/>
  <c r="C11" i="10"/>
  <c r="C13" i="6"/>
  <c r="C15" i="6"/>
  <c r="C18" i="6"/>
  <c r="C19" i="6"/>
  <c r="C14" i="6"/>
  <c r="C22" i="6"/>
  <c r="C10" i="6"/>
  <c r="C22" i="9"/>
  <c r="C18" i="9"/>
  <c r="C20" i="9" s="1"/>
  <c r="C19" i="9"/>
  <c r="C15" i="9"/>
  <c r="C10" i="9"/>
  <c r="C23" i="8"/>
  <c r="C20" i="8"/>
  <c r="C19" i="8"/>
  <c r="C18" i="8"/>
  <c r="C17" i="8"/>
  <c r="C14" i="8"/>
  <c r="C13" i="8"/>
  <c r="C10" i="8"/>
  <c r="C23" i="7"/>
  <c r="C20" i="7"/>
  <c r="C19" i="7"/>
  <c r="C18" i="7"/>
  <c r="C17" i="7"/>
  <c r="C14" i="7"/>
  <c r="C13" i="7"/>
  <c r="C10" i="7"/>
  <c r="C44" i="5"/>
  <c r="C41" i="5"/>
  <c r="C40" i="5"/>
  <c r="C39" i="5"/>
  <c r="C38" i="5"/>
  <c r="C35" i="5"/>
  <c r="C31" i="5"/>
  <c r="C17" i="5"/>
  <c r="C10" i="5"/>
  <c r="C13" i="5"/>
  <c r="C14" i="5"/>
  <c r="C21" i="5"/>
  <c r="C18" i="5"/>
  <c r="C44" i="4"/>
  <c r="C41" i="4"/>
  <c r="C40" i="4"/>
  <c r="C39" i="4"/>
  <c r="C38" i="4"/>
  <c r="C35" i="4"/>
  <c r="C31" i="4"/>
  <c r="C21" i="4"/>
  <c r="C17" i="4"/>
  <c r="C18" i="4"/>
  <c r="C13" i="4"/>
  <c r="C14" i="4"/>
  <c r="C10" i="4"/>
  <c r="C46" i="3"/>
  <c r="C43" i="3"/>
  <c r="C42" i="3"/>
  <c r="C41" i="3"/>
  <c r="C40" i="3"/>
  <c r="C11" i="3"/>
  <c r="C22" i="3"/>
  <c r="C18" i="3"/>
  <c r="C19" i="3"/>
  <c r="C14" i="3"/>
  <c r="C15" i="3"/>
  <c r="C10" i="3"/>
  <c r="C46" i="2"/>
  <c r="C43" i="2"/>
  <c r="C42" i="2"/>
  <c r="C41" i="2"/>
  <c r="C40" i="2"/>
  <c r="C37" i="2" l="1"/>
  <c r="C22" i="2"/>
  <c r="C19" i="2"/>
  <c r="C18" i="2"/>
  <c r="C15" i="2"/>
  <c r="C14" i="2"/>
  <c r="C11" i="2"/>
  <c r="C10" i="2"/>
  <c r="C8" i="6" l="1"/>
  <c r="C8" i="9"/>
  <c r="C8" i="8"/>
  <c r="C8" i="7"/>
  <c r="C8" i="5"/>
  <c r="C29" i="5" s="1"/>
  <c r="C8" i="4"/>
  <c r="C29" i="4" s="1"/>
  <c r="C8" i="3"/>
  <c r="C30" i="3" s="1"/>
  <c r="C8" i="10"/>
  <c r="C8" i="2"/>
  <c r="C30" i="2" s="1"/>
  <c r="C16" i="6" l="1"/>
  <c r="C16" i="9"/>
  <c r="C15" i="8"/>
  <c r="C15" i="7"/>
  <c r="C34" i="5"/>
  <c r="C36" i="5" s="1"/>
  <c r="C15" i="5"/>
  <c r="C34" i="4"/>
  <c r="C36" i="4"/>
  <c r="C15" i="4"/>
  <c r="A14" i="4"/>
  <c r="A35" i="4" s="1"/>
  <c r="C37" i="3"/>
  <c r="C36" i="3"/>
  <c r="C38" i="3" s="1"/>
  <c r="C33" i="3"/>
  <c r="C32" i="3"/>
  <c r="C16" i="3"/>
  <c r="A53" i="3"/>
  <c r="A51" i="4" s="1"/>
  <c r="A51" i="5" s="1"/>
  <c r="A30" i="7" s="1"/>
  <c r="A30" i="8" s="1"/>
  <c r="A52" i="3"/>
  <c r="A50" i="4" s="1"/>
  <c r="A50" i="5" s="1"/>
  <c r="A29" i="7" s="1"/>
  <c r="A29" i="8" s="1"/>
  <c r="A14" i="5" l="1"/>
  <c r="A35" i="5" s="1"/>
  <c r="A14" i="7" s="1"/>
  <c r="A14" i="8" s="1"/>
  <c r="A15" i="9" s="1"/>
  <c r="A15" i="6" s="1"/>
  <c r="C36" i="2" l="1"/>
  <c r="C38" i="2" s="1"/>
  <c r="C33" i="2"/>
  <c r="C32" i="2"/>
  <c r="C16" i="2" l="1"/>
  <c r="A29" i="10"/>
  <c r="A51" i="2" s="1"/>
  <c r="A51" i="3" s="1"/>
  <c r="A49" i="4" s="1"/>
  <c r="A49" i="5" s="1"/>
  <c r="A28" i="7" s="1"/>
  <c r="A28" i="8" s="1"/>
  <c r="A27" i="9" s="1"/>
  <c r="A27" i="6" s="1"/>
  <c r="C21" i="7" l="1"/>
  <c r="C21" i="8"/>
  <c r="C25" i="8" s="1"/>
  <c r="C20" i="10"/>
  <c r="C15" i="10"/>
  <c r="C17" i="10" s="1"/>
  <c r="C16" i="10"/>
  <c r="A5" i="10"/>
  <c r="A5" i="2" s="1"/>
  <c r="A5" i="3" s="1"/>
  <c r="A5" i="4" s="1"/>
  <c r="A5" i="5" s="1"/>
  <c r="A5" i="7" s="1"/>
  <c r="A5" i="8" s="1"/>
  <c r="A5" i="9" s="1"/>
  <c r="A5" i="6" s="1"/>
  <c r="C23" i="10" l="1"/>
  <c r="C17" i="1"/>
  <c r="C10" i="10" l="1"/>
  <c r="A28" i="6" l="1"/>
  <c r="A28" i="9"/>
  <c r="A31" i="8"/>
  <c r="A31" i="7"/>
  <c r="A52" i="5"/>
  <c r="A52" i="4"/>
  <c r="A54" i="3"/>
  <c r="A54" i="2"/>
  <c r="A33" i="10"/>
  <c r="A2" i="6" l="1"/>
  <c r="C20" i="6"/>
  <c r="C11" i="6"/>
  <c r="A2" i="9"/>
  <c r="C11" i="9"/>
  <c r="C11" i="8"/>
  <c r="A2" i="8"/>
  <c r="C11" i="7"/>
  <c r="C25" i="7" s="1"/>
  <c r="A2" i="7"/>
  <c r="C32" i="5"/>
  <c r="C19" i="5"/>
  <c r="C11" i="5"/>
  <c r="A2" i="5"/>
  <c r="C32" i="4"/>
  <c r="C19" i="4"/>
  <c r="C11" i="4"/>
  <c r="A2" i="4"/>
  <c r="C34" i="3"/>
  <c r="C20" i="3"/>
  <c r="C12" i="3"/>
  <c r="A2" i="3"/>
  <c r="C24" i="6" l="1"/>
  <c r="C24" i="9"/>
  <c r="C24" i="3"/>
  <c r="C23" i="5"/>
  <c r="C23" i="4"/>
  <c r="C42" i="5"/>
  <c r="C46" i="5" s="1"/>
  <c r="C42" i="4"/>
  <c r="C46" i="4" s="1"/>
  <c r="C44" i="3"/>
  <c r="C48" i="3" s="1"/>
  <c r="C44" i="2"/>
  <c r="C34" i="2"/>
  <c r="C20" i="2"/>
  <c r="C12" i="2"/>
  <c r="A2" i="2"/>
  <c r="A2" i="10"/>
  <c r="C12" i="10"/>
  <c r="C48" i="2" l="1"/>
  <c r="C24" i="2"/>
  <c r="C21" i="10"/>
  <c r="C25" i="10" s="1"/>
  <c r="C21" i="1"/>
  <c r="C12" i="1"/>
  <c r="C25" i="1" l="1"/>
</calcChain>
</file>

<file path=xl/sharedStrings.xml><?xml version="1.0" encoding="utf-8"?>
<sst xmlns="http://schemas.openxmlformats.org/spreadsheetml/2006/main" count="233" uniqueCount="53">
  <si>
    <t>ATLANTIC CITY ELECTRIC</t>
  </si>
  <si>
    <t>Community Solar</t>
  </si>
  <si>
    <t>Residential Rate Class</t>
  </si>
  <si>
    <t>Community Solar Credit Rate:</t>
  </si>
  <si>
    <t>Transmission Rate ($/kWH)</t>
  </si>
  <si>
    <t>Transmission Enhancement Charge ($/kWH)</t>
  </si>
  <si>
    <t>BGS Reconciliation Charge ($ per kWh)</t>
  </si>
  <si>
    <t>Basic Generation Service Charge - RSCP ($/kWH)</t>
  </si>
  <si>
    <t>EDIT (Excess Deferred Income Tax Credit) $ per kWh</t>
  </si>
  <si>
    <t>Distribution Rate ($/kWH)</t>
  </si>
  <si>
    <t>MGS-Secondary Rate Class</t>
  </si>
  <si>
    <t>MGS-Primary Rate Class</t>
  </si>
  <si>
    <t>AGS-Secondary Rate Class</t>
  </si>
  <si>
    <t>AGS-Primary Rate Class</t>
  </si>
  <si>
    <t>DDC Rate Class</t>
  </si>
  <si>
    <t>TGS-Sub-Transmision Rate Class</t>
  </si>
  <si>
    <t xml:space="preserve"> BGS- CIEP (Priced at hourly prices @ PJM)</t>
  </si>
  <si>
    <t>Ancillary Service Charge ($ per kWh)</t>
  </si>
  <si>
    <t>TGS Transmision Rate Class</t>
  </si>
  <si>
    <t>SPL/CSL Rate Classes</t>
  </si>
  <si>
    <t>Residential TOU Rate Class</t>
  </si>
  <si>
    <t>If PLS for generation capacity = or &gt; than 500 kW or who elect CIEP status:</t>
  </si>
  <si>
    <t>Basic Generation Service Charge - CIEP ($/kWH)</t>
  </si>
  <si>
    <t>Total Distribution Credit</t>
  </si>
  <si>
    <t>Total Transmission Credit</t>
  </si>
  <si>
    <t>Total Generation Credit</t>
  </si>
  <si>
    <t>Total Residential Community Solar Credit</t>
  </si>
  <si>
    <t>CIEP Standby Fee</t>
  </si>
  <si>
    <t>Community Solar Credit Rate Methodology:</t>
  </si>
  <si>
    <t>Notes:</t>
  </si>
  <si>
    <t>-Any rates with kWh blocks will be calculated at the average of the kWh blocks.</t>
  </si>
  <si>
    <t xml:space="preserve">-Basic Generation Service Charge rate was calculated by using the On Peak rate times the On Peak hours of 8am-8pm and the Off Peak rate times the Off peak </t>
  </si>
  <si>
    <t xml:space="preserve">  hours of 8pm-8am and then averaged. </t>
  </si>
  <si>
    <t>Total Residential TOU Community Solar Credit</t>
  </si>
  <si>
    <t>Total MGS-Secondary Community Solar Credit</t>
  </si>
  <si>
    <t>See Notes Below</t>
  </si>
  <si>
    <t xml:space="preserve">-The Basic Generation Service Charge rate for CIEP customers is billed at PJM hourly rates.  It needs to be discussed on how the credit should be calculated for </t>
  </si>
  <si>
    <t>Total MGS-Primary Community Solar Credit</t>
  </si>
  <si>
    <t>Total AGS-Secondary Community Solar Credit</t>
  </si>
  <si>
    <t>Total AGS-Primary Community Solar Credit</t>
  </si>
  <si>
    <t>BGS- CIEP (Priced at hourly prices @ PJM)</t>
  </si>
  <si>
    <t>Total TGS-Sub-Transmission Community Solar Credit</t>
  </si>
  <si>
    <t>Total TGS Transmission Community Solar Credit</t>
  </si>
  <si>
    <t>Total SPL/CSL Community Solar Credit</t>
  </si>
  <si>
    <t>Total DDC Community Solar Credit</t>
  </si>
  <si>
    <t xml:space="preserve">-These rates are for discussion purposes only and are subject to change.  </t>
  </si>
  <si>
    <t xml:space="preserve">Calculation of the retail rate bill credit </t>
  </si>
  <si>
    <t>Pre - SUT Rate</t>
  </si>
  <si>
    <t>Reliability Must Run Transmission Surcharge</t>
  </si>
  <si>
    <t>Solar Renewable Energy Certificate</t>
  </si>
  <si>
    <t xml:space="preserve"> CIEP customers.  For illustrative purposes, we have provided the calculation using the average LMP rate for calendar year 2018.</t>
  </si>
  <si>
    <t xml:space="preserve">As of 9/1/2019 </t>
  </si>
  <si>
    <t xml:space="preserve">-Rates here represent rates in effect for the month of September 2019.  Rates will be adjusted when above rates are changed and also for Summer and Winter months.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</si>
</sst>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000_);[Red]\(&quot;$&quot;#,##0.000000\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7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0" fontId="0" fillId="2" borderId="0" xfId="0" applyFill="1"/>
    <xf numFmtId="164" fontId="1" fillId="2" borderId="0" xfId="0" applyNumberFormat="1" applyFont="1" applyFill="1" applyAlignment="1">
      <alignment horizontal="center"/>
    </xf>
    <xf numFmtId="0" fontId="0" fillId="3" borderId="0" xfId="0" applyFill="1"/>
    <xf numFmtId="0" fontId="0" fillId="0" borderId="0" xfId="0" applyFill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2" fillId="0" borderId="0" xfId="0" applyNumberFormat="1" applyFont="1" applyAlignment="1">
      <alignment horizontal="center"/>
    </xf>
    <xf numFmtId="8" fontId="0" fillId="0" borderId="0" xfId="0" applyNumberFormat="1"/>
    <xf numFmtId="164" fontId="0" fillId="0" borderId="0" xfId="0" quotePrefix="1" applyNumberForma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0" xfId="0" quotePrefix="1" applyFill="1"/>
    <xf numFmtId="0" fontId="0" fillId="0" borderId="0" xfId="0" applyBorder="1"/>
    <xf numFmtId="6" fontId="0" fillId="0" borderId="0" xfId="0" applyNumberFormat="1"/>
    <xf numFmtId="0" fontId="0" fillId="0" borderId="0" xfId="0" applyAlignment="1">
      <alignment horizontal="center"/>
    </xf>
  </cellXfs>
  <cellStyles count="3">
    <cellStyle name="Comma 2" xfId="2" xr:uid="{06F2B244-9672-4A6E-A0F5-AB470E68F357}"/>
    <cellStyle name="Normal" xfId="0" builtinId="0"/>
    <cellStyle name="Normal 2" xfId="1" xr:uid="{99F4987D-C732-451E-ABD5-F46D16B9F7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B6D9-240A-49A6-9101-47A77ABBCB7A}">
  <sheetPr>
    <pageSetUpPr fitToPage="1"/>
  </sheetPr>
  <dimension ref="A1:F31"/>
  <sheetViews>
    <sheetView topLeftCell="A19" workbookViewId="0">
      <selection activeCell="C25" sqref="C25"/>
    </sheetView>
  </sheetViews>
  <sheetFormatPr defaultRowHeight="15" x14ac:dyDescent="0.25"/>
  <cols>
    <col min="1" max="1" width="63.85546875" bestFit="1" customWidth="1"/>
    <col min="3" max="3" width="14.28515625" bestFit="1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">
        <v>51</v>
      </c>
    </row>
    <row r="3" spans="1:4" x14ac:dyDescent="0.25">
      <c r="A3" s="1" t="s">
        <v>1</v>
      </c>
    </row>
    <row r="5" spans="1:4" x14ac:dyDescent="0.25">
      <c r="A5" s="23" t="s">
        <v>46</v>
      </c>
    </row>
    <row r="7" spans="1:4" x14ac:dyDescent="0.25">
      <c r="A7" s="1" t="s">
        <v>2</v>
      </c>
      <c r="C7" s="28"/>
      <c r="D7" s="28"/>
    </row>
    <row r="8" spans="1:4" ht="30.75" customHeight="1" x14ac:dyDescent="0.25">
      <c r="A8" s="1" t="s">
        <v>28</v>
      </c>
      <c r="C8" s="5" t="s">
        <v>47</v>
      </c>
      <c r="D8" s="3"/>
    </row>
    <row r="10" spans="1:4" x14ac:dyDescent="0.25">
      <c r="A10" t="s">
        <v>9</v>
      </c>
      <c r="C10" s="6">
        <f>ROUND(-0.069637/1.06625,6)</f>
        <v>-6.5310000000000007E-2</v>
      </c>
    </row>
    <row r="11" spans="1:4" x14ac:dyDescent="0.25">
      <c r="A11" t="s">
        <v>8</v>
      </c>
      <c r="C11" s="15">
        <f>ROUND(0.004884/1.06625,6)</f>
        <v>4.581E-3</v>
      </c>
    </row>
    <row r="12" spans="1:4" x14ac:dyDescent="0.25">
      <c r="A12" t="s">
        <v>23</v>
      </c>
      <c r="C12" s="6">
        <f>SUM(C10:C11)</f>
        <v>-6.0729000000000005E-2</v>
      </c>
    </row>
    <row r="13" spans="1:4" x14ac:dyDescent="0.25">
      <c r="C13" s="6"/>
    </row>
    <row r="14" spans="1:4" x14ac:dyDescent="0.25">
      <c r="A14" s="7" t="s">
        <v>4</v>
      </c>
      <c r="C14" s="6">
        <f>ROUND(-0.020425/1.06625,6)</f>
        <v>-1.9155999999999999E-2</v>
      </c>
    </row>
    <row r="15" spans="1:4" x14ac:dyDescent="0.25">
      <c r="A15" s="7" t="s">
        <v>5</v>
      </c>
      <c r="C15" s="24">
        <f>ROUND(-0.00143/1.06625,6)</f>
        <v>-1.341E-3</v>
      </c>
    </row>
    <row r="16" spans="1:4" x14ac:dyDescent="0.25">
      <c r="A16" s="7" t="s">
        <v>48</v>
      </c>
      <c r="C16" s="15">
        <f>ROUND(0/1.06625,6)</f>
        <v>0</v>
      </c>
    </row>
    <row r="17" spans="1:6" x14ac:dyDescent="0.25">
      <c r="A17" s="7" t="s">
        <v>24</v>
      </c>
      <c r="C17" s="6">
        <f>SUM(C14:C16)</f>
        <v>-2.0496999999999998E-2</v>
      </c>
    </row>
    <row r="18" spans="1:6" x14ac:dyDescent="0.25">
      <c r="A18" s="7"/>
      <c r="C18" s="6"/>
    </row>
    <row r="19" spans="1:6" x14ac:dyDescent="0.25">
      <c r="A19" t="s">
        <v>7</v>
      </c>
      <c r="C19" s="6">
        <f>ROUND(-0.074523/1.06625,6)</f>
        <v>-6.9892999999999997E-2</v>
      </c>
    </row>
    <row r="20" spans="1:6" x14ac:dyDescent="0.25">
      <c r="A20" s="7" t="s">
        <v>6</v>
      </c>
      <c r="C20" s="15">
        <f>ROUND(-0.000823/1.06625,6)</f>
        <v>-7.7200000000000001E-4</v>
      </c>
    </row>
    <row r="21" spans="1:6" x14ac:dyDescent="0.25">
      <c r="A21" t="s">
        <v>25</v>
      </c>
      <c r="C21" s="6">
        <f>SUM(C19:C20)</f>
        <v>-7.0664999999999992E-2</v>
      </c>
    </row>
    <row r="23" spans="1:6" x14ac:dyDescent="0.25">
      <c r="A23" s="25" t="s">
        <v>49</v>
      </c>
      <c r="C23" s="24">
        <f>ROUND(-0.000417/1.06625,6)</f>
        <v>-3.9100000000000002E-4</v>
      </c>
      <c r="D23" s="26"/>
    </row>
    <row r="25" spans="1:6" x14ac:dyDescent="0.25">
      <c r="A25" t="s">
        <v>26</v>
      </c>
      <c r="C25" s="18">
        <f>C12+C17+C21+C23</f>
        <v>-0.152282</v>
      </c>
      <c r="D25" s="22"/>
      <c r="F25" s="19"/>
    </row>
    <row r="28" spans="1:6" x14ac:dyDescent="0.25">
      <c r="A28" s="1" t="s">
        <v>29</v>
      </c>
    </row>
    <row r="29" spans="1:6" x14ac:dyDescent="0.25">
      <c r="A29" s="7" t="s">
        <v>52</v>
      </c>
    </row>
    <row r="30" spans="1:6" x14ac:dyDescent="0.25">
      <c r="A30" s="7" t="s">
        <v>30</v>
      </c>
    </row>
    <row r="31" spans="1:6" x14ac:dyDescent="0.25">
      <c r="A31" s="7" t="s">
        <v>45</v>
      </c>
    </row>
  </sheetData>
  <mergeCells count="1">
    <mergeCell ref="C7:D7"/>
  </mergeCells>
  <pageMargins left="0.7" right="0.7" top="0.75" bottom="0.75" header="0.3" footer="0.3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C47B-3EDC-486F-B4B7-5E3AA185E673}">
  <sheetPr>
    <pageSetUpPr fitToPage="1"/>
  </sheetPr>
  <dimension ref="A1:D28"/>
  <sheetViews>
    <sheetView workbookViewId="0">
      <selection activeCell="A19" sqref="A19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'SPL-CSL'!A5</f>
        <v xml:space="preserve">Calculation of the retail rate bill credit </v>
      </c>
    </row>
    <row r="7" spans="1:4" x14ac:dyDescent="0.25">
      <c r="A7" s="1" t="s">
        <v>14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8</v>
      </c>
      <c r="C10" s="15">
        <f>ROUND(0.003515/1.06625,6)</f>
        <v>3.297E-3</v>
      </c>
    </row>
    <row r="11" spans="1:4" x14ac:dyDescent="0.25">
      <c r="A11" t="s">
        <v>23</v>
      </c>
      <c r="C11" s="6">
        <f>SUM(C10)</f>
        <v>3.297E-3</v>
      </c>
    </row>
    <row r="13" spans="1:4" x14ac:dyDescent="0.25">
      <c r="A13" s="7" t="s">
        <v>4</v>
      </c>
      <c r="C13" s="6">
        <f>ROUND(-0.006934/1.06625,6)</f>
        <v>-6.5030000000000001E-3</v>
      </c>
    </row>
    <row r="14" spans="1:4" x14ac:dyDescent="0.25">
      <c r="A14" s="7" t="s">
        <v>5</v>
      </c>
      <c r="C14" s="24">
        <f>ROUND(-0.000545/1.06625,6)</f>
        <v>-5.1099999999999995E-4</v>
      </c>
      <c r="D14" s="26"/>
    </row>
    <row r="15" spans="1:4" x14ac:dyDescent="0.25">
      <c r="A15" s="7" t="str">
        <f>'SPL-CSL'!A15</f>
        <v>Reliability Must Run Transmission Surcharge</v>
      </c>
      <c r="C15" s="15">
        <f>ROUND(0/1.06625,6)</f>
        <v>0</v>
      </c>
    </row>
    <row r="16" spans="1:4" x14ac:dyDescent="0.25">
      <c r="A16" s="7" t="s">
        <v>24</v>
      </c>
      <c r="C16" s="6">
        <f>SUM(C13:C15)</f>
        <v>-7.0140000000000003E-3</v>
      </c>
    </row>
    <row r="17" spans="1:3" x14ac:dyDescent="0.25">
      <c r="A17" s="7"/>
      <c r="C17" s="6"/>
    </row>
    <row r="18" spans="1:3" x14ac:dyDescent="0.25">
      <c r="A18" t="s">
        <v>7</v>
      </c>
      <c r="C18" s="6">
        <f>ROUND(-0.063073/1.06625,6)</f>
        <v>-5.9153999999999998E-2</v>
      </c>
    </row>
    <row r="19" spans="1:3" x14ac:dyDescent="0.25">
      <c r="A19" s="7" t="s">
        <v>6</v>
      </c>
      <c r="C19" s="15">
        <f>ROUND(-0.000823/1.06625,6)</f>
        <v>-7.7200000000000001E-4</v>
      </c>
    </row>
    <row r="20" spans="1:3" x14ac:dyDescent="0.25">
      <c r="A20" t="s">
        <v>25</v>
      </c>
      <c r="C20" s="6">
        <f>SUM(C18:C19)</f>
        <v>-5.9926E-2</v>
      </c>
    </row>
    <row r="22" spans="1:3" x14ac:dyDescent="0.25">
      <c r="A22" s="25" t="s">
        <v>49</v>
      </c>
      <c r="C22" s="15">
        <f>ROUND(-0.000417/1.06625,6)</f>
        <v>-3.9100000000000002E-4</v>
      </c>
    </row>
    <row r="24" spans="1:3" x14ac:dyDescent="0.25">
      <c r="A24" t="s">
        <v>44</v>
      </c>
      <c r="C24" s="18">
        <f>C11+C16+C20+C22</f>
        <v>-6.4034000000000008E-2</v>
      </c>
    </row>
    <row r="26" spans="1:3" x14ac:dyDescent="0.25">
      <c r="A26" s="1" t="s">
        <v>29</v>
      </c>
    </row>
    <row r="27" spans="1:3" x14ac:dyDescent="0.25">
      <c r="A27" s="7" t="str">
        <f>'SPL-CSL'!A27</f>
        <v xml:space="preserve">-Rates here represent rates in effect for the month of September 2019.  Rates will be adjusted when above rates are changed and also for Summer and Winter months. </v>
      </c>
    </row>
    <row r="28" spans="1:3" x14ac:dyDescent="0.25">
      <c r="A28" s="7" t="str">
        <f>Residential!$A$31</f>
        <v xml:space="preserve">-These rates are for discussion purposes only and are subject to change.  </v>
      </c>
    </row>
  </sheetData>
  <mergeCells count="1">
    <mergeCell ref="C7:D7"/>
  </mergeCells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2777-7210-4442-8F3C-22639CA3F7B9}">
  <sheetPr>
    <pageSetUpPr fitToPage="1"/>
  </sheetPr>
  <dimension ref="A1:D33"/>
  <sheetViews>
    <sheetView workbookViewId="0">
      <selection activeCell="C25" sqref="C25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Residential!A5</f>
        <v xml:space="preserve">Calculation of the retail rate bill credit </v>
      </c>
    </row>
    <row r="7" spans="1:4" x14ac:dyDescent="0.25">
      <c r="A7" s="1" t="s">
        <v>20</v>
      </c>
      <c r="C7" s="28"/>
      <c r="D7" s="28"/>
    </row>
    <row r="8" spans="1:4" ht="30.75" customHeight="1" x14ac:dyDescent="0.25">
      <c r="A8" s="1" t="s">
        <v>3</v>
      </c>
      <c r="C8" s="5" t="str">
        <f>Residential!C8</f>
        <v>Pre - SUT Rate</v>
      </c>
      <c r="D8" s="8"/>
    </row>
    <row r="10" spans="1:4" x14ac:dyDescent="0.25">
      <c r="A10" t="s">
        <v>9</v>
      </c>
      <c r="C10" s="6">
        <f>Residential!C10</f>
        <v>-6.5310000000000007E-2</v>
      </c>
    </row>
    <row r="11" spans="1:4" x14ac:dyDescent="0.25">
      <c r="A11" t="s">
        <v>8</v>
      </c>
      <c r="C11" s="15">
        <f>ROUND(0.004884/1.06625,6)</f>
        <v>4.581E-3</v>
      </c>
    </row>
    <row r="12" spans="1:4" x14ac:dyDescent="0.25">
      <c r="A12" t="s">
        <v>23</v>
      </c>
      <c r="C12" s="6">
        <f>SUM(C10:C11)</f>
        <v>-6.0729000000000005E-2</v>
      </c>
    </row>
    <row r="13" spans="1:4" x14ac:dyDescent="0.25">
      <c r="C13" s="6"/>
    </row>
    <row r="14" spans="1:4" x14ac:dyDescent="0.25">
      <c r="A14" s="7" t="s">
        <v>4</v>
      </c>
      <c r="C14" s="6">
        <f>ROUND(-0.020425/1.06625,6)</f>
        <v>-1.9155999999999999E-2</v>
      </c>
    </row>
    <row r="15" spans="1:4" x14ac:dyDescent="0.25">
      <c r="A15" s="7" t="s">
        <v>5</v>
      </c>
      <c r="C15" s="24">
        <f>Residential!C15</f>
        <v>-1.341E-3</v>
      </c>
    </row>
    <row r="16" spans="1:4" x14ac:dyDescent="0.25">
      <c r="A16" s="7" t="s">
        <v>48</v>
      </c>
      <c r="C16" s="15">
        <f>Residential!C16</f>
        <v>0</v>
      </c>
    </row>
    <row r="17" spans="1:4" x14ac:dyDescent="0.25">
      <c r="A17" s="7" t="s">
        <v>24</v>
      </c>
      <c r="C17" s="6">
        <f>SUM(C14:C16)</f>
        <v>-2.0496999999999998E-2</v>
      </c>
    </row>
    <row r="18" spans="1:4" x14ac:dyDescent="0.25">
      <c r="A18" s="7"/>
      <c r="C18" s="6"/>
    </row>
    <row r="19" spans="1:4" x14ac:dyDescent="0.25">
      <c r="A19" t="s">
        <v>7</v>
      </c>
      <c r="C19" s="6">
        <f>ROUND((((-0.089599*(12/24))+(-0.04868*(12/24)))/1.06625),6)</f>
        <v>-6.4843999999999999E-2</v>
      </c>
    </row>
    <row r="20" spans="1:4" x14ac:dyDescent="0.25">
      <c r="A20" s="7" t="s">
        <v>6</v>
      </c>
      <c r="C20" s="15">
        <f>Residential!C20</f>
        <v>-7.7200000000000001E-4</v>
      </c>
    </row>
    <row r="21" spans="1:4" x14ac:dyDescent="0.25">
      <c r="A21" t="s">
        <v>25</v>
      </c>
      <c r="C21" s="6">
        <f>SUM(C19:C20)</f>
        <v>-6.5615999999999994E-2</v>
      </c>
    </row>
    <row r="23" spans="1:4" x14ac:dyDescent="0.25">
      <c r="A23" s="25" t="s">
        <v>49</v>
      </c>
      <c r="C23" s="24">
        <f>Residential!C23</f>
        <v>-3.9100000000000002E-4</v>
      </c>
      <c r="D23" s="26"/>
    </row>
    <row r="25" spans="1:4" x14ac:dyDescent="0.25">
      <c r="A25" t="s">
        <v>33</v>
      </c>
      <c r="C25" s="18">
        <f>C12+C17+C21+C23</f>
        <v>-0.147233</v>
      </c>
    </row>
    <row r="28" spans="1:4" x14ac:dyDescent="0.25">
      <c r="A28" s="1" t="s">
        <v>29</v>
      </c>
      <c r="C28" s="16"/>
    </row>
    <row r="29" spans="1:4" x14ac:dyDescent="0.25">
      <c r="A29" s="7" t="str">
        <f>Residential!A29</f>
        <v xml:space="preserve">-Rates here represent rates in effect for the month of September 2019.  Rates will be adjusted when above rates are changed and also for Summer and Winter months. </v>
      </c>
      <c r="C29" s="6"/>
    </row>
    <row r="30" spans="1:4" x14ac:dyDescent="0.25">
      <c r="A30" s="7" t="s">
        <v>30</v>
      </c>
    </row>
    <row r="31" spans="1:4" x14ac:dyDescent="0.25">
      <c r="A31" s="7" t="s">
        <v>31</v>
      </c>
    </row>
    <row r="32" spans="1:4" x14ac:dyDescent="0.25">
      <c r="A32" t="s">
        <v>32</v>
      </c>
    </row>
    <row r="33" spans="1:1" x14ac:dyDescent="0.25">
      <c r="A33" s="7" t="str">
        <f>Residential!$A$31</f>
        <v xml:space="preserve">-These rates are for discussion purposes only and are subject to change.  </v>
      </c>
    </row>
  </sheetData>
  <mergeCells count="1">
    <mergeCell ref="C7:D7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B00F-9955-4D40-9E1B-C4B11ED5D3E8}">
  <sheetPr>
    <pageSetUpPr fitToPage="1"/>
  </sheetPr>
  <dimension ref="A1:J54"/>
  <sheetViews>
    <sheetView topLeftCell="A31" workbookViewId="0">
      <selection activeCell="A37" sqref="A37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  <col min="8" max="8" width="9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'Res - TOU'!A5</f>
        <v xml:space="preserve">Calculation of the retail rate bill credit </v>
      </c>
    </row>
    <row r="7" spans="1:4" x14ac:dyDescent="0.25">
      <c r="A7" s="1" t="s">
        <v>10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9</v>
      </c>
      <c r="C10" s="6">
        <f>ROUND(-0.057395/1.06625,6)</f>
        <v>-5.3829000000000002E-2</v>
      </c>
    </row>
    <row r="11" spans="1:4" x14ac:dyDescent="0.25">
      <c r="A11" t="s">
        <v>8</v>
      </c>
      <c r="C11" s="15">
        <f>ROUND(0.004789/1.06625,6)</f>
        <v>4.4910000000000002E-3</v>
      </c>
    </row>
    <row r="12" spans="1:4" x14ac:dyDescent="0.25">
      <c r="A12" t="s">
        <v>23</v>
      </c>
      <c r="C12" s="6">
        <f>SUM(C10:C11)</f>
        <v>-4.9338E-2</v>
      </c>
    </row>
    <row r="13" spans="1:4" x14ac:dyDescent="0.25">
      <c r="C13" s="6"/>
    </row>
    <row r="14" spans="1:4" x14ac:dyDescent="0.25">
      <c r="A14" s="7" t="s">
        <v>5</v>
      </c>
      <c r="C14" s="24">
        <f>ROUND(-0.001164/1.06625,6)</f>
        <v>-1.0920000000000001E-3</v>
      </c>
      <c r="D14" s="26"/>
    </row>
    <row r="15" spans="1:4" x14ac:dyDescent="0.25">
      <c r="A15" s="7" t="s">
        <v>48</v>
      </c>
      <c r="C15" s="15">
        <f>ROUND(0/1.06625,6)</f>
        <v>0</v>
      </c>
    </row>
    <row r="16" spans="1:4" x14ac:dyDescent="0.25">
      <c r="A16" s="7" t="s">
        <v>24</v>
      </c>
      <c r="C16" s="6">
        <f>SUM(C14:C15)</f>
        <v>-1.0920000000000001E-3</v>
      </c>
    </row>
    <row r="17" spans="1:4" x14ac:dyDescent="0.25">
      <c r="A17" s="7"/>
      <c r="C17" s="6"/>
    </row>
    <row r="18" spans="1:4" x14ac:dyDescent="0.25">
      <c r="A18" t="s">
        <v>7</v>
      </c>
      <c r="C18" s="6">
        <f>ROUND(-0.071965/1.06625,6)</f>
        <v>-6.7493999999999998E-2</v>
      </c>
    </row>
    <row r="19" spans="1:4" x14ac:dyDescent="0.25">
      <c r="A19" s="7" t="s">
        <v>6</v>
      </c>
      <c r="C19" s="15">
        <f>ROUND(-0.000823/1.06625,6)</f>
        <v>-7.7200000000000001E-4</v>
      </c>
    </row>
    <row r="20" spans="1:4" x14ac:dyDescent="0.25">
      <c r="A20" t="s">
        <v>25</v>
      </c>
      <c r="C20" s="6">
        <f>SUM(C18:C19)</f>
        <v>-6.8265999999999993E-2</v>
      </c>
    </row>
    <row r="21" spans="1:4" x14ac:dyDescent="0.25">
      <c r="C21" s="16"/>
    </row>
    <row r="22" spans="1:4" x14ac:dyDescent="0.25">
      <c r="A22" s="25" t="s">
        <v>49</v>
      </c>
      <c r="C22" s="24">
        <f>ROUND(-0.000417/1.06625,6)</f>
        <v>-3.9100000000000002E-4</v>
      </c>
      <c r="D22" s="26"/>
    </row>
    <row r="23" spans="1:4" x14ac:dyDescent="0.25">
      <c r="A23" s="7"/>
      <c r="C23" s="6"/>
    </row>
    <row r="24" spans="1:4" x14ac:dyDescent="0.25">
      <c r="A24" t="s">
        <v>34</v>
      </c>
      <c r="C24" s="18">
        <f>C12+C16+C20+C22</f>
        <v>-0.119087</v>
      </c>
    </row>
    <row r="26" spans="1:4" x14ac:dyDescent="0.25">
      <c r="A26" s="13"/>
      <c r="B26" s="13"/>
      <c r="C26" s="13"/>
      <c r="D26" s="13"/>
    </row>
    <row r="27" spans="1:4" s="14" customFormat="1" x14ac:dyDescent="0.25"/>
    <row r="28" spans="1:4" x14ac:dyDescent="0.25">
      <c r="A28" s="1" t="s">
        <v>21</v>
      </c>
    </row>
    <row r="29" spans="1:4" x14ac:dyDescent="0.25">
      <c r="A29" s="1" t="s">
        <v>10</v>
      </c>
      <c r="C29" s="28"/>
      <c r="D29" s="28"/>
    </row>
    <row r="30" spans="1:4" x14ac:dyDescent="0.25">
      <c r="A30" s="1" t="s">
        <v>3</v>
      </c>
      <c r="C30" s="4" t="str">
        <f>C8</f>
        <v>Pre - SUT Rate</v>
      </c>
      <c r="D30" s="8"/>
    </row>
    <row r="32" spans="1:4" x14ac:dyDescent="0.25">
      <c r="A32" t="s">
        <v>9</v>
      </c>
      <c r="C32" s="6">
        <f>C10</f>
        <v>-5.3829000000000002E-2</v>
      </c>
    </row>
    <row r="33" spans="1:8" x14ac:dyDescent="0.25">
      <c r="A33" t="s">
        <v>8</v>
      </c>
      <c r="C33" s="15">
        <f>C11</f>
        <v>4.4910000000000002E-3</v>
      </c>
    </row>
    <row r="34" spans="1:8" x14ac:dyDescent="0.25">
      <c r="A34" t="s">
        <v>23</v>
      </c>
      <c r="C34" s="6">
        <f>SUM(C32:C33)</f>
        <v>-4.9338E-2</v>
      </c>
    </row>
    <row r="35" spans="1:8" x14ac:dyDescent="0.25">
      <c r="C35" s="6"/>
    </row>
    <row r="36" spans="1:8" x14ac:dyDescent="0.25">
      <c r="A36" s="7" t="s">
        <v>5</v>
      </c>
      <c r="C36" s="24">
        <f>C14</f>
        <v>-1.0920000000000001E-3</v>
      </c>
      <c r="D36" s="26"/>
    </row>
    <row r="37" spans="1:8" x14ac:dyDescent="0.25">
      <c r="A37" s="7" t="s">
        <v>48</v>
      </c>
      <c r="C37" s="15">
        <f>C15</f>
        <v>0</v>
      </c>
    </row>
    <row r="38" spans="1:8" x14ac:dyDescent="0.25">
      <c r="A38" s="7" t="s">
        <v>24</v>
      </c>
      <c r="C38" s="6">
        <f>SUM(C36:C37)</f>
        <v>-1.0920000000000001E-3</v>
      </c>
    </row>
    <row r="39" spans="1:8" x14ac:dyDescent="0.25">
      <c r="A39" s="7"/>
      <c r="C39" s="6"/>
    </row>
    <row r="40" spans="1:8" x14ac:dyDescent="0.25">
      <c r="A40" s="11" t="s">
        <v>22</v>
      </c>
      <c r="C40" s="9">
        <f>ROUND(-0.0369918552773973/1.06625,6)</f>
        <v>-3.4693000000000002E-2</v>
      </c>
      <c r="D40" s="14"/>
      <c r="E40" t="s">
        <v>35</v>
      </c>
      <c r="H40" s="27"/>
    </row>
    <row r="41" spans="1:8" x14ac:dyDescent="0.25">
      <c r="A41" s="7" t="s">
        <v>6</v>
      </c>
      <c r="C41" s="6">
        <f>ROUND(0.009572/1.06625,6)</f>
        <v>8.9770000000000006E-3</v>
      </c>
    </row>
    <row r="42" spans="1:8" x14ac:dyDescent="0.25">
      <c r="A42" s="7" t="s">
        <v>17</v>
      </c>
      <c r="C42" s="6">
        <f>ROUND(-0.006753/1.06625,6)</f>
        <v>-6.3330000000000001E-3</v>
      </c>
    </row>
    <row r="43" spans="1:8" x14ac:dyDescent="0.25">
      <c r="A43" s="7" t="s">
        <v>27</v>
      </c>
      <c r="C43" s="15">
        <f>ROUND(-0.00016/1.06625,6)</f>
        <v>-1.4999999999999999E-4</v>
      </c>
    </row>
    <row r="44" spans="1:8" x14ac:dyDescent="0.25">
      <c r="A44" t="s">
        <v>25</v>
      </c>
      <c r="C44" s="6">
        <f>SUM(C40:C43)</f>
        <v>-3.2198999999999998E-2</v>
      </c>
    </row>
    <row r="46" spans="1:8" x14ac:dyDescent="0.25">
      <c r="A46" s="25" t="s">
        <v>49</v>
      </c>
      <c r="C46" s="24">
        <f>ROUND(-0.000417/1.06625,6)</f>
        <v>-3.9100000000000002E-4</v>
      </c>
      <c r="D46" s="26"/>
    </row>
    <row r="48" spans="1:8" x14ac:dyDescent="0.25">
      <c r="A48" t="s">
        <v>34</v>
      </c>
      <c r="C48" s="18">
        <f>C34+C38+C44+C46</f>
        <v>-8.302000000000001E-2</v>
      </c>
    </row>
    <row r="50" spans="1:10" x14ac:dyDescent="0.25">
      <c r="A50" s="1" t="s">
        <v>29</v>
      </c>
    </row>
    <row r="51" spans="1:10" x14ac:dyDescent="0.25">
      <c r="A51" s="7" t="str">
        <f>'Res - TOU'!A29</f>
        <v xml:space="preserve">-Rates here represent rates in effect for the month of September 2019.  Rates will be adjusted when above rates are changed and also for Summer and Winter months. </v>
      </c>
    </row>
    <row r="52" spans="1:10" x14ac:dyDescent="0.25">
      <c r="A52" s="10" t="s">
        <v>36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5">
      <c r="A53" s="11" t="s">
        <v>50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5">
      <c r="A54" s="7" t="str">
        <f>Residential!$A$31</f>
        <v xml:space="preserve">-These rates are for discussion purposes only and are subject to change.  </v>
      </c>
    </row>
  </sheetData>
  <mergeCells count="2">
    <mergeCell ref="C7:D7"/>
    <mergeCell ref="C29:D29"/>
  </mergeCell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8DB9-BBFB-4839-87A3-6CFEAE8E4492}">
  <sheetPr>
    <pageSetUpPr fitToPage="1"/>
  </sheetPr>
  <dimension ref="A1:J54"/>
  <sheetViews>
    <sheetView workbookViewId="0">
      <selection activeCell="C10" sqref="C10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'MGS-Sec'!A5</f>
        <v xml:space="preserve">Calculation of the retail rate bill credit </v>
      </c>
    </row>
    <row r="7" spans="1:4" x14ac:dyDescent="0.25">
      <c r="A7" s="1" t="s">
        <v>11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9</v>
      </c>
      <c r="C10" s="6">
        <f>ROUND(-0.044214/1.06625,6)</f>
        <v>-4.1466999999999997E-2</v>
      </c>
    </row>
    <row r="11" spans="1:4" x14ac:dyDescent="0.25">
      <c r="A11" t="s">
        <v>8</v>
      </c>
      <c r="C11" s="15">
        <f>ROUND(0.004098/1.06625,6)</f>
        <v>3.8430000000000001E-3</v>
      </c>
    </row>
    <row r="12" spans="1:4" x14ac:dyDescent="0.25">
      <c r="A12" t="s">
        <v>23</v>
      </c>
      <c r="C12" s="6">
        <f>SUM(C10:C11)</f>
        <v>-3.7623999999999998E-2</v>
      </c>
    </row>
    <row r="13" spans="1:4" x14ac:dyDescent="0.25">
      <c r="C13" s="6"/>
    </row>
    <row r="14" spans="1:4" x14ac:dyDescent="0.25">
      <c r="A14" s="7" t="s">
        <v>5</v>
      </c>
      <c r="C14" s="24">
        <f>ROUND(-0.001035/1.06625,6)</f>
        <v>-9.7099999999999997E-4</v>
      </c>
      <c r="D14" s="26"/>
    </row>
    <row r="15" spans="1:4" x14ac:dyDescent="0.25">
      <c r="A15" s="7" t="s">
        <v>48</v>
      </c>
      <c r="C15" s="15">
        <f>ROUND(0/1.06625,6)</f>
        <v>0</v>
      </c>
      <c r="D15" s="26"/>
    </row>
    <row r="16" spans="1:4" x14ac:dyDescent="0.25">
      <c r="A16" s="7" t="s">
        <v>24</v>
      </c>
      <c r="C16" s="6">
        <f>SUM(C14:C15)</f>
        <v>-9.7099999999999997E-4</v>
      </c>
    </row>
    <row r="17" spans="1:4" x14ac:dyDescent="0.25">
      <c r="A17" s="7"/>
      <c r="C17" s="6"/>
    </row>
    <row r="18" spans="1:4" x14ac:dyDescent="0.25">
      <c r="A18" t="s">
        <v>7</v>
      </c>
      <c r="C18" s="6">
        <f>ROUND(-0.084851/1.06625,6)</f>
        <v>-7.9578999999999997E-2</v>
      </c>
    </row>
    <row r="19" spans="1:4" x14ac:dyDescent="0.25">
      <c r="A19" s="7" t="s">
        <v>6</v>
      </c>
      <c r="C19" s="15">
        <f>ROUND(-0.000801/1.06625,6)</f>
        <v>-7.5100000000000004E-4</v>
      </c>
    </row>
    <row r="20" spans="1:4" x14ac:dyDescent="0.25">
      <c r="A20" t="s">
        <v>25</v>
      </c>
      <c r="C20" s="6">
        <f>SUM(C18:C19)</f>
        <v>-8.0329999999999999E-2</v>
      </c>
    </row>
    <row r="21" spans="1:4" x14ac:dyDescent="0.25">
      <c r="C21" s="16"/>
    </row>
    <row r="22" spans="1:4" x14ac:dyDescent="0.25">
      <c r="A22" s="25" t="s">
        <v>49</v>
      </c>
      <c r="C22" s="24">
        <f>ROUND(-0.000417/1.06625,6)</f>
        <v>-3.9100000000000002E-4</v>
      </c>
      <c r="D22" s="26"/>
    </row>
    <row r="23" spans="1:4" x14ac:dyDescent="0.25">
      <c r="C23" s="16"/>
    </row>
    <row r="24" spans="1:4" x14ac:dyDescent="0.25">
      <c r="A24" t="s">
        <v>37</v>
      </c>
      <c r="C24" s="18">
        <f>C12+C16+C20+C22</f>
        <v>-0.11931600000000001</v>
      </c>
    </row>
    <row r="26" spans="1:4" x14ac:dyDescent="0.25">
      <c r="A26" s="13"/>
      <c r="B26" s="13"/>
      <c r="C26" s="13"/>
      <c r="D26" s="13"/>
    </row>
    <row r="28" spans="1:4" x14ac:dyDescent="0.25">
      <c r="A28" s="1" t="s">
        <v>21</v>
      </c>
    </row>
    <row r="29" spans="1:4" x14ac:dyDescent="0.25">
      <c r="A29" s="1" t="s">
        <v>11</v>
      </c>
      <c r="C29" s="28"/>
      <c r="D29" s="28"/>
    </row>
    <row r="30" spans="1:4" x14ac:dyDescent="0.25">
      <c r="A30" s="1" t="s">
        <v>3</v>
      </c>
      <c r="C30" s="4" t="str">
        <f>C8</f>
        <v>Pre - SUT Rate</v>
      </c>
      <c r="D30" s="8"/>
    </row>
    <row r="32" spans="1:4" x14ac:dyDescent="0.25">
      <c r="A32" t="s">
        <v>9</v>
      </c>
      <c r="C32" s="6">
        <f>C10</f>
        <v>-4.1466999999999997E-2</v>
      </c>
    </row>
    <row r="33" spans="1:5" x14ac:dyDescent="0.25">
      <c r="A33" t="s">
        <v>8</v>
      </c>
      <c r="C33" s="15">
        <f>C11</f>
        <v>3.8430000000000001E-3</v>
      </c>
    </row>
    <row r="34" spans="1:5" x14ac:dyDescent="0.25">
      <c r="A34" t="s">
        <v>23</v>
      </c>
      <c r="C34" s="6">
        <f>SUM(C32:C33)</f>
        <v>-3.7623999999999998E-2</v>
      </c>
    </row>
    <row r="35" spans="1:5" x14ac:dyDescent="0.25">
      <c r="C35" s="6"/>
    </row>
    <row r="36" spans="1:5" x14ac:dyDescent="0.25">
      <c r="A36" s="7" t="s">
        <v>5</v>
      </c>
      <c r="C36" s="24">
        <f>C14</f>
        <v>-9.7099999999999997E-4</v>
      </c>
      <c r="D36" s="26"/>
    </row>
    <row r="37" spans="1:5" x14ac:dyDescent="0.25">
      <c r="A37" s="7" t="s">
        <v>48</v>
      </c>
      <c r="C37" s="15">
        <f>C15</f>
        <v>0</v>
      </c>
    </row>
    <row r="38" spans="1:5" x14ac:dyDescent="0.25">
      <c r="A38" s="7" t="s">
        <v>24</v>
      </c>
      <c r="C38" s="6">
        <f>SUM(C36:C37)</f>
        <v>-9.7099999999999997E-4</v>
      </c>
    </row>
    <row r="39" spans="1:5" x14ac:dyDescent="0.25">
      <c r="A39" s="7"/>
      <c r="C39" s="6"/>
    </row>
    <row r="40" spans="1:5" x14ac:dyDescent="0.25">
      <c r="A40" s="11" t="s">
        <v>22</v>
      </c>
      <c r="C40" s="12">
        <f>ROUND(-0.0369918552773973/1.06625,6)</f>
        <v>-3.4693000000000002E-2</v>
      </c>
      <c r="D40" s="14"/>
      <c r="E40" t="s">
        <v>35</v>
      </c>
    </row>
    <row r="41" spans="1:5" x14ac:dyDescent="0.25">
      <c r="A41" s="7" t="s">
        <v>6</v>
      </c>
      <c r="C41" s="6">
        <f>ROUND(0.009321/1.06625,6)</f>
        <v>8.7419999999999998E-3</v>
      </c>
    </row>
    <row r="42" spans="1:5" x14ac:dyDescent="0.25">
      <c r="A42" s="7" t="s">
        <v>17</v>
      </c>
      <c r="C42" s="6">
        <f>ROUND(-0.006577/1.06625,6)</f>
        <v>-6.1679999999999999E-3</v>
      </c>
    </row>
    <row r="43" spans="1:5" x14ac:dyDescent="0.25">
      <c r="A43" s="7" t="s">
        <v>27</v>
      </c>
      <c r="C43" s="15">
        <f>ROUND(-0.00016/1.06625,6)</f>
        <v>-1.4999999999999999E-4</v>
      </c>
    </row>
    <row r="44" spans="1:5" x14ac:dyDescent="0.25">
      <c r="A44" t="s">
        <v>25</v>
      </c>
      <c r="C44" s="6">
        <f>SUM(C40:C43)</f>
        <v>-3.2268999999999999E-2</v>
      </c>
    </row>
    <row r="45" spans="1:5" x14ac:dyDescent="0.25">
      <c r="C45" s="16"/>
    </row>
    <row r="46" spans="1:5" x14ac:dyDescent="0.25">
      <c r="A46" s="25" t="s">
        <v>49</v>
      </c>
      <c r="C46" s="24">
        <f>ROUND(-0.000417/1.06625,6)</f>
        <v>-3.9100000000000002E-4</v>
      </c>
      <c r="D46" s="26"/>
    </row>
    <row r="48" spans="1:5" x14ac:dyDescent="0.25">
      <c r="A48" t="s">
        <v>37</v>
      </c>
      <c r="C48" s="18">
        <f>C34+C38+C44+C46</f>
        <v>-7.1254999999999999E-2</v>
      </c>
    </row>
    <row r="50" spans="1:10" x14ac:dyDescent="0.25">
      <c r="A50" s="1" t="s">
        <v>29</v>
      </c>
    </row>
    <row r="51" spans="1:10" x14ac:dyDescent="0.25">
      <c r="A51" s="7" t="str">
        <f>'MGS-Sec'!A51</f>
        <v xml:space="preserve">-Rates here represent rates in effect for the month of September 2019.  Rates will be adjusted when above rates are changed and also for Summer and Winter months. </v>
      </c>
    </row>
    <row r="52" spans="1:10" x14ac:dyDescent="0.25">
      <c r="A52" s="10" t="str">
        <f>'MGS-Sec'!A52</f>
        <v xml:space="preserve">-The Basic Generation Service Charge rate for CIEP customers is billed at PJM hourly rates.  It needs to be discussed on how the credit should be calculated for 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5">
      <c r="A53" s="11" t="str">
        <f>'MGS-Sec'!A53</f>
        <v xml:space="preserve"> CIEP customers.  For illustrative purposes, we have provided the calculation using the average LMP rate for calendar year 2018.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5">
      <c r="A54" s="7" t="str">
        <f>Residential!$A$31</f>
        <v xml:space="preserve">-These rates are for discussion purposes only and are subject to change.  </v>
      </c>
    </row>
  </sheetData>
  <mergeCells count="2">
    <mergeCell ref="C7:D7"/>
    <mergeCell ref="C29:D29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299B-8D0A-458C-AE94-FD1C1FC8686A}">
  <sheetPr>
    <pageSetUpPr fitToPage="1"/>
  </sheetPr>
  <dimension ref="A1:J52"/>
  <sheetViews>
    <sheetView workbookViewId="0">
      <selection activeCell="A29" sqref="A29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'MGS-Pri'!A5</f>
        <v xml:space="preserve">Calculation of the retail rate bill credit </v>
      </c>
    </row>
    <row r="7" spans="1:4" x14ac:dyDescent="0.25">
      <c r="A7" s="1" t="s">
        <v>12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8</v>
      </c>
      <c r="C10" s="15">
        <f>ROUND(0.002785/1.06625,6)</f>
        <v>2.6120000000000002E-3</v>
      </c>
    </row>
    <row r="11" spans="1:4" x14ac:dyDescent="0.25">
      <c r="A11" t="s">
        <v>23</v>
      </c>
      <c r="C11" s="6">
        <f>SUM(C10)</f>
        <v>2.6120000000000002E-3</v>
      </c>
    </row>
    <row r="13" spans="1:4" x14ac:dyDescent="0.25">
      <c r="A13" s="7" t="s">
        <v>5</v>
      </c>
      <c r="C13" s="24">
        <f>ROUND(-0.000827/1.06625,6)</f>
        <v>-7.76E-4</v>
      </c>
      <c r="D13" s="26"/>
    </row>
    <row r="14" spans="1:4" x14ac:dyDescent="0.25">
      <c r="A14" s="7" t="str">
        <f>Residential!A16</f>
        <v>Reliability Must Run Transmission Surcharge</v>
      </c>
      <c r="C14" s="15">
        <f>ROUND(0/1.06625,6)</f>
        <v>0</v>
      </c>
    </row>
    <row r="15" spans="1:4" x14ac:dyDescent="0.25">
      <c r="A15" s="7" t="s">
        <v>24</v>
      </c>
      <c r="C15" s="6">
        <f>SUM(C13:C14)</f>
        <v>-7.76E-4</v>
      </c>
    </row>
    <row r="16" spans="1:4" x14ac:dyDescent="0.25">
      <c r="A16" s="7"/>
      <c r="C16" s="6"/>
    </row>
    <row r="17" spans="1:4" x14ac:dyDescent="0.25">
      <c r="A17" t="s">
        <v>7</v>
      </c>
      <c r="C17" s="6">
        <f>ROUND(-0.06865/1.06625,6)</f>
        <v>-6.4384999999999998E-2</v>
      </c>
    </row>
    <row r="18" spans="1:4" x14ac:dyDescent="0.25">
      <c r="A18" s="7" t="s">
        <v>6</v>
      </c>
      <c r="C18" s="15">
        <f>ROUND(-0.000823/1.06625,6)</f>
        <v>-7.7200000000000001E-4</v>
      </c>
    </row>
    <row r="19" spans="1:4" x14ac:dyDescent="0.25">
      <c r="A19" t="s">
        <v>25</v>
      </c>
      <c r="C19" s="6">
        <f>SUM(C17:C18)</f>
        <v>-6.5156999999999993E-2</v>
      </c>
    </row>
    <row r="20" spans="1:4" x14ac:dyDescent="0.25">
      <c r="C20" s="16"/>
    </row>
    <row r="21" spans="1:4" x14ac:dyDescent="0.25">
      <c r="A21" s="25" t="s">
        <v>49</v>
      </c>
      <c r="C21" s="24">
        <f>ROUND(-0.000417/1.06625,6)</f>
        <v>-3.9100000000000002E-4</v>
      </c>
      <c r="D21" s="26"/>
    </row>
    <row r="22" spans="1:4" x14ac:dyDescent="0.25">
      <c r="C22" s="16"/>
    </row>
    <row r="23" spans="1:4" x14ac:dyDescent="0.25">
      <c r="A23" t="s">
        <v>38</v>
      </c>
      <c r="C23" s="18">
        <f>C11+C15+C19+C21</f>
        <v>-6.3711999999999991E-2</v>
      </c>
    </row>
    <row r="25" spans="1:4" x14ac:dyDescent="0.25">
      <c r="A25" s="13"/>
      <c r="B25" s="13"/>
      <c r="C25" s="13"/>
      <c r="D25" s="13"/>
    </row>
    <row r="27" spans="1:4" x14ac:dyDescent="0.25">
      <c r="A27" s="1" t="s">
        <v>21</v>
      </c>
    </row>
    <row r="28" spans="1:4" x14ac:dyDescent="0.25">
      <c r="A28" s="1" t="s">
        <v>12</v>
      </c>
      <c r="C28" s="28"/>
      <c r="D28" s="28"/>
    </row>
    <row r="29" spans="1:4" x14ac:dyDescent="0.25">
      <c r="A29" s="1" t="s">
        <v>3</v>
      </c>
      <c r="C29" s="4" t="str">
        <f>C8</f>
        <v>Pre - SUT Rate</v>
      </c>
      <c r="D29" s="8"/>
    </row>
    <row r="31" spans="1:4" x14ac:dyDescent="0.25">
      <c r="A31" t="s">
        <v>8</v>
      </c>
      <c r="C31" s="15">
        <f>C10</f>
        <v>2.6120000000000002E-3</v>
      </c>
    </row>
    <row r="32" spans="1:4" x14ac:dyDescent="0.25">
      <c r="A32" t="s">
        <v>23</v>
      </c>
      <c r="C32" s="6">
        <f>SUM(C31)</f>
        <v>2.6120000000000002E-3</v>
      </c>
    </row>
    <row r="34" spans="1:5" x14ac:dyDescent="0.25">
      <c r="A34" s="7" t="s">
        <v>5</v>
      </c>
      <c r="C34" s="24">
        <f>C13</f>
        <v>-7.76E-4</v>
      </c>
      <c r="D34" s="26"/>
    </row>
    <row r="35" spans="1:5" x14ac:dyDescent="0.25">
      <c r="A35" s="7" t="str">
        <f>A14</f>
        <v>Reliability Must Run Transmission Surcharge</v>
      </c>
      <c r="C35" s="15">
        <f>C14</f>
        <v>0</v>
      </c>
    </row>
    <row r="36" spans="1:5" x14ac:dyDescent="0.25">
      <c r="A36" s="7" t="s">
        <v>24</v>
      </c>
      <c r="C36" s="6">
        <f>SUM(C34:C35)</f>
        <v>-7.76E-4</v>
      </c>
    </row>
    <row r="37" spans="1:5" x14ac:dyDescent="0.25">
      <c r="A37" s="7"/>
      <c r="C37" s="6"/>
    </row>
    <row r="38" spans="1:5" x14ac:dyDescent="0.25">
      <c r="A38" s="11" t="s">
        <v>22</v>
      </c>
      <c r="C38" s="12">
        <f>ROUND(-0.0369918552773973/1.06625,6)</f>
        <v>-3.4693000000000002E-2</v>
      </c>
      <c r="D38" s="14"/>
      <c r="E38" t="s">
        <v>35</v>
      </c>
    </row>
    <row r="39" spans="1:5" x14ac:dyDescent="0.25">
      <c r="A39" s="7" t="s">
        <v>6</v>
      </c>
      <c r="C39" s="6">
        <f>ROUND(0.009572/1.06625,6)</f>
        <v>8.9770000000000006E-3</v>
      </c>
    </row>
    <row r="40" spans="1:5" x14ac:dyDescent="0.25">
      <c r="A40" s="7" t="s">
        <v>17</v>
      </c>
      <c r="C40" s="6">
        <f>ROUND(-0.006753/1.06625,6)</f>
        <v>-6.3330000000000001E-3</v>
      </c>
    </row>
    <row r="41" spans="1:5" x14ac:dyDescent="0.25">
      <c r="A41" s="7" t="s">
        <v>27</v>
      </c>
      <c r="C41" s="15">
        <f>ROUND(-0.00016/1.06625,6)</f>
        <v>-1.4999999999999999E-4</v>
      </c>
    </row>
    <row r="42" spans="1:5" x14ac:dyDescent="0.25">
      <c r="A42" t="s">
        <v>25</v>
      </c>
      <c r="C42" s="6">
        <f>SUM(C38:C41)</f>
        <v>-3.2198999999999998E-2</v>
      </c>
    </row>
    <row r="44" spans="1:5" x14ac:dyDescent="0.25">
      <c r="A44" s="25" t="s">
        <v>49</v>
      </c>
      <c r="C44" s="24">
        <f>C21</f>
        <v>-3.9100000000000002E-4</v>
      </c>
      <c r="D44" s="26"/>
    </row>
    <row r="46" spans="1:5" x14ac:dyDescent="0.25">
      <c r="A46" t="s">
        <v>38</v>
      </c>
      <c r="C46" s="18">
        <f>C32+C36+C42+C44</f>
        <v>-3.0753999999999997E-2</v>
      </c>
    </row>
    <row r="48" spans="1:5" x14ac:dyDescent="0.25">
      <c r="A48" s="1" t="s">
        <v>29</v>
      </c>
    </row>
    <row r="49" spans="1:10" x14ac:dyDescent="0.25">
      <c r="A49" s="7" t="str">
        <f>'MGS-Pri'!A51</f>
        <v xml:space="preserve">-Rates here represent rates in effect for the month of September 2019.  Rates will be adjusted when above rates are changed and also for Summer and Winter months. </v>
      </c>
    </row>
    <row r="50" spans="1:10" x14ac:dyDescent="0.25">
      <c r="A50" s="10" t="str">
        <f>'MGS-Pri'!A52</f>
        <v xml:space="preserve">-The Basic Generation Service Charge rate for CIEP customers is billed at PJM hourly rates.  It needs to be discussed on how the credit should be calculated for 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5">
      <c r="A51" s="11" t="str">
        <f>'MGS-Pri'!A53</f>
        <v xml:space="preserve"> CIEP customers.  For illustrative purposes, we have provided the calculation using the average LMP rate for calendar year 2018.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5">
      <c r="A52" s="7" t="str">
        <f>Residential!$A$31</f>
        <v xml:space="preserve">-These rates are for discussion purposes only and are subject to change.  </v>
      </c>
    </row>
  </sheetData>
  <mergeCells count="2">
    <mergeCell ref="C7:D7"/>
    <mergeCell ref="C28:D28"/>
  </mergeCells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84BA-4B4E-4169-A9E4-563F3ED3D663}">
  <sheetPr>
    <pageSetUpPr fitToPage="1"/>
  </sheetPr>
  <dimension ref="A1:J52"/>
  <sheetViews>
    <sheetView workbookViewId="0">
      <selection activeCell="C38" sqref="C38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'AGS-Sec'!A5</f>
        <v xml:space="preserve">Calculation of the retail rate bill credit </v>
      </c>
    </row>
    <row r="7" spans="1:4" x14ac:dyDescent="0.25">
      <c r="A7" s="1" t="s">
        <v>13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8</v>
      </c>
      <c r="C10" s="15">
        <f>ROUND(0.001621/1.06625,6)</f>
        <v>1.5200000000000001E-3</v>
      </c>
    </row>
    <row r="11" spans="1:4" x14ac:dyDescent="0.25">
      <c r="A11" t="s">
        <v>23</v>
      </c>
      <c r="C11" s="6">
        <f>SUM(C10)</f>
        <v>1.5200000000000001E-3</v>
      </c>
    </row>
    <row r="13" spans="1:4" x14ac:dyDescent="0.25">
      <c r="A13" s="7" t="s">
        <v>5</v>
      </c>
      <c r="C13" s="24">
        <f>ROUND(-0.000676/1.06625,6)</f>
        <v>-6.3400000000000001E-4</v>
      </c>
      <c r="D13" s="26"/>
    </row>
    <row r="14" spans="1:4" x14ac:dyDescent="0.25">
      <c r="A14" s="7" t="str">
        <f>'AGS-Sec'!A14</f>
        <v>Reliability Must Run Transmission Surcharge</v>
      </c>
      <c r="C14" s="15">
        <f>ROUND(0/1.06625,6)</f>
        <v>0</v>
      </c>
    </row>
    <row r="15" spans="1:4" x14ac:dyDescent="0.25">
      <c r="A15" s="7" t="s">
        <v>24</v>
      </c>
      <c r="C15" s="6">
        <f>SUM(C13:C14)</f>
        <v>-6.3400000000000001E-4</v>
      </c>
    </row>
    <row r="16" spans="1:4" x14ac:dyDescent="0.25">
      <c r="A16" s="7"/>
      <c r="C16" s="6"/>
    </row>
    <row r="17" spans="1:4" x14ac:dyDescent="0.25">
      <c r="A17" t="s">
        <v>7</v>
      </c>
      <c r="C17" s="6">
        <f>ROUND(-0.06443/1.06625,6)</f>
        <v>-6.0427000000000002E-2</v>
      </c>
    </row>
    <row r="18" spans="1:4" x14ac:dyDescent="0.25">
      <c r="A18" s="7" t="s">
        <v>6</v>
      </c>
      <c r="C18" s="15">
        <f>ROUND(-0.000801/1.06625,6)</f>
        <v>-7.5100000000000004E-4</v>
      </c>
    </row>
    <row r="19" spans="1:4" x14ac:dyDescent="0.25">
      <c r="A19" t="s">
        <v>25</v>
      </c>
      <c r="C19" s="6">
        <f>SUM(C17:C18)</f>
        <v>-6.1178000000000003E-2</v>
      </c>
    </row>
    <row r="20" spans="1:4" x14ac:dyDescent="0.25">
      <c r="A20" s="7"/>
      <c r="C20" s="6"/>
    </row>
    <row r="21" spans="1:4" x14ac:dyDescent="0.25">
      <c r="A21" s="25" t="s">
        <v>49</v>
      </c>
      <c r="C21" s="24">
        <f>ROUND(-0.000417/1.06625,6)</f>
        <v>-3.9100000000000002E-4</v>
      </c>
      <c r="D21" s="26"/>
    </row>
    <row r="22" spans="1:4" x14ac:dyDescent="0.25">
      <c r="A22" s="7"/>
      <c r="C22" s="6"/>
    </row>
    <row r="23" spans="1:4" x14ac:dyDescent="0.25">
      <c r="A23" t="s">
        <v>39</v>
      </c>
      <c r="C23" s="18">
        <f>C11+C15+C19+C21</f>
        <v>-6.0683000000000008E-2</v>
      </c>
    </row>
    <row r="25" spans="1:4" x14ac:dyDescent="0.25">
      <c r="A25" s="13"/>
      <c r="B25" s="13"/>
      <c r="C25" s="13"/>
      <c r="D25" s="13"/>
    </row>
    <row r="27" spans="1:4" x14ac:dyDescent="0.25">
      <c r="A27" s="1" t="s">
        <v>21</v>
      </c>
    </row>
    <row r="28" spans="1:4" x14ac:dyDescent="0.25">
      <c r="A28" s="1" t="s">
        <v>13</v>
      </c>
      <c r="C28" s="28"/>
      <c r="D28" s="28"/>
    </row>
    <row r="29" spans="1:4" x14ac:dyDescent="0.25">
      <c r="A29" s="1" t="s">
        <v>3</v>
      </c>
      <c r="C29" s="4" t="str">
        <f>C8</f>
        <v>Pre - SUT Rate</v>
      </c>
      <c r="D29" s="8"/>
    </row>
    <row r="31" spans="1:4" x14ac:dyDescent="0.25">
      <c r="A31" t="s">
        <v>8</v>
      </c>
      <c r="C31" s="15">
        <f>C10</f>
        <v>1.5200000000000001E-3</v>
      </c>
    </row>
    <row r="32" spans="1:4" x14ac:dyDescent="0.25">
      <c r="A32" t="s">
        <v>23</v>
      </c>
      <c r="C32" s="6">
        <f>SUM(C31)</f>
        <v>1.5200000000000001E-3</v>
      </c>
    </row>
    <row r="34" spans="1:5" x14ac:dyDescent="0.25">
      <c r="A34" s="7" t="s">
        <v>5</v>
      </c>
      <c r="C34" s="24">
        <f>C13</f>
        <v>-6.3400000000000001E-4</v>
      </c>
      <c r="D34" s="26"/>
    </row>
    <row r="35" spans="1:5" x14ac:dyDescent="0.25">
      <c r="A35" s="7" t="str">
        <f>A14</f>
        <v>Reliability Must Run Transmission Surcharge</v>
      </c>
      <c r="C35" s="15">
        <f>C14</f>
        <v>0</v>
      </c>
    </row>
    <row r="36" spans="1:5" x14ac:dyDescent="0.25">
      <c r="A36" s="7" t="s">
        <v>24</v>
      </c>
      <c r="C36" s="6">
        <f>SUM(C34:C35)</f>
        <v>-6.3400000000000001E-4</v>
      </c>
    </row>
    <row r="37" spans="1:5" x14ac:dyDescent="0.25">
      <c r="A37" s="7"/>
      <c r="C37" s="6"/>
    </row>
    <row r="38" spans="1:5" x14ac:dyDescent="0.25">
      <c r="A38" s="11" t="s">
        <v>22</v>
      </c>
      <c r="C38" s="12">
        <f>ROUND(-0.0369918552773973/1.06625,6)</f>
        <v>-3.4693000000000002E-2</v>
      </c>
      <c r="D38" s="14"/>
      <c r="E38" t="s">
        <v>35</v>
      </c>
    </row>
    <row r="39" spans="1:5" x14ac:dyDescent="0.25">
      <c r="A39" s="7" t="s">
        <v>6</v>
      </c>
      <c r="C39" s="6">
        <f>ROUND(0.009321/1.06625,6)</f>
        <v>8.7419999999999998E-3</v>
      </c>
    </row>
    <row r="40" spans="1:5" x14ac:dyDescent="0.25">
      <c r="A40" s="7" t="s">
        <v>17</v>
      </c>
      <c r="C40" s="6">
        <f>ROUND(-0.006577/1.06625,6)</f>
        <v>-6.1679999999999999E-3</v>
      </c>
    </row>
    <row r="41" spans="1:5" x14ac:dyDescent="0.25">
      <c r="A41" s="7" t="s">
        <v>27</v>
      </c>
      <c r="C41" s="15">
        <f>ROUND(-0.00016/1.06625,6)</f>
        <v>-1.4999999999999999E-4</v>
      </c>
    </row>
    <row r="42" spans="1:5" x14ac:dyDescent="0.25">
      <c r="A42" t="s">
        <v>25</v>
      </c>
      <c r="C42" s="6">
        <f>SUM(C38:C41)</f>
        <v>-3.2268999999999999E-2</v>
      </c>
    </row>
    <row r="44" spans="1:5" x14ac:dyDescent="0.25">
      <c r="A44" s="25" t="s">
        <v>49</v>
      </c>
      <c r="C44" s="24">
        <f>ROUND(-0.000417/1.06625,6)</f>
        <v>-3.9100000000000002E-4</v>
      </c>
      <c r="D44" s="26"/>
    </row>
    <row r="46" spans="1:5" x14ac:dyDescent="0.25">
      <c r="A46" t="s">
        <v>39</v>
      </c>
      <c r="C46" s="18">
        <f>C32+C36+C42+C44</f>
        <v>-3.1774000000000004E-2</v>
      </c>
    </row>
    <row r="48" spans="1:5" x14ac:dyDescent="0.25">
      <c r="A48" s="1" t="s">
        <v>29</v>
      </c>
    </row>
    <row r="49" spans="1:10" x14ac:dyDescent="0.25">
      <c r="A49" s="7" t="str">
        <f>'AGS-Sec'!A49</f>
        <v xml:space="preserve">-Rates here represent rates in effect for the month of September 2019.  Rates will be adjusted when above rates are changed and also for Summer and Winter months. </v>
      </c>
    </row>
    <row r="50" spans="1:10" x14ac:dyDescent="0.25">
      <c r="A50" s="10" t="str">
        <f>'AGS-Sec'!A50</f>
        <v xml:space="preserve">-The Basic Generation Service Charge rate for CIEP customers is billed at PJM hourly rates.  It needs to be discussed on how the credit should be calculated for 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5">
      <c r="A51" s="11" t="str">
        <f>'AGS-Sec'!A51</f>
        <v xml:space="preserve"> CIEP customers.  For illustrative purposes, we have provided the calculation using the average LMP rate for calendar year 2018.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5">
      <c r="A52" s="7" t="str">
        <f>Residential!$A$31</f>
        <v xml:space="preserve">-These rates are for discussion purposes only and are subject to change.  </v>
      </c>
    </row>
  </sheetData>
  <mergeCells count="2">
    <mergeCell ref="C7:D7"/>
    <mergeCell ref="C28:D28"/>
  </mergeCells>
  <pageMargins left="0.7" right="0.7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22A3-99CC-41B0-8A53-B7AF1121C8F7}">
  <sheetPr>
    <pageSetUpPr fitToPage="1"/>
  </sheetPr>
  <dimension ref="A1:J31"/>
  <sheetViews>
    <sheetView workbookViewId="0">
      <selection activeCell="C25" sqref="C25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5" x14ac:dyDescent="0.25">
      <c r="A1" s="1" t="s">
        <v>0</v>
      </c>
    </row>
    <row r="2" spans="1:5" x14ac:dyDescent="0.25">
      <c r="A2" s="2" t="str">
        <f>Residential!A2</f>
        <v xml:space="preserve">As of 9/1/2019 </v>
      </c>
    </row>
    <row r="3" spans="1:5" x14ac:dyDescent="0.25">
      <c r="A3" s="1" t="s">
        <v>1</v>
      </c>
    </row>
    <row r="5" spans="1:5" x14ac:dyDescent="0.25">
      <c r="A5" s="17" t="str">
        <f>'AGS-Pri'!A5</f>
        <v xml:space="preserve">Calculation of the retail rate bill credit </v>
      </c>
    </row>
    <row r="7" spans="1:5" x14ac:dyDescent="0.25">
      <c r="A7" s="1" t="s">
        <v>15</v>
      </c>
      <c r="C7" s="28"/>
      <c r="D7" s="28"/>
    </row>
    <row r="8" spans="1:5" ht="30.75" customHeight="1" x14ac:dyDescent="0.25">
      <c r="A8" s="1" t="s">
        <v>3</v>
      </c>
      <c r="C8" s="4" t="str">
        <f>Residential!C8</f>
        <v>Pre - SUT Rate</v>
      </c>
      <c r="D8" s="3"/>
    </row>
    <row r="10" spans="1:5" x14ac:dyDescent="0.25">
      <c r="A10" t="s">
        <v>8</v>
      </c>
      <c r="C10" s="15">
        <f>ROUND(0.000605/1.06625,6)</f>
        <v>5.6700000000000001E-4</v>
      </c>
      <c r="E10" s="14"/>
    </row>
    <row r="11" spans="1:5" x14ac:dyDescent="0.25">
      <c r="A11" t="s">
        <v>23</v>
      </c>
      <c r="C11" s="6">
        <f>SUM(C10)</f>
        <v>5.6700000000000001E-4</v>
      </c>
    </row>
    <row r="13" spans="1:5" x14ac:dyDescent="0.25">
      <c r="A13" s="7" t="s">
        <v>5</v>
      </c>
      <c r="C13" s="24">
        <f>ROUND(-0.000612/1.06625,6)</f>
        <v>-5.7399999999999997E-4</v>
      </c>
      <c r="D13" s="26"/>
    </row>
    <row r="14" spans="1:5" x14ac:dyDescent="0.25">
      <c r="A14" s="7" t="str">
        <f>'AGS-Pri'!A35</f>
        <v>Reliability Must Run Transmission Surcharge</v>
      </c>
      <c r="C14" s="15">
        <f>ROUND(0/1.06625,6)</f>
        <v>0</v>
      </c>
    </row>
    <row r="15" spans="1:5" x14ac:dyDescent="0.25">
      <c r="A15" s="7" t="s">
        <v>24</v>
      </c>
      <c r="C15" s="6">
        <f>SUM(C13:C14)</f>
        <v>-5.7399999999999997E-4</v>
      </c>
    </row>
    <row r="16" spans="1:5" x14ac:dyDescent="0.25">
      <c r="A16" s="7"/>
      <c r="C16" s="6"/>
    </row>
    <row r="17" spans="1:10" x14ac:dyDescent="0.25">
      <c r="A17" s="10" t="s">
        <v>40</v>
      </c>
      <c r="B17" s="14"/>
      <c r="C17" s="12">
        <f>ROUND(-0.0369918552773973/1.06625,6)</f>
        <v>-3.4693000000000002E-2</v>
      </c>
      <c r="D17" s="14"/>
      <c r="E17" t="s">
        <v>35</v>
      </c>
    </row>
    <row r="18" spans="1:10" x14ac:dyDescent="0.25">
      <c r="A18" s="7" t="s">
        <v>6</v>
      </c>
      <c r="C18" s="6">
        <f>ROUND(0.009216/1.06625,6)</f>
        <v>8.6429999999999996E-3</v>
      </c>
    </row>
    <row r="19" spans="1:10" x14ac:dyDescent="0.25">
      <c r="A19" s="7" t="s">
        <v>17</v>
      </c>
      <c r="C19" s="6">
        <f>ROUND(-0.006501/1.06625,6)</f>
        <v>-6.097E-3</v>
      </c>
    </row>
    <row r="20" spans="1:10" x14ac:dyDescent="0.25">
      <c r="A20" s="7" t="s">
        <v>27</v>
      </c>
      <c r="C20" s="15">
        <f>ROUND(-0.00016/1.06625,6)</f>
        <v>-1.4999999999999999E-4</v>
      </c>
    </row>
    <row r="21" spans="1:10" x14ac:dyDescent="0.25">
      <c r="A21" t="s">
        <v>25</v>
      </c>
      <c r="C21" s="20">
        <f>SUM(C17:C20)</f>
        <v>-3.2296999999999999E-2</v>
      </c>
    </row>
    <row r="23" spans="1:10" x14ac:dyDescent="0.25">
      <c r="A23" s="25" t="s">
        <v>49</v>
      </c>
      <c r="C23" s="24">
        <f>ROUND(-0.000417/1.06625,6)</f>
        <v>-3.9100000000000002E-4</v>
      </c>
      <c r="D23" s="26"/>
    </row>
    <row r="25" spans="1:10" x14ac:dyDescent="0.25">
      <c r="A25" t="s">
        <v>41</v>
      </c>
      <c r="C25" s="21">
        <f>C11+C15+C21+C23</f>
        <v>-3.2695000000000002E-2</v>
      </c>
    </row>
    <row r="27" spans="1:10" x14ac:dyDescent="0.25">
      <c r="A27" s="1" t="s">
        <v>29</v>
      </c>
    </row>
    <row r="28" spans="1:10" x14ac:dyDescent="0.25">
      <c r="A28" s="7" t="str">
        <f>'AGS-Pri'!A49</f>
        <v xml:space="preserve">-Rates here represent rates in effect for the month of September 2019.  Rates will be adjusted when above rates are changed and also for Summer and Winter months. </v>
      </c>
    </row>
    <row r="29" spans="1:10" x14ac:dyDescent="0.25">
      <c r="A29" s="10" t="str">
        <f>'AGS-Pri'!A50</f>
        <v xml:space="preserve">-The Basic Generation Service Charge rate for CIEP customers is billed at PJM hourly rates.  It needs to be discussed on how the credit should be calculated for 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 t="str">
        <f>'AGS-Pri'!A51</f>
        <v xml:space="preserve"> CIEP customers.  For illustrative purposes, we have provided the calculation using the average LMP rate for calendar year 2018.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7" t="str">
        <f>Residential!$A$31</f>
        <v xml:space="preserve">-These rates are for discussion purposes only and are subject to change.  </v>
      </c>
    </row>
  </sheetData>
  <mergeCells count="1">
    <mergeCell ref="C7:D7"/>
  </mergeCells>
  <pageMargins left="0.7" right="0.7" top="0.75" bottom="0.75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618D-A0E4-436E-AEED-0878556573E9}">
  <sheetPr>
    <pageSetUpPr fitToPage="1"/>
  </sheetPr>
  <dimension ref="A1:J31"/>
  <sheetViews>
    <sheetView tabSelected="1" workbookViewId="0">
      <selection activeCell="L21" sqref="L21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'TGS-Sub'!A5</f>
        <v xml:space="preserve">Calculation of the retail rate bill credit </v>
      </c>
    </row>
    <row r="7" spans="1:4" x14ac:dyDescent="0.25">
      <c r="A7" s="1" t="s">
        <v>18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8</v>
      </c>
      <c r="C10" s="15">
        <f>ROUND(0.00063/1.06625,6)</f>
        <v>5.9100000000000005E-4</v>
      </c>
    </row>
    <row r="11" spans="1:4" x14ac:dyDescent="0.25">
      <c r="A11" t="s">
        <v>23</v>
      </c>
      <c r="C11" s="6">
        <f>SUM(C10)</f>
        <v>5.9100000000000005E-4</v>
      </c>
    </row>
    <row r="13" spans="1:4" x14ac:dyDescent="0.25">
      <c r="A13" s="7" t="s">
        <v>5</v>
      </c>
      <c r="C13" s="24">
        <f>ROUND(-0.000612/1.06625,6)</f>
        <v>-5.7399999999999997E-4</v>
      </c>
      <c r="D13" s="26"/>
    </row>
    <row r="14" spans="1:4" x14ac:dyDescent="0.25">
      <c r="A14" s="7" t="str">
        <f>'TGS-Sub'!A14</f>
        <v>Reliability Must Run Transmission Surcharge</v>
      </c>
      <c r="C14" s="15">
        <f>ROUND(0/1.06625,6)</f>
        <v>0</v>
      </c>
    </row>
    <row r="15" spans="1:4" x14ac:dyDescent="0.25">
      <c r="A15" s="7" t="s">
        <v>24</v>
      </c>
      <c r="C15" s="6">
        <f>SUM(C13:C14)</f>
        <v>-5.7399999999999997E-4</v>
      </c>
    </row>
    <row r="16" spans="1:4" x14ac:dyDescent="0.25">
      <c r="A16" s="7"/>
      <c r="C16" s="6"/>
    </row>
    <row r="17" spans="1:10" x14ac:dyDescent="0.25">
      <c r="A17" s="10" t="s">
        <v>16</v>
      </c>
      <c r="B17" s="14"/>
      <c r="C17" s="12">
        <f>ROUND(-0.0369918552773973/1.06625,6)</f>
        <v>-3.4693000000000002E-2</v>
      </c>
      <c r="D17" s="14"/>
      <c r="E17" t="s">
        <v>35</v>
      </c>
    </row>
    <row r="18" spans="1:10" x14ac:dyDescent="0.25">
      <c r="A18" s="7" t="s">
        <v>6</v>
      </c>
      <c r="C18" s="6">
        <f>ROUND(0.009125/1.06625,6)</f>
        <v>8.5579999999999996E-3</v>
      </c>
    </row>
    <row r="19" spans="1:10" x14ac:dyDescent="0.25">
      <c r="A19" s="7" t="s">
        <v>17</v>
      </c>
      <c r="C19" s="6">
        <f>ROUND(-0.006438/1.06625,6)</f>
        <v>-6.038E-3</v>
      </c>
    </row>
    <row r="20" spans="1:10" x14ac:dyDescent="0.25">
      <c r="A20" s="7" t="s">
        <v>27</v>
      </c>
      <c r="C20" s="15">
        <f>ROUND(-0.00016/1.06625,6)</f>
        <v>-1.4999999999999999E-4</v>
      </c>
    </row>
    <row r="21" spans="1:10" x14ac:dyDescent="0.25">
      <c r="A21" t="s">
        <v>25</v>
      </c>
      <c r="C21" s="20">
        <f>SUM(C17:C20)</f>
        <v>-3.2322999999999998E-2</v>
      </c>
    </row>
    <row r="23" spans="1:10" x14ac:dyDescent="0.25">
      <c r="A23" s="25" t="s">
        <v>49</v>
      </c>
      <c r="C23" s="24">
        <f>ROUND(-0.000417/1.06625,6)</f>
        <v>-3.9100000000000002E-4</v>
      </c>
      <c r="D23" s="26"/>
    </row>
    <row r="25" spans="1:10" x14ac:dyDescent="0.25">
      <c r="A25" t="s">
        <v>42</v>
      </c>
      <c r="C25" s="21">
        <f>C10+C15+C21+C23</f>
        <v>-3.2696999999999997E-2</v>
      </c>
    </row>
    <row r="27" spans="1:10" x14ac:dyDescent="0.25">
      <c r="A27" s="1" t="s">
        <v>29</v>
      </c>
    </row>
    <row r="28" spans="1:10" x14ac:dyDescent="0.25">
      <c r="A28" s="7" t="str">
        <f>'TGS-Sub'!A28</f>
        <v xml:space="preserve">-Rates here represent rates in effect for the month of September 2019.  Rates will be adjusted when above rates are changed and also for Summer and Winter months. </v>
      </c>
    </row>
    <row r="29" spans="1:10" x14ac:dyDescent="0.25">
      <c r="A29" s="10" t="str">
        <f>'TGS-Sub'!A29</f>
        <v xml:space="preserve">-The Basic Generation Service Charge rate for CIEP customers is billed at PJM hourly rates.  It needs to be discussed on how the credit should be calculated for 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 t="str">
        <f>'TGS-Sub'!A30</f>
        <v xml:space="preserve"> CIEP customers.  For illustrative purposes, we have provided the calculation using the average LMP rate for calendar year 2018.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7" t="str">
        <f>Residential!$A$31</f>
        <v xml:space="preserve">-These rates are for discussion purposes only and are subject to change.  </v>
      </c>
    </row>
  </sheetData>
  <mergeCells count="1">
    <mergeCell ref="C7:D7"/>
  </mergeCells>
  <pageMargins left="0.7" right="0.7" top="0.75" bottom="0.75" header="0.3" footer="0.3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2C50-EDD7-415C-899A-C506FA52F747}">
  <sheetPr>
    <pageSetUpPr fitToPage="1"/>
  </sheetPr>
  <dimension ref="A1:D28"/>
  <sheetViews>
    <sheetView topLeftCell="A4" workbookViewId="0">
      <selection activeCell="C10" sqref="C10"/>
    </sheetView>
  </sheetViews>
  <sheetFormatPr defaultRowHeight="15" x14ac:dyDescent="0.25"/>
  <cols>
    <col min="1" max="1" width="63.85546875" bestFit="1" customWidth="1"/>
    <col min="3" max="3" width="14.28515625" customWidth="1"/>
    <col min="4" max="4" width="3.140625" customWidth="1"/>
  </cols>
  <sheetData>
    <row r="1" spans="1:4" x14ac:dyDescent="0.25">
      <c r="A1" s="1" t="s">
        <v>0</v>
      </c>
    </row>
    <row r="2" spans="1:4" x14ac:dyDescent="0.25">
      <c r="A2" s="2" t="str">
        <f>Residential!A2</f>
        <v xml:space="preserve">As of 9/1/2019 </v>
      </c>
    </row>
    <row r="3" spans="1:4" x14ac:dyDescent="0.25">
      <c r="A3" s="1" t="s">
        <v>1</v>
      </c>
    </row>
    <row r="5" spans="1:4" x14ac:dyDescent="0.25">
      <c r="A5" s="17" t="str">
        <f>TGS!A5</f>
        <v xml:space="preserve">Calculation of the retail rate bill credit </v>
      </c>
    </row>
    <row r="7" spans="1:4" x14ac:dyDescent="0.25">
      <c r="A7" s="1" t="s">
        <v>19</v>
      </c>
      <c r="C7" s="28"/>
      <c r="D7" s="28"/>
    </row>
    <row r="8" spans="1:4" ht="30.75" customHeight="1" x14ac:dyDescent="0.25">
      <c r="A8" s="1" t="s">
        <v>3</v>
      </c>
      <c r="C8" s="4" t="str">
        <f>Residential!C8</f>
        <v>Pre - SUT Rate</v>
      </c>
      <c r="D8" s="3"/>
    </row>
    <row r="10" spans="1:4" x14ac:dyDescent="0.25">
      <c r="A10" t="s">
        <v>8</v>
      </c>
      <c r="C10" s="15">
        <f>ROUND(0.019798/1.06625,6)</f>
        <v>1.8568000000000001E-2</v>
      </c>
    </row>
    <row r="11" spans="1:4" x14ac:dyDescent="0.25">
      <c r="A11" t="s">
        <v>23</v>
      </c>
      <c r="C11" s="6">
        <f>SUM(C10)</f>
        <v>1.8568000000000001E-2</v>
      </c>
    </row>
    <row r="13" spans="1:4" x14ac:dyDescent="0.25">
      <c r="A13" s="7" t="s">
        <v>4</v>
      </c>
      <c r="C13" s="6">
        <v>0</v>
      </c>
    </row>
    <row r="14" spans="1:4" x14ac:dyDescent="0.25">
      <c r="A14" s="7" t="s">
        <v>5</v>
      </c>
      <c r="C14" s="24">
        <v>0</v>
      </c>
      <c r="D14" s="26"/>
    </row>
    <row r="15" spans="1:4" x14ac:dyDescent="0.25">
      <c r="A15" s="7" t="str">
        <f>TGS!A14</f>
        <v>Reliability Must Run Transmission Surcharge</v>
      </c>
      <c r="C15" s="15">
        <f>ROUND(0/1.06625,6)</f>
        <v>0</v>
      </c>
    </row>
    <row r="16" spans="1:4" x14ac:dyDescent="0.25">
      <c r="A16" s="7" t="s">
        <v>24</v>
      </c>
      <c r="C16" s="6">
        <f>SUM(C13:C15)</f>
        <v>0</v>
      </c>
    </row>
    <row r="17" spans="1:3" x14ac:dyDescent="0.25">
      <c r="A17" s="7"/>
      <c r="C17" s="6"/>
    </row>
    <row r="18" spans="1:3" x14ac:dyDescent="0.25">
      <c r="A18" t="s">
        <v>7</v>
      </c>
      <c r="C18" s="6">
        <f>ROUND(-0.050338/1.06625,6)</f>
        <v>-4.7210000000000002E-2</v>
      </c>
    </row>
    <row r="19" spans="1:3" x14ac:dyDescent="0.25">
      <c r="A19" s="7" t="s">
        <v>6</v>
      </c>
      <c r="C19" s="15">
        <f>ROUND(-0.000823/1.06625,6)</f>
        <v>-7.7200000000000001E-4</v>
      </c>
    </row>
    <row r="20" spans="1:3" x14ac:dyDescent="0.25">
      <c r="A20" t="s">
        <v>25</v>
      </c>
      <c r="C20" s="6">
        <f>SUM(C18:C19)</f>
        <v>-4.7982000000000004E-2</v>
      </c>
    </row>
    <row r="22" spans="1:3" x14ac:dyDescent="0.25">
      <c r="A22" s="25" t="s">
        <v>49</v>
      </c>
      <c r="C22" s="15">
        <f>ROUND(-0.000417/1.06625,6)</f>
        <v>-3.9100000000000002E-4</v>
      </c>
    </row>
    <row r="24" spans="1:3" x14ac:dyDescent="0.25">
      <c r="A24" t="s">
        <v>43</v>
      </c>
      <c r="C24" s="18">
        <f>C11+C16+C20+C22</f>
        <v>-2.9805000000000002E-2</v>
      </c>
    </row>
    <row r="26" spans="1:3" x14ac:dyDescent="0.25">
      <c r="A26" s="1" t="s">
        <v>29</v>
      </c>
    </row>
    <row r="27" spans="1:3" x14ac:dyDescent="0.25">
      <c r="A27" s="7" t="str">
        <f>TGS!A28</f>
        <v xml:space="preserve">-Rates here represent rates in effect for the month of September 2019.  Rates will be adjusted when above rates are changed and also for Summer and Winter months. </v>
      </c>
    </row>
    <row r="28" spans="1:3" x14ac:dyDescent="0.25">
      <c r="A28" s="7" t="str">
        <f>Residential!$A$31</f>
        <v xml:space="preserve">-These rates are for discussion purposes only and are subject to change.  </v>
      </c>
    </row>
  </sheetData>
  <mergeCells count="1">
    <mergeCell ref="C7:D7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C033765B04C4D85C7028ACC6AB7FB" ma:contentTypeVersion="4" ma:contentTypeDescription="Create a new document." ma:contentTypeScope="" ma:versionID="88e5da6b24d290627059cf6fedbcf748">
  <xsd:schema xmlns:xsd="http://www.w3.org/2001/XMLSchema" xmlns:xs="http://www.w3.org/2001/XMLSchema" xmlns:p="http://schemas.microsoft.com/office/2006/metadata/properties" xmlns:ns3="637624a2-b114-40e7-8223-f147102756d4" targetNamespace="http://schemas.microsoft.com/office/2006/metadata/properties" ma:root="true" ma:fieldsID="3c81104d9216680983c9d0866cbbe4db" ns3:_="">
    <xsd:import namespace="637624a2-b114-40e7-8223-f147102756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624a2-b114-40e7-8223-f147102756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AE9112-5197-42A9-80D7-A5FEB7D4F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624a2-b114-40e7-8223-f147102756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76F59E-6A9D-434C-A7DA-38B4999B46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4164FF-C4AE-4C04-BFFF-9CA84C41B3E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637624a2-b114-40e7-8223-f147102756d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Residential</vt:lpstr>
      <vt:lpstr>Res - TOU</vt:lpstr>
      <vt:lpstr>MGS-Sec</vt:lpstr>
      <vt:lpstr>MGS-Pri</vt:lpstr>
      <vt:lpstr>AGS-Sec</vt:lpstr>
      <vt:lpstr>AGS-Pri</vt:lpstr>
      <vt:lpstr>TGS-Sub</vt:lpstr>
      <vt:lpstr>TGS</vt:lpstr>
      <vt:lpstr>SPL-CSL</vt:lpstr>
      <vt:lpstr>DDC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Thomas M:(PHI)</dc:creator>
  <cp:lastModifiedBy>Sunderhauf, Stephen L:(PHI)</cp:lastModifiedBy>
  <cp:lastPrinted>2019-05-09T14:06:01Z</cp:lastPrinted>
  <dcterms:created xsi:type="dcterms:W3CDTF">2019-04-29T13:13:29Z</dcterms:created>
  <dcterms:modified xsi:type="dcterms:W3CDTF">2019-11-01T14:22:41Z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0x010100DFBC033765B04C4D85C7028ACC6AB7FB</vt:lpwstr>
  </property>
</Properties>
</file>