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4 2023/Final Versions/"/>
    </mc:Choice>
  </mc:AlternateContent>
  <bookViews>
    <workbookView xWindow="0" yWindow="0" windowWidth="19200" windowHeight="7050" tabRatio="599" firstSheet="3" activeTab="9"/>
  </bookViews>
  <sheets>
    <sheet name="ACE" sheetId="49" r:id="rId1"/>
    <sheet name="Table 1" sheetId="35" r:id="rId2"/>
    <sheet name="Tables 2-6" sheetId="36" r:id="rId3"/>
    <sheet name="Table 7" sheetId="37" r:id="rId4"/>
    <sheet name="Table 8" sheetId="38" r:id="rId5"/>
    <sheet name="Table 9" sheetId="47" r:id="rId6"/>
    <sheet name="Ap A - Participant Def" sheetId="39" r:id="rId7"/>
    <sheet name="Ap B - Qtr Electric Master" sheetId="27" r:id="rId8"/>
    <sheet name=" Ap C - Qtr Electric LMI" sheetId="29" r:id="rId9"/>
    <sheet name=" Ap D - Qtr Electric Business" sheetId="30" r:id="rId10"/>
    <sheet name="Ap E - NJ CEA Benchmarks" sheetId="40" r:id="rId11"/>
    <sheet name="AP F - Secondary Metrics" sheetId="41" r:id="rId12"/>
    <sheet name="AP G - Transfer" sheetId="42" r:id="rId13"/>
    <sheet name="AP H - CostTest" sheetId="48" r:id="rId14"/>
    <sheet name="AP I - Program Changes" sheetId="4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B">#REF!</definedName>
    <definedName name="\C">#REF!</definedName>
    <definedName name="\D">#REF!</definedName>
    <definedName name="\E">[1]JobDefinition!#REF!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[1]JobDefinition!#REF!</definedName>
    <definedName name="_">'[2]BUD CAP'!$P$33</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[3]Depreciation!#REF!</definedName>
    <definedName name="__123Graph_C" hidden="1">[3]Depreciation!#REF!</definedName>
    <definedName name="__123Graph_D" hidden="1">[3]Depreciation!#REF!</definedName>
    <definedName name="__123Graph_E" hidden="1">[3]Depreciation!#REF!</definedName>
    <definedName name="__123Graph_F" hidden="1">[3]Depreciation!#REF!</definedName>
    <definedName name="__AAL1">#REF!</definedName>
    <definedName name="__agr8690">[4]Model!$I$58</definedName>
    <definedName name="__agr8790">[4]Model!$I$59</definedName>
    <definedName name="__agr8791">[4]Model!$J$59</definedName>
    <definedName name="__agr8890">[4]Model!$I$60</definedName>
    <definedName name="__agr8891">[4]Model!$J$60</definedName>
    <definedName name="__agr8892">[4]Model!$K$60</definedName>
    <definedName name="__agr8990">[4]Model!$I$61</definedName>
    <definedName name="__agr8991">[4]Model!$J$61</definedName>
    <definedName name="__agr8992">[4]Model!$K$61</definedName>
    <definedName name="__agr8993">[4]Model!$L$61</definedName>
    <definedName name="__agr9091">[4]Model!$J$62</definedName>
    <definedName name="__agr9092">[4]Model!$K$62</definedName>
    <definedName name="__agr9093">[4]Model!$L$62</definedName>
    <definedName name="__agr9094">[4]Model!$M$62</definedName>
    <definedName name="__agr9192">[4]Model!$K$63</definedName>
    <definedName name="__agr9193">[4]Model!$L$63</definedName>
    <definedName name="__agr9194">[4]Model!$M$63</definedName>
    <definedName name="__agr9195">[4]Model!$N$63</definedName>
    <definedName name="__agr9293">[4]Model!$L$64</definedName>
    <definedName name="__agr9294">[4]Model!$M$64</definedName>
    <definedName name="__agr9295">[4]Model!$N$64</definedName>
    <definedName name="__agr9296">[4]Model!$O$64</definedName>
    <definedName name="__agr9394">[4]Model!$M$65</definedName>
    <definedName name="__agr9395">[4]Model!$N$65</definedName>
    <definedName name="__agr9396">[4]Model!$O$65</definedName>
    <definedName name="__agr9397">[4]Model!$P$65</definedName>
    <definedName name="__agr9495">[4]Model!$N$66</definedName>
    <definedName name="__agr9496">[4]Model!$O$66</definedName>
    <definedName name="__agr9497">[4]Model!$P$66</definedName>
    <definedName name="__agr9498">[4]Model!$Q$66</definedName>
    <definedName name="__agr9596">[4]Model!$O$67</definedName>
    <definedName name="__agr9597">[4]Model!$P$67</definedName>
    <definedName name="__agr9598">[4]Model!$Q$67</definedName>
    <definedName name="__agr9697">[4]Model!$P$68</definedName>
    <definedName name="__agr9698">[4]Model!$Q$68</definedName>
    <definedName name="__agr9798">[4]Model!$Q$69</definedName>
    <definedName name="__DAT4">#REF!</definedName>
    <definedName name="__Key2" hidden="1">#REF!</definedName>
    <definedName name="__key7">[5]Sheet2!$AE$1:$AE$24</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pgm5">[5]Sheet2!$AF$1:$AF$3</definedName>
    <definedName name="__qre2">'[6]IDR 15'!$A$1:$H$214</definedName>
    <definedName name="__qre84">'[4]QRE''s'!$D:$D</definedName>
    <definedName name="__qre8490">[4]Model!$I$126</definedName>
    <definedName name="__qre8491">[4]Model!$J$126</definedName>
    <definedName name="__qre8492">[4]Model!$K$126</definedName>
    <definedName name="__qre8493">[4]Model!$L$126</definedName>
    <definedName name="__qre8494">[4]Model!$M$126</definedName>
    <definedName name="__qre8495">[4]Model!$N$126</definedName>
    <definedName name="__qre8496">[4]Model!$O$126</definedName>
    <definedName name="__qre8497">[4]Model!$P$126</definedName>
    <definedName name="__qre8498">[4]Model!$Q$126</definedName>
    <definedName name="__qre85">'[4]QRE''s'!$E:$E</definedName>
    <definedName name="__qre8590">[4]Model!$I$127</definedName>
    <definedName name="__qre8591">[4]Model!$J$127</definedName>
    <definedName name="__qre8592">[4]Model!$K$127</definedName>
    <definedName name="__qre8593">[4]Model!$L$127</definedName>
    <definedName name="__qre8594">[4]Model!$M$127</definedName>
    <definedName name="__qre8595">[4]Model!$N$127</definedName>
    <definedName name="__qre8596">[4]Model!$O$127</definedName>
    <definedName name="__qre8597">[4]Model!$P$127</definedName>
    <definedName name="__qre8598">[4]Model!$Q$127</definedName>
    <definedName name="__qre86">'[4]QRE''s'!$F:$F</definedName>
    <definedName name="__qre8690">[4]Model!$I$128</definedName>
    <definedName name="__qre8691">[4]Model!$J$128</definedName>
    <definedName name="__qre8692">[4]Model!$K$128</definedName>
    <definedName name="__qre8693">[4]Model!$L$128</definedName>
    <definedName name="__qre8694">[4]Model!$M$128</definedName>
    <definedName name="__qre8695">[4]Model!$N$128</definedName>
    <definedName name="__qre8696">[4]Model!$O$128</definedName>
    <definedName name="__qre8697">[4]Model!$P$128</definedName>
    <definedName name="__qre8698">[4]Model!$Q$128</definedName>
    <definedName name="__qre87">'[4]QRE''s'!$G:$G</definedName>
    <definedName name="__qre8790">[4]Model!$I$129</definedName>
    <definedName name="__qre8791">[4]Model!$J$129</definedName>
    <definedName name="__qre8792">[4]Model!$K$129</definedName>
    <definedName name="__qre8793">[4]Model!$L$129</definedName>
    <definedName name="__qre8794">[4]Model!$M$129</definedName>
    <definedName name="__qre8795">[4]Model!$N$129</definedName>
    <definedName name="__qre8796">[4]Model!$O$129</definedName>
    <definedName name="__qre8797">[4]Model!$P$129</definedName>
    <definedName name="__qre8798">[4]Model!$Q$129</definedName>
    <definedName name="__qre88">'[4]QRE''s'!$H:$H</definedName>
    <definedName name="__qre8890">[4]Model!$I$130</definedName>
    <definedName name="__qre8891">[4]Model!$J$130</definedName>
    <definedName name="__qre8892">[4]Model!$K$130</definedName>
    <definedName name="__qre8893">[4]Model!$L$130</definedName>
    <definedName name="__qre8894">[4]Model!$M$130</definedName>
    <definedName name="__qre8895">[4]Model!$N$130</definedName>
    <definedName name="__qre8896">[4]Model!$O$130</definedName>
    <definedName name="__qre8897">[4]Model!$P$130</definedName>
    <definedName name="__qre8898">[4]Model!$Q$130</definedName>
    <definedName name="__qre89">'[4]QRE''s'!$I:$I</definedName>
    <definedName name="__qre90">'[4]QRE''s'!$J:$J</definedName>
    <definedName name="__qre91">'[4]QRE''s'!$K:$K</definedName>
    <definedName name="__qre92">'[4]QRE''s'!$L:$L</definedName>
    <definedName name="__qre93">'[4]QRE''s'!$M:$M</definedName>
    <definedName name="__qre94">'[4]QRE''s'!$N:$N</definedName>
    <definedName name="__qre95">'[4]QRE''s'!$O:$O</definedName>
    <definedName name="__qre96">'[4]QRE''s'!$P:$P</definedName>
    <definedName name="__qre97">'[4]QRE''s'!$Q:$Q</definedName>
    <definedName name="__qre98">'[4]QRE''s'!$R:$R</definedName>
    <definedName name="__reg4">[5]Sheet2!$AF$1:$AF$3</definedName>
    <definedName name="__ryr56565" hidden="1">{#N/A,#N/A,FALSE,"Monthly SAIFI";#N/A,#N/A,FALSE,"Yearly SAIFI";#N/A,#N/A,FALSE,"Monthly CAIDI";#N/A,#N/A,FALSE,"Yearly CAIDI";#N/A,#N/A,FALSE,"Monthly SAIDI";#N/A,#N/A,FALSE,"Yearly SAIDI";#N/A,#N/A,FALSE,"Monthly MAIFI";#N/A,#N/A,FALSE,"Yearly MAIFI";#N/A,#N/A,FALSE,"Monthly Cust &gt;=4 Int"}</definedName>
    <definedName name="__tqc90">'[4]QRE''s'!$J$101</definedName>
    <definedName name="__tqc91">'[4]QRE''s'!$K$101</definedName>
    <definedName name="__tqc92">'[4]QRE''s'!$L$101</definedName>
    <definedName name="__tqc93">'[4]QRE''s'!$M$101</definedName>
    <definedName name="__tqc94">'[4]QRE''s'!$N$101</definedName>
    <definedName name="__tqc95">'[4]QRE''s'!$O$101</definedName>
    <definedName name="__tqc96">'[4]QRE''s'!$P$101</definedName>
    <definedName name="__tqc97">'[4]QRE''s'!$Q$101</definedName>
    <definedName name="__tqc98">'[4]QRE''s'!$R$101</definedName>
    <definedName name="__tql90">'[4]QRE''s'!$J$99</definedName>
    <definedName name="__tql91">'[4]QRE''s'!$K$99</definedName>
    <definedName name="__tql92">'[4]QRE''s'!$L$99</definedName>
    <definedName name="__tql93">'[4]QRE''s'!$M$99</definedName>
    <definedName name="__tql94">'[4]QRE''s'!$N$99</definedName>
    <definedName name="__tql95">'[4]QRE''s'!$O$99</definedName>
    <definedName name="__tql96">'[4]QRE''s'!$P$99</definedName>
    <definedName name="__tql97">'[4]QRE''s'!$Q$99</definedName>
    <definedName name="__tql98">'[4]QRE''s'!$R$99</definedName>
    <definedName name="__tqs90">'[4]QRE''s'!$J$100</definedName>
    <definedName name="__tqs91">'[4]QRE''s'!$K$100</definedName>
    <definedName name="__tqs92">'[4]QRE''s'!$L$100</definedName>
    <definedName name="__tqs93">'[4]QRE''s'!$M$100</definedName>
    <definedName name="__tqs94">'[4]QRE''s'!$N$100</definedName>
    <definedName name="__tqs95">'[4]QRE''s'!$O$100</definedName>
    <definedName name="__tqs96">'[4]QRE''s'!$P$100</definedName>
    <definedName name="__tqs97">'[4]QRE''s'!$Q$100</definedName>
    <definedName name="__tqs98">'[4]QRE''s'!$R$100</definedName>
    <definedName name="__zc22">#REF!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0_MWS">#REF!</definedName>
    <definedName name="_21__123Graph_DCONTRACT_BY_B_U" hidden="1">'[4]QRE Charts'!$D$278:$Q$278</definedName>
    <definedName name="_21_MWS">#REF!</definedName>
    <definedName name="_22__123Graph_DQRE_S_BY_CO." hidden="1">'[4]QRE Charts'!$D$304:$R$304</definedName>
    <definedName name="_23__123Graph_DSUPPLIES_BY_B_U" hidden="1">'[4]QRE Charts'!$D$252:$Q$252</definedName>
    <definedName name="_23_MWS">#REF!</definedName>
    <definedName name="_24__123Graph_DWAGES_BY_B_U" hidden="1">'[4]QRE Charts'!$D$226:$R$226</definedName>
    <definedName name="_24_MWS">#REF!</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5_MWS">#REF!</definedName>
    <definedName name="_36__123Graph_XSUPPLIES_BY_B_U" hidden="1">'[4]QRE Charts'!$D$222:$R$222</definedName>
    <definedName name="_37__123Graph_XTAX_CREDIT" hidden="1">'[4]QRE Charts'!$C$332:$C$342</definedName>
    <definedName name="_38_0_0_K" hidden="1">#REF!</definedName>
    <definedName name="_39_0_0_S" hidden="1">#REF!</definedName>
    <definedName name="_4__123Graph_ASENS_COMPARISON" hidden="1">'[4]QRE Charts'!$E$365:$O$365</definedName>
    <definedName name="_40_MWS">#REF!</definedName>
    <definedName name="_44_0_0_K" hidden="1">#REF!</definedName>
    <definedName name="_45_0_0_K" hidden="1">[7]Masterdata!#REF!</definedName>
    <definedName name="_45_MWS">#REF!</definedName>
    <definedName name="_5__123Graph_ASUPPLIES_BY_B_U" hidden="1">'[4]QRE Charts'!$D$249:$Q$249</definedName>
    <definedName name="_50_MWS">#REF!</definedName>
    <definedName name="_52_0_0_S" hidden="1">#REF!</definedName>
    <definedName name="_53_0_0_S" hidden="1">[7]Masterdata!#REF!</definedName>
    <definedName name="_55_MWS">#REF!</definedName>
    <definedName name="_6__123Graph_ATAX_CREDIT" hidden="1">'[4]QRE Charts'!$D$332:$D$342</definedName>
    <definedName name="_7__123Graph_AWAGES_BY_B_U" hidden="1">'[4]QRE Charts'!$D$223:$R$223</definedName>
    <definedName name="_8__123Graph_BCONTRACT_BY_B_U" hidden="1">'[4]QRE Charts'!$D$276:$Q$276</definedName>
    <definedName name="_84_PHASE1">[4]Comparison!$E$9:$E$165</definedName>
    <definedName name="_85_PHASE1">[4]Comparison!$I$9:$I$165</definedName>
    <definedName name="_86_PHASE1">[4]Comparison!$M$9:$M$165</definedName>
    <definedName name="_87_PHASE1">[4]Comparison!$Q$9:$Q$165</definedName>
    <definedName name="_88_PHASE1">[4]Comparison!$U$9:$U$165</definedName>
    <definedName name="_89_PHASE1">[4]Comparison!$AD$9:$AD$165</definedName>
    <definedName name="_9__123Graph_BQRE_S_BY_CO." hidden="1">'[4]QRE Charts'!$D$302:$R$302</definedName>
    <definedName name="_90_PHASE1">[4]Comparison!$AH$9:$AH$165</definedName>
    <definedName name="_91_PHASE1">[4]Comparison!$AL$9:$AL$165</definedName>
    <definedName name="_92_PHASE1">[4]Comparison!$AP$9:$AP$165</definedName>
    <definedName name="_93_PHASE1">[4]Comparison!$AT$9:$AT$165</definedName>
    <definedName name="_94_PHASE1">[4]Comparison!$AX$9:$AX$165</definedName>
    <definedName name="_95_PHASE1">[4]Comparison!$BB$9:$BB$165</definedName>
    <definedName name="_96_PHASE1">[4]Comparison!$BF$9:$BF$165</definedName>
    <definedName name="_97_PHASE1">[4]Comparison!$BJ$9:$BJ$165</definedName>
    <definedName name="_98_PHASE1">[4]Comparison!$BN$9:$BN$165</definedName>
    <definedName name="_AAL1">#REF!</definedName>
    <definedName name="_agr8690">[4]Model!$I$58</definedName>
    <definedName name="_agr8790">[4]Model!$I$59</definedName>
    <definedName name="_agr8791">[4]Model!$J$59</definedName>
    <definedName name="_agr8890">[4]Model!$I$60</definedName>
    <definedName name="_agr8891">[4]Model!$J$60</definedName>
    <definedName name="_agr8892">[4]Model!$K$60</definedName>
    <definedName name="_agr8990">[4]Model!$I$61</definedName>
    <definedName name="_agr8991">[4]Model!$J$61</definedName>
    <definedName name="_agr8992">[4]Model!$K$61</definedName>
    <definedName name="_agr8993">[4]Model!$L$61</definedName>
    <definedName name="_agr9091">[4]Model!$J$62</definedName>
    <definedName name="_agr9092">[4]Model!$K$62</definedName>
    <definedName name="_agr9093">[4]Model!$L$62</definedName>
    <definedName name="_agr9094">[4]Model!$M$62</definedName>
    <definedName name="_agr9192">[4]Model!$K$63</definedName>
    <definedName name="_agr9193">[4]Model!$L$63</definedName>
    <definedName name="_agr9194">[4]Model!$M$63</definedName>
    <definedName name="_agr9195">[4]Model!$N$63</definedName>
    <definedName name="_agr9293">[4]Model!$L$64</definedName>
    <definedName name="_agr9294">[4]Model!$M$64</definedName>
    <definedName name="_agr9295">[4]Model!$N$64</definedName>
    <definedName name="_agr9296">[4]Model!$O$64</definedName>
    <definedName name="_agr9394">[4]Model!$M$65</definedName>
    <definedName name="_agr9395">[4]Model!$N$65</definedName>
    <definedName name="_agr9396">[4]Model!$O$65</definedName>
    <definedName name="_agr9397">[4]Model!$P$65</definedName>
    <definedName name="_agr9495">[4]Model!$N$66</definedName>
    <definedName name="_agr9496">[4]Model!$O$66</definedName>
    <definedName name="_agr9497">[4]Model!$P$66</definedName>
    <definedName name="_agr9498">[4]Model!$Q$66</definedName>
    <definedName name="_agr9596">[4]Model!$O$67</definedName>
    <definedName name="_agr9597">[4]Model!$P$67</definedName>
    <definedName name="_agr9598">[4]Model!$Q$67</definedName>
    <definedName name="_agr9697">[4]Model!$P$68</definedName>
    <definedName name="_agr9698">[4]Model!$Q$68</definedName>
    <definedName name="_agr9798">[4]Model!$Q$69</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Key1" hidden="1">#REF!</definedName>
    <definedName name="_Key2" hidden="1">#REF!</definedName>
    <definedName name="_key7">[5]Sheet2!$AE$1:$AE$24</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pgm5">[5]Sheet2!$AF$1:$AF$3</definedName>
    <definedName name="_qre2">'[6]IDR 15'!$A$1:$H$214</definedName>
    <definedName name="_qre84">'[4]QRE''s'!$D$1:$D$65536</definedName>
    <definedName name="_qre8490">[4]Model!$I$126</definedName>
    <definedName name="_qre8491">[4]Model!$J$126</definedName>
    <definedName name="_qre8492">[4]Model!$K$126</definedName>
    <definedName name="_qre8493">[4]Model!$L$126</definedName>
    <definedName name="_qre8494">[4]Model!$M$126</definedName>
    <definedName name="_qre8495">[4]Model!$N$126</definedName>
    <definedName name="_qre8496">[4]Model!$O$126</definedName>
    <definedName name="_qre8497">[4]Model!$P$126</definedName>
    <definedName name="_qre8498">[4]Model!$Q$126</definedName>
    <definedName name="_qre85">'[4]QRE''s'!$E$1:$E$65536</definedName>
    <definedName name="_qre8590">[4]Model!$I$127</definedName>
    <definedName name="_qre8591">[4]Model!$J$127</definedName>
    <definedName name="_qre8592">[4]Model!$K$127</definedName>
    <definedName name="_qre8593">[4]Model!$L$127</definedName>
    <definedName name="_qre8594">[4]Model!$M$127</definedName>
    <definedName name="_qre8595">[4]Model!$N$127</definedName>
    <definedName name="_qre8596">[4]Model!$O$127</definedName>
    <definedName name="_qre8597">[4]Model!$P$127</definedName>
    <definedName name="_qre8598">[4]Model!$Q$127</definedName>
    <definedName name="_qre86">'[4]QRE''s'!$F$1:$F$65536</definedName>
    <definedName name="_qre8690">[4]Model!$I$128</definedName>
    <definedName name="_qre8691">[4]Model!$J$128</definedName>
    <definedName name="_qre8692">[4]Model!$K$128</definedName>
    <definedName name="_qre8693">[4]Model!$L$128</definedName>
    <definedName name="_qre8694">[4]Model!$M$128</definedName>
    <definedName name="_qre8695">[4]Model!$N$128</definedName>
    <definedName name="_qre8696">[4]Model!$O$128</definedName>
    <definedName name="_qre8697">[4]Model!$P$128</definedName>
    <definedName name="_qre8698">[4]Model!$Q$128</definedName>
    <definedName name="_qre87">'[4]QRE''s'!$G$1:$G$65536</definedName>
    <definedName name="_qre8790">[4]Model!$I$129</definedName>
    <definedName name="_qre8791">[4]Model!$J$129</definedName>
    <definedName name="_qre8792">[4]Model!$K$129</definedName>
    <definedName name="_qre8793">[4]Model!$L$129</definedName>
    <definedName name="_qre8794">[4]Model!$M$129</definedName>
    <definedName name="_qre8795">[4]Model!$N$129</definedName>
    <definedName name="_qre8796">[4]Model!$O$129</definedName>
    <definedName name="_qre8797">[4]Model!$P$129</definedName>
    <definedName name="_qre8798">[4]Model!$Q$129</definedName>
    <definedName name="_qre88">'[4]QRE''s'!$H$1:$H$65536</definedName>
    <definedName name="_qre8890">[4]Model!$I$130</definedName>
    <definedName name="_qre8891">[4]Model!$J$130</definedName>
    <definedName name="_qre8892">[4]Model!$K$130</definedName>
    <definedName name="_qre8893">[4]Model!$L$130</definedName>
    <definedName name="_qre8894">[4]Model!$M$130</definedName>
    <definedName name="_qre8895">[4]Model!$N$130</definedName>
    <definedName name="_qre8896">[4]Model!$O$130</definedName>
    <definedName name="_qre8897">[4]Model!$P$130</definedName>
    <definedName name="_qre8898">[4]Model!$Q$130</definedName>
    <definedName name="_qre89">'[4]QRE''s'!$I$1:$I$65536</definedName>
    <definedName name="_qre90">'[4]QRE''s'!$J$1:$J$65536</definedName>
    <definedName name="_qre91">'[4]QRE''s'!$K$1:$K$65536</definedName>
    <definedName name="_qre92">'[4]QRE''s'!$L$1:$L$65536</definedName>
    <definedName name="_qre93">'[4]QRE''s'!$M$1:$M$65536</definedName>
    <definedName name="_qre94">'[4]QRE''s'!$N$1:$N$65536</definedName>
    <definedName name="_qre95">'[4]QRE''s'!$O$1:$O$65536</definedName>
    <definedName name="_qre96">'[4]QRE''s'!$P$1:$P$65536</definedName>
    <definedName name="_qre97">'[4]QRE''s'!$Q$1:$Q$65536</definedName>
    <definedName name="_qre98">'[4]QRE''s'!$R$1:$R$65536</definedName>
    <definedName name="_reg4">[5]Sheet2!$AF$1:$AF$3</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tqc90">'[4]QRE''s'!$J$101</definedName>
    <definedName name="_tqc91">'[4]QRE''s'!$K$101</definedName>
    <definedName name="_tqc92">'[4]QRE''s'!$L$101</definedName>
    <definedName name="_tqc93">'[4]QRE''s'!$M$101</definedName>
    <definedName name="_tqc94">'[4]QRE''s'!$N$101</definedName>
    <definedName name="_tqc95">'[4]QRE''s'!$O$101</definedName>
    <definedName name="_tqc96">'[4]QRE''s'!$P$101</definedName>
    <definedName name="_tqc97">'[4]QRE''s'!$Q$101</definedName>
    <definedName name="_tqc98">'[4]QRE''s'!$R$101</definedName>
    <definedName name="_tql90">'[4]QRE''s'!$J$99</definedName>
    <definedName name="_tql91">'[4]QRE''s'!$K$99</definedName>
    <definedName name="_tql92">'[4]QRE''s'!$L$99</definedName>
    <definedName name="_tql93">'[4]QRE''s'!$M$99</definedName>
    <definedName name="_tql94">'[4]QRE''s'!$N$99</definedName>
    <definedName name="_tql95">'[4]QRE''s'!$O$99</definedName>
    <definedName name="_tql96">'[4]QRE''s'!$P$99</definedName>
    <definedName name="_tql97">'[4]QRE''s'!$Q$99</definedName>
    <definedName name="_tql98">'[4]QRE''s'!$R$99</definedName>
    <definedName name="_tqs90">'[4]QRE''s'!$J$100</definedName>
    <definedName name="_tqs91">'[4]QRE''s'!$K$100</definedName>
    <definedName name="_tqs92">'[4]QRE''s'!$L$100</definedName>
    <definedName name="_tqs93">'[4]QRE''s'!$M$100</definedName>
    <definedName name="_tqs94">'[4]QRE''s'!$N$100</definedName>
    <definedName name="_tqs95">'[4]QRE''s'!$O$100</definedName>
    <definedName name="_tqs96">'[4]QRE''s'!$P$100</definedName>
    <definedName name="_tqs97">'[4]QRE''s'!$Q$100</definedName>
    <definedName name="_tqs98">'[4]QRE''s'!$R$100</definedName>
    <definedName name="_WORLDOX">#REF!</definedName>
    <definedName name="a"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ashitii">'[8]2005 CapEx (By VP By Dept) Budg'!$A$3:$P$431</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TUAL_YTD">[9]Administrator!$L$60</definedName>
    <definedName name="acx"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[4]AIRC!#REF!</definedName>
    <definedName name="aircgrtm2">[4]AIRC!#REF!</definedName>
    <definedName name="aircgrtm3">[4]AIRC!#REF!</definedName>
    <definedName name="aircgrtm4">[4]AIRC!#REF!</definedName>
    <definedName name="aircqre">[4]AIRC!$C$15</definedName>
    <definedName name="aircqrelabel">[4]AIRC!$B$15</definedName>
    <definedName name="airctitle">[4]AIRC!$A$1</definedName>
    <definedName name="airctm1">[4]AIRC!#REF!</definedName>
    <definedName name="airctm2">[4]AIRC!#REF!</definedName>
    <definedName name="airctm3">[4]AIRC!#REF!</definedName>
    <definedName name="airctm4">[4]AIRC!#REF!</definedName>
    <definedName name="ALERT1">#REF!</definedName>
    <definedName name="ALERT2">#REF!</definedName>
    <definedName name="ALERT3">#REF!</definedName>
    <definedName name="ALL_QRES">[4]Sens_QRE_Factor!$D$8:$R$98</definedName>
    <definedName name="ALL_QRES0.75">'[4]QRE Charts'!$E$365</definedName>
    <definedName name="ALL_QRES0.80">'[4]QRE Charts'!$F$365</definedName>
    <definedName name="ALL_QRES0.85">'[4]QRE Charts'!$G$365</definedName>
    <definedName name="ALL_QRES0.90">'[4]QRE Charts'!$H$365</definedName>
    <definedName name="ALL_QRES0.95">'[4]QRE Charts'!$I$365</definedName>
    <definedName name="ALL_QRES1.00">'[4]QRE Charts'!$J$365</definedName>
    <definedName name="ALL_QRES1.05">'[4]QRE Charts'!$K$365</definedName>
    <definedName name="ALL_QRES1.10">'[4]QRE Charts'!$L$365</definedName>
    <definedName name="ALL_QRES1.15">'[4]QRE Charts'!$M$365</definedName>
    <definedName name="ALL_QRES1.20">'[4]QRE Charts'!$N$365</definedName>
    <definedName name="ALL_QRES1.25">'[4]QRE Charts'!$O$365</definedName>
    <definedName name="ALL_SENS_FACT">#REF!</definedName>
    <definedName name="ALLYRS_MESSAGE">#REF!</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isha2157">'[8]2005 CapEx (By VP By Dept) Budg'!$A$3:$P$431</definedName>
    <definedName name="anisha216">'[8]2005 CapEx (By VP By Dept) Budg'!$A$3:$P$431</definedName>
    <definedName name="anishhh">'[8]2005 CapEx (By VP By Dept) Budg'!$A$3:$P$431</definedName>
    <definedName name="anishilov">'[8]2005 CapEx (By VP By Dept) Budg'!$A$3:$P$431</definedName>
    <definedName name="anscount" hidden="1">1</definedName>
    <definedName name="APA">'[10]PECO Bal Sht'!#REF!</definedName>
    <definedName name="Apr">#REF!</definedName>
    <definedName name="apr2pre">#REF!</definedName>
    <definedName name="April">#REF!</definedName>
    <definedName name="APV">#REF!</definedName>
    <definedName name="Area">'[11]all EED O&amp;M BO data'!$W$2:$W$5000</definedName>
    <definedName name="as">'[8]2005 CapEx (By VP By Dept) Budg'!$A$3:$P$395</definedName>
    <definedName name="AS2DocOpenMode" hidden="1">"AS2DocumentEdit"</definedName>
    <definedName name="asasasas">'[8]2005 CapEx (By VP By Dept) Budg'!$A$3:$P$431</definedName>
    <definedName name="ASD">'[10]PECO Bal Sht'!#REF!</definedName>
    <definedName name="asdada">#REF!</definedName>
    <definedName name="asdasd">'[8]2005 CapEx (By VP By Dept) Budg'!$A$3:$P$431</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'[8]2005 CapEx (By VP By Dept) Budg'!$A$3:$P$431</definedName>
    <definedName name="asdfsdfsadfs">'[8]2005 CapEx (By VP By Dept) Budg'!$A$3:$P$431</definedName>
    <definedName name="asfas">#REF!</definedName>
    <definedName name="asfasdfasfasfsadf">#REF!</definedName>
    <definedName name="asfsdfsdfsdfsfwer">#REF!</definedName>
    <definedName name="asfsdfsfs">#REF!</definedName>
    <definedName name="asfsft">#REF!</definedName>
    <definedName name="asgdfsjgfdk1">'[8]2005 CapEx (By VP By Dept) Budg'!$A$3:$P$431</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'[8]2005 CapEx (By VP By Dept) Budg'!$A$3:$P$431</definedName>
    <definedName name="ashi21">'[8]2005 CapEx (By VP By Dept) Budg'!$A$3:$P$431</definedName>
    <definedName name="ashia">#REF!</definedName>
    <definedName name="ashita">#REF!</definedName>
    <definedName name="ashita216">'[8]2005 CapEx (By VP By Dept) Budg'!$A$3:$P$431</definedName>
    <definedName name="AsOfDt">'[12]#REF'!$B$2</definedName>
    <definedName name="asrada">#REF!</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hidden="1">{#N/A,#N/A,FALSE,"Monthly SAIFI";#N/A,#N/A,FALSE,"Yearly SAIFI";#N/A,#N/A,FALSE,"Monthly CAIDI";#N/A,#N/A,FALSE,"Yearly CAIDI";#N/A,#N/A,FALSE,"Monthly SAIDI";#N/A,#N/A,FALSE,"Yearly SAIDI";#N/A,#N/A,FALSE,"Monthly MAIFI";#N/A,#N/A,FALSE,"Yearly MAIFI";#N/A,#N/A,FALSE,"Monthly Cust &gt;=4 Int"}</definedName>
    <definedName name="b_u_10">'[4]QRE''s'!$A$39:$IV$94</definedName>
    <definedName name="b_u_11">'[4]QRE''s'!$A$43:$IV$94</definedName>
    <definedName name="b_u_12">'[4]QRE''s'!$A$47:$IV$94</definedName>
    <definedName name="b_u_13">'[4]QRE''s'!$A$51:$IV$94</definedName>
    <definedName name="b_u_14">'[4]QRE''s'!$A$55:$IV$94</definedName>
    <definedName name="b_u_15">'[4]QRE''s'!$A$59:$IV$94</definedName>
    <definedName name="b_u_16">'[4]QRE''s'!$A$63:$IV$94</definedName>
    <definedName name="b_u_17">'[4]QRE''s'!$A$67:$IV$94</definedName>
    <definedName name="b_u_18">'[4]QRE''s'!$A$71:$IV$94</definedName>
    <definedName name="b_u_19">'[4]QRE''s'!$A$75:$IV$94</definedName>
    <definedName name="b_u_2">'[4]QRE''s'!$A$11:$IV$94</definedName>
    <definedName name="b_u_20">'[4]QRE''s'!$A$79:$IV$94</definedName>
    <definedName name="b_u_21">'[4]QRE''s'!$A$83:$IV$94</definedName>
    <definedName name="b_u_22">'[4]QRE''s'!$A$87:$IV$94</definedName>
    <definedName name="b_u_23">'[4]QRE''s'!$A$91:$IV$94</definedName>
    <definedName name="b_u_3">'[4]QRE''s'!$A$11:$IV$94</definedName>
    <definedName name="b_u_4">'[4]QRE''s'!$A$15:$IV$94</definedName>
    <definedName name="b_u_5">'[4]QRE''s'!$A$19:$IV$94</definedName>
    <definedName name="b_u_6">'[4]QRE''s'!$A$23:$IV$94</definedName>
    <definedName name="b_u_7">'[4]QRE''s'!$A$27:$IV$94</definedName>
    <definedName name="b_u_8">'[4]QRE''s'!$A$31:$IV$94</definedName>
    <definedName name="b_u_9">'[4]QRE''s'!$A$35:$IV$94</definedName>
    <definedName name="Balance_Sheet">#REF!</definedName>
    <definedName name="Balance_Sheet_Date">[13]Update!$B$3</definedName>
    <definedName name="Balance_Sheet_Heading">[13]Update!$B$4</definedName>
    <definedName name="bankidrange">[14]Control!$AI$5:$AI$1012</definedName>
    <definedName name="Base">#REF!</definedName>
    <definedName name="BASE_DETAIL_QRE">[4]Sens_QRE_Factor!$D$8:$H$98</definedName>
    <definedName name="BASE_MESSAGE">#REF!</definedName>
    <definedName name="BASE_QRES">[4]Sens_QRE_Factor!$D$8:$H$98</definedName>
    <definedName name="BASE_QRES0.75">'[4]QRE Charts'!$E$366</definedName>
    <definedName name="BASE_QRES0.80">'[4]QRE Charts'!$F$366</definedName>
    <definedName name="BASE_QRES0.85">'[4]QRE Charts'!$G$366</definedName>
    <definedName name="BASE_QRES0.90">'[4]QRE Charts'!$H$366</definedName>
    <definedName name="BASE_QRES0.95">'[4]QRE Charts'!$I$366</definedName>
    <definedName name="BASE_QRES1.00">'[4]QRE Charts'!$J$366</definedName>
    <definedName name="BASE_QRES1.05">'[4]QRE Charts'!$K$366</definedName>
    <definedName name="BASE_QRES1.10">'[4]QRE Charts'!$L$366</definedName>
    <definedName name="BASE_QRES1.15">'[4]QRE Charts'!$M$366</definedName>
    <definedName name="BASE_QRES1.20">'[4]QRE Charts'!$N$366</definedName>
    <definedName name="BASE_QRES1.25">'[4]QRE Charts'!$O$366</definedName>
    <definedName name="BASE_SENS_FACT">#REF!</definedName>
    <definedName name="Baseline">'[15]Valid Table Values'!#REF!</definedName>
    <definedName name="bcbcvb">'[8]2005 CapEx (By VP By Dept) Budg'!$A$3:$P$431</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[16]Assumptions!#REF!</definedName>
    <definedName name="BGS_Forecast">[17]Assumptions!#REF!</definedName>
    <definedName name="BGS_Rate">#REF!</definedName>
    <definedName name="Bi10LTIP_Table">'[18]98LTIP6b-10b'!$A$7:$D$17</definedName>
    <definedName name="BILLED_KWHs">#REF!</definedName>
    <definedName name="BILLED_KWHsNEW">#REF!</definedName>
    <definedName name="Black_Box">[19]Assumptions!$E$41</definedName>
    <definedName name="BLE_Close_Date">[16]Assumptions!$E$16</definedName>
    <definedName name="BLE_Resid">[20]Assumptions!$E$20</definedName>
    <definedName name="BLE_Strand">'[16]TBC Rate Summary'!$B$32:$H$214</definedName>
    <definedName name="BLEwd">[16]Assumptions!$E$19</definedName>
    <definedName name="bpgr84">[4]Print!$C$48</definedName>
    <definedName name="bpgr85">[4]Print!$E$48</definedName>
    <definedName name="bpgr86">[4]Print!$G$48</definedName>
    <definedName name="bpgr87">[4]Print!$I$48</definedName>
    <definedName name="bpgr88">[4]Print!$K$48</definedName>
    <definedName name="bpqre84">[4]Print!$C$41</definedName>
    <definedName name="bpqre85">[4]Print!$E$41</definedName>
    <definedName name="bpqre86">[4]Print!$G$41</definedName>
    <definedName name="bpqre87">[4]Print!$I$41</definedName>
    <definedName name="bpqre88">[4]Print!$K$41</definedName>
    <definedName name="BPU_Assessment">[16]Assumptions!$E$37</definedName>
    <definedName name="Brett041">'[8]2005 CapEx (By VP By Dept) Budg'!$A$3:$P$431</definedName>
    <definedName name="Brett0415">'[8]2005 CapEx (By VP By Dept) Budg'!$A$3:$P$431</definedName>
    <definedName name="Brett0416">#REF!</definedName>
    <definedName name="Brett042">#REF!</definedName>
    <definedName name="brett0420">'[8]2005 CapEx (By VP By Dept) Budg'!$A$3:$P$431</definedName>
    <definedName name="brett0421">#REF!</definedName>
    <definedName name="Brett0422">'[8]2005 CapEx (By VP By Dept) Budg'!$A$3:$P$431</definedName>
    <definedName name="Brett0423">#REF!</definedName>
    <definedName name="Brett0601">'[8]2005 CapEx (By VP By Dept) Budg'!$A$3:$P$431</definedName>
    <definedName name="Brett0602">#REF!</definedName>
    <definedName name="Brett403">'[8]2005 CapEx (By VP By Dept) Budg'!$A$3:$P$431</definedName>
    <definedName name="Brett404">#REF!</definedName>
    <definedName name="Brett406">'[8]2005 CapEx (By VP By Dept) Budg'!$A$3:$P$431</definedName>
    <definedName name="Brett407">#REF!</definedName>
    <definedName name="Brett408">'[8]2005 CapEx (By VP By Dept) Budg'!$A$3:$P$431</definedName>
    <definedName name="Brett409">#REF!</definedName>
    <definedName name="Brett410">'[8]2005 CapEx (By VP By Dept) Budg'!$A$3:$P$431</definedName>
    <definedName name="Brett411">#REF!</definedName>
    <definedName name="Brett418">'[8]2005 CapEx (By VP By Dept) Budg'!$A$3:$P$431</definedName>
    <definedName name="Brett419">#REF!</definedName>
    <definedName name="BSYEAREND">[21]SETUP!$C$21</definedName>
    <definedName name="bu10total84">[4]B_U_10!$C$95</definedName>
    <definedName name="bu10total84a">[4]B_U_10!$C$103</definedName>
    <definedName name="bu10total85">[4]B_U_10!$D$95</definedName>
    <definedName name="bu10total85a">[4]B_U_10!$D$103</definedName>
    <definedName name="bu10total86">[4]B_U_10!$E$95</definedName>
    <definedName name="bu10total86a">[4]B_U_10!$E$103</definedName>
    <definedName name="bu10total87">[4]B_U_10!$F$95</definedName>
    <definedName name="bu10total87a">[4]B_U_10!$F$103</definedName>
    <definedName name="bu10total88">[4]B_U_10!$G$95</definedName>
    <definedName name="bu10total88a">[4]B_U_10!$G$103</definedName>
    <definedName name="bu10total89">[4]B_U_10!$H$95</definedName>
    <definedName name="bu10total89a">[4]B_U_10!$H$103</definedName>
    <definedName name="bu10total90">[4]B_U_10!$I$95</definedName>
    <definedName name="bu10total90a">[4]B_U_10!$I$103</definedName>
    <definedName name="bu10total91">[4]B_U_10!$J$95</definedName>
    <definedName name="bu10total91a">[4]B_U_10!$J$103</definedName>
    <definedName name="bu10total92">[4]B_U_10!$K$95</definedName>
    <definedName name="bu10total92a">[4]B_U_10!$K$103</definedName>
    <definedName name="bu10total93">[4]B_U_10!$L$95</definedName>
    <definedName name="bu10total93a">[4]B_U_10!$L$103</definedName>
    <definedName name="bu10total94">[4]B_U_10!$M$95</definedName>
    <definedName name="bu10total94a">[4]B_U_10!$M$103</definedName>
    <definedName name="bu10total95">[4]B_U_10!$N$95</definedName>
    <definedName name="bu10total95a">[4]B_U_10!$N$103</definedName>
    <definedName name="bu10total96">[4]B_U_10!$O$95</definedName>
    <definedName name="bu10total96a">[4]B_U_10!$O$103</definedName>
    <definedName name="bu10total97">[4]B_U_10!$P$95</definedName>
    <definedName name="bu10total97a">[4]B_U_10!$P$103</definedName>
    <definedName name="bu10total98">[4]B_U_10!$Q$95</definedName>
    <definedName name="bu10total98a">[4]B_U_10!$Q$103</definedName>
    <definedName name="bu11total84">[4]B_U_11!$C$95</definedName>
    <definedName name="bu11total84a">[4]B_U_11!$C$103</definedName>
    <definedName name="bu11total85">[4]B_U_11!$D$95</definedName>
    <definedName name="bu11total85a">[4]B_U_11!$D$103</definedName>
    <definedName name="bu11total86">[4]B_U_11!$E$95</definedName>
    <definedName name="bu11total86a">[4]B_U_11!$E$103</definedName>
    <definedName name="bu11total87">[4]B_U_11!$F$95</definedName>
    <definedName name="bu11total87a">[4]B_U_11!$F$103</definedName>
    <definedName name="bu11total88">[4]B_U_11!$G$95</definedName>
    <definedName name="bu11total88a">[4]B_U_11!$G$103</definedName>
    <definedName name="bu11total89">[4]B_U_11!$H$95</definedName>
    <definedName name="bu11total89a">[4]B_U_11!$H$103</definedName>
    <definedName name="bu11total90">[4]B_U_11!$I$95</definedName>
    <definedName name="bu11total90a">[4]B_U_11!$I$103</definedName>
    <definedName name="bu11total91">[4]B_U_11!$J$95</definedName>
    <definedName name="bu11total91a">[4]B_U_11!$J$103</definedName>
    <definedName name="bu11total92">[4]B_U_11!$K$95</definedName>
    <definedName name="bu11total92a">[4]B_U_11!$K$103</definedName>
    <definedName name="bu11total93">[4]B_U_11!$L$95</definedName>
    <definedName name="bu11total93a">[4]B_U_11!$L$103</definedName>
    <definedName name="bu11total94">[4]B_U_11!$M$95</definedName>
    <definedName name="bu11total94a">[4]B_U_11!$M$103</definedName>
    <definedName name="bu11total95">[4]B_U_11!$N$95</definedName>
    <definedName name="bu11total95a">[4]B_U_11!$N$103</definedName>
    <definedName name="bu11total96">[4]B_U_11!$O$95</definedName>
    <definedName name="bu11total96a">[4]B_U_11!$O$103</definedName>
    <definedName name="bu11total97">[4]B_U_11!$P$95</definedName>
    <definedName name="bu11total97a">[4]B_U_11!$P$103</definedName>
    <definedName name="bu11total98">[4]B_U_11!$Q$95</definedName>
    <definedName name="bu11total98a">[4]B_U_11!$Q$103</definedName>
    <definedName name="bu12total84">[4]B_U_12!$C$95</definedName>
    <definedName name="bu12total84a">[4]B_U_12!$C$103</definedName>
    <definedName name="bu12total85">[4]B_U_12!$D$95</definedName>
    <definedName name="bu12total85a">[4]B_U_12!$D$103</definedName>
    <definedName name="bu12total86">[4]B_U_12!$E$95</definedName>
    <definedName name="bu12total86a">[4]B_U_12!$E$103</definedName>
    <definedName name="bu12total87">[4]B_U_12!$F$95</definedName>
    <definedName name="bu12total87a">[4]B_U_12!$F$103</definedName>
    <definedName name="bu12total88">[4]B_U_12!$G$95</definedName>
    <definedName name="bu12total88a">[4]B_U_12!$G$103</definedName>
    <definedName name="bu12total89">[4]B_U_12!$H$95</definedName>
    <definedName name="bu12total89a">[4]B_U_12!$H$103</definedName>
    <definedName name="bu12total90">[4]B_U_12!$I$95</definedName>
    <definedName name="bu12total90a">[4]B_U_12!$I$103</definedName>
    <definedName name="bu12total91">[4]B_U_12!$J$95</definedName>
    <definedName name="bu12total91a">[4]B_U_12!$J$103</definedName>
    <definedName name="bu12total92">[4]B_U_12!$K$95</definedName>
    <definedName name="bu12total92a">[4]B_U_12!$K$103</definedName>
    <definedName name="bu12total93">[4]B_U_12!$L$95</definedName>
    <definedName name="bu12total93a">[4]B_U_12!$L$103</definedName>
    <definedName name="bu12total94">[4]B_U_12!$M$95</definedName>
    <definedName name="bu12total94a">[4]B_U_12!$M$103</definedName>
    <definedName name="bu12total95">[4]B_U_12!$N$95</definedName>
    <definedName name="bu12total95a">[4]B_U_12!$N$103</definedName>
    <definedName name="bu12total96">[4]B_U_12!$O$95</definedName>
    <definedName name="bu12total96a">[4]B_U_12!$O$103</definedName>
    <definedName name="bu12total97">[4]B_U_12!$P$95</definedName>
    <definedName name="bu12total97a">[4]B_U_12!$P$103</definedName>
    <definedName name="bu12total98">[4]B_U_12!$Q$95</definedName>
    <definedName name="bu12total98a">[4]B_U_12!$Q$103</definedName>
    <definedName name="bu13total84">[4]B_U_13!$C$95</definedName>
    <definedName name="bu13total84a">[4]B_U_13!$C$103</definedName>
    <definedName name="bu13total85">[4]B_U_13!$D$95</definedName>
    <definedName name="bu13total85a">[4]B_U_13!$D$103</definedName>
    <definedName name="bu13total86">[4]B_U_13!$E$95</definedName>
    <definedName name="bu13total86a">[4]B_U_13!$E$103</definedName>
    <definedName name="bu13total87">[4]B_U_13!$F$95</definedName>
    <definedName name="bu13total87a">[4]B_U_13!$F$103</definedName>
    <definedName name="bu13total88">[4]B_U_13!$G$95</definedName>
    <definedName name="bu13total88a">[4]B_U_13!$G$103</definedName>
    <definedName name="bu13total89">[4]B_U_13!$H$95</definedName>
    <definedName name="bu13total89a">[4]B_U_13!$H$103</definedName>
    <definedName name="bu13total90">[4]B_U_13!$I$95</definedName>
    <definedName name="bu13total90a">[4]B_U_13!$I$103</definedName>
    <definedName name="bu13total91">[4]B_U_13!$J$95</definedName>
    <definedName name="bu13total91a">[4]B_U_13!$J$103</definedName>
    <definedName name="bu13total92">[4]B_U_13!$K$95</definedName>
    <definedName name="bu13total92a">[4]B_U_13!$K$103</definedName>
    <definedName name="bu13total93">[4]B_U_13!$L$95</definedName>
    <definedName name="bu13total93a">[4]B_U_13!$L$103</definedName>
    <definedName name="bu13total94">[4]B_U_13!$M$95</definedName>
    <definedName name="bu13total94a">[4]B_U_13!$M$103</definedName>
    <definedName name="bu13total95">[4]B_U_13!$N$95</definedName>
    <definedName name="bu13total95a">[4]B_U_13!$N$103</definedName>
    <definedName name="bu13total96">[4]B_U_13!$O$95</definedName>
    <definedName name="bu13total96a">[4]B_U_13!$O$103</definedName>
    <definedName name="bu13total97">[4]B_U_13!$P$95</definedName>
    <definedName name="bu13total97a">[4]B_U_13!$P$103</definedName>
    <definedName name="bu13total98">[4]B_U_13!$Q$95</definedName>
    <definedName name="bu13total98a">[4]B_U_13!$Q$103</definedName>
    <definedName name="bu14total84">[4]B_U_14!$C$95</definedName>
    <definedName name="bu14total84a">[4]B_U_14!$C$103</definedName>
    <definedName name="bu14total85">[4]B_U_14!$D$95</definedName>
    <definedName name="bu14total85a">[4]B_U_14!$D$103</definedName>
    <definedName name="bu14total86">[4]B_U_14!$E$95</definedName>
    <definedName name="bu14total86a">[4]B_U_14!$E$103</definedName>
    <definedName name="bu14total87">[4]B_U_14!$F$95</definedName>
    <definedName name="bu14total87a">[4]B_U_14!$F$103</definedName>
    <definedName name="bu14total88">[4]B_U_14!$G$95</definedName>
    <definedName name="bu14total88a">[4]B_U_14!$G$103</definedName>
    <definedName name="bu14total89">[4]B_U_14!$H$95</definedName>
    <definedName name="bu14total89a">[4]B_U_14!$H$103</definedName>
    <definedName name="bu14total90">[4]B_U_14!$I$95</definedName>
    <definedName name="bu14total90a">[4]B_U_14!$I$103</definedName>
    <definedName name="bu14total91">[4]B_U_14!$J$95</definedName>
    <definedName name="bu14total91a">[4]B_U_14!$J$103</definedName>
    <definedName name="bu14total92">[4]B_U_14!$K$95</definedName>
    <definedName name="bu14total92a">[4]B_U_14!$K$103</definedName>
    <definedName name="bu14total93">[4]B_U_14!$L$95</definedName>
    <definedName name="bu14total93a">[4]B_U_14!$L$103</definedName>
    <definedName name="bu14total94">[4]B_U_14!$M$95</definedName>
    <definedName name="bu14total94a">[4]B_U_14!$M$103</definedName>
    <definedName name="bu14total95">[4]B_U_14!$N$95</definedName>
    <definedName name="bu14total95a">[4]B_U_14!$N$103</definedName>
    <definedName name="bu14total96">[4]B_U_14!$O$95</definedName>
    <definedName name="bu14total96a">[4]B_U_14!$O$103</definedName>
    <definedName name="bu14total97">[4]B_U_14!$P$95</definedName>
    <definedName name="bu14total97a">[4]B_U_14!$P$103</definedName>
    <definedName name="bu14total98">[4]B_U_14!$Q$95</definedName>
    <definedName name="bu14total98a">[4]B_U_14!$Q$103</definedName>
    <definedName name="bu15total84">[4]B_U_15!$C$95</definedName>
    <definedName name="bu15total84a">[4]B_U_15!$C$103</definedName>
    <definedName name="bu15total85">[4]B_U_15!$D$95</definedName>
    <definedName name="bu15total85a">[4]B_U_15!$D$103</definedName>
    <definedName name="bu15total86">[4]B_U_15!$E$95</definedName>
    <definedName name="bu15total86a">[4]B_U_15!$E$103</definedName>
    <definedName name="bu15total87">[4]B_U_15!$F$95</definedName>
    <definedName name="bu15total87a">[4]B_U_15!$F$103</definedName>
    <definedName name="bu15total88">[4]B_U_15!$G$95</definedName>
    <definedName name="bu15total88a">[4]B_U_15!$G$103</definedName>
    <definedName name="bu15total89">[4]B_U_15!$H$95</definedName>
    <definedName name="bu15total89a">[4]B_U_15!$H$103</definedName>
    <definedName name="bu15total90">[4]B_U_15!$I$95</definedName>
    <definedName name="bu15total90a">[4]B_U_15!$I$103</definedName>
    <definedName name="bu15total91">[4]B_U_15!$J$95</definedName>
    <definedName name="bu15total91a">[4]B_U_15!$J$103</definedName>
    <definedName name="bu15total92">[4]B_U_15!$K$95</definedName>
    <definedName name="bu15total92a">[4]B_U_15!$K$103</definedName>
    <definedName name="bu15total93">[4]B_U_15!$L$95</definedName>
    <definedName name="bu15total93a">[4]B_U_15!$L$103</definedName>
    <definedName name="bu15total94">[4]B_U_15!$M$95</definedName>
    <definedName name="bu15total94a">[4]B_U_15!$M$103</definedName>
    <definedName name="bu15total95">[4]B_U_15!$N$95</definedName>
    <definedName name="bu15total95a">[4]B_U_15!$N$103</definedName>
    <definedName name="bu15total96">[4]B_U_15!$O$95</definedName>
    <definedName name="bu15total96a">[4]B_U_15!$O$103</definedName>
    <definedName name="bu15total97">[4]B_U_15!$P$95</definedName>
    <definedName name="bu15total97a">[4]B_U_15!$P$103</definedName>
    <definedName name="bu15total98">[4]B_U_15!$Q$95</definedName>
    <definedName name="bu15total98a">[4]B_U_15!$Q$103</definedName>
    <definedName name="bu16total84">[4]B_U_16!$C$95</definedName>
    <definedName name="bu16total84a">[4]B_U_16!$C$103</definedName>
    <definedName name="bu16total85">[4]B_U_16!$D$95</definedName>
    <definedName name="bu16total85a">[4]B_U_16!$D$103</definedName>
    <definedName name="bu16total86">[4]B_U_16!$E$95</definedName>
    <definedName name="bu16total86a">[4]B_U_16!$E$103</definedName>
    <definedName name="bu16total87">[4]B_U_16!$F$95</definedName>
    <definedName name="bu16total87a">[4]B_U_16!$F$103</definedName>
    <definedName name="bu16total88">[4]B_U_16!$G$95</definedName>
    <definedName name="bu16total88a">[4]B_U_16!$G$103</definedName>
    <definedName name="bu16total89">[4]B_U_16!$H$95</definedName>
    <definedName name="bu16total89a">[4]B_U_16!$H$103</definedName>
    <definedName name="bu16total90">[4]B_U_16!$I$95</definedName>
    <definedName name="bu16total90a">[4]B_U_16!$I$103</definedName>
    <definedName name="bu16total91">[4]B_U_16!$J$95</definedName>
    <definedName name="bu16total91a">[4]B_U_16!$J$103</definedName>
    <definedName name="bu16total92">[4]B_U_16!$K$95</definedName>
    <definedName name="bu16total92a">[4]B_U_16!$K$103</definedName>
    <definedName name="bu16total93">[4]B_U_16!$L$95</definedName>
    <definedName name="bu16total93a">[4]B_U_16!$L$103</definedName>
    <definedName name="bu16total94">[4]B_U_16!$M$95</definedName>
    <definedName name="bu16total94a">[4]B_U_16!$M$103</definedName>
    <definedName name="bu16total95">[4]B_U_16!$N$95</definedName>
    <definedName name="bu16total95a">[4]B_U_16!$N$103</definedName>
    <definedName name="bu16total96">[4]B_U_16!$O$95</definedName>
    <definedName name="bu16total96a">[4]B_U_16!$O$103</definedName>
    <definedName name="bu16total97">[4]B_U_16!$P$95</definedName>
    <definedName name="bu16total97a">[4]B_U_16!$P$103</definedName>
    <definedName name="bu16total98">[4]B_U_16!$Q$95</definedName>
    <definedName name="bu16total98a">[4]B_U_16!$Q$103</definedName>
    <definedName name="bu17total84">[4]B_U_17!$C$95</definedName>
    <definedName name="bu17total84a">[4]B_U_17!$C$103</definedName>
    <definedName name="bu17total85">[4]B_U_17!$D$95</definedName>
    <definedName name="bu17total85a">[4]B_U_17!$D$103</definedName>
    <definedName name="bu17total86">[4]B_U_17!$E$95</definedName>
    <definedName name="bu17total86a">[4]B_U_17!$E$103</definedName>
    <definedName name="bu17total87">[4]B_U_17!$F$95</definedName>
    <definedName name="bu17total87a">[4]B_U_17!$F$103</definedName>
    <definedName name="bu17total88">[4]B_U_17!$G$95</definedName>
    <definedName name="bu17total88a">[4]B_U_17!$G$103</definedName>
    <definedName name="bu17total89">[4]B_U_17!$H$95</definedName>
    <definedName name="bu17total89a">[4]B_U_17!$H$103</definedName>
    <definedName name="bu17total90">[4]B_U_17!$I$95</definedName>
    <definedName name="bu17total90a">[4]B_U_17!$I$103</definedName>
    <definedName name="bu17total91">[4]B_U_17!$J$95</definedName>
    <definedName name="bu17total91a">[4]B_U_17!$J$103</definedName>
    <definedName name="bu17total92">[4]B_U_17!$K$95</definedName>
    <definedName name="bu17total92a">[4]B_U_17!$K$103</definedName>
    <definedName name="bu17total93">[4]B_U_17!$L$95</definedName>
    <definedName name="bu17total93a">[4]B_U_17!$L$103</definedName>
    <definedName name="bu17total94">[4]B_U_17!$M$95</definedName>
    <definedName name="bu17total94a">[4]B_U_17!$M$103</definedName>
    <definedName name="bu17total95">[4]B_U_17!$N$95</definedName>
    <definedName name="bu17total95a">[4]B_U_17!$N$103</definedName>
    <definedName name="bu17total96">[4]B_U_17!$O$95</definedName>
    <definedName name="bu17total96a">[4]B_U_17!$O$103</definedName>
    <definedName name="bu17total97">[4]B_U_17!$P$95</definedName>
    <definedName name="bu17total97a">[4]B_U_17!$P$103</definedName>
    <definedName name="bu17total98">[4]B_U_17!$Q$95</definedName>
    <definedName name="bu17total98a">[4]B_U_17!$Q$103</definedName>
    <definedName name="bu18total84">[4]B_U_18!$C$95</definedName>
    <definedName name="bu18total84a">[4]B_U_18!$C$103</definedName>
    <definedName name="bu18total85">[4]B_U_18!$D$95</definedName>
    <definedName name="bu18total85a">[4]B_U_18!$D$103</definedName>
    <definedName name="bu18total86">[4]B_U_18!$E$95</definedName>
    <definedName name="bu18total86a">[4]B_U_18!$E$103</definedName>
    <definedName name="bu18total87">[4]B_U_18!$F$95</definedName>
    <definedName name="bu18total87a">[4]B_U_18!$F$103</definedName>
    <definedName name="bu18total88">[4]B_U_18!$G$95</definedName>
    <definedName name="bu18total88a">[4]B_U_18!$G$103</definedName>
    <definedName name="bu18total89">[4]B_U_18!$H$95</definedName>
    <definedName name="bu18total89a">[4]B_U_18!$H$103</definedName>
    <definedName name="bu18total90">[4]B_U_18!$I$95</definedName>
    <definedName name="bu18total90a">[4]B_U_18!$I$103</definedName>
    <definedName name="bu18total91">[4]B_U_18!$J$95</definedName>
    <definedName name="bu18total91a">[4]B_U_18!$J$103</definedName>
    <definedName name="bu18total92">[4]B_U_18!$K$95</definedName>
    <definedName name="bu18total92a">[4]B_U_18!$K$103</definedName>
    <definedName name="bu18total93">[4]B_U_18!$L$95</definedName>
    <definedName name="bu18total93a">[4]B_U_18!$L$103</definedName>
    <definedName name="bu18total94">[4]B_U_18!$M$95</definedName>
    <definedName name="bu18total94a">[4]B_U_18!$M$103</definedName>
    <definedName name="bu18total95">[4]B_U_18!$N$95</definedName>
    <definedName name="bu18total95a">[4]B_U_18!$N$103</definedName>
    <definedName name="bu18total96">[4]B_U_18!$O$95</definedName>
    <definedName name="bu18total96a">[4]B_U_18!$O$103</definedName>
    <definedName name="bu18total97">[4]B_U_18!$P$95</definedName>
    <definedName name="bu18total97a">[4]B_U_18!$P$103</definedName>
    <definedName name="bu18total98">[4]B_U_18!$Q$95</definedName>
    <definedName name="bu18total98a">[4]B_U_18!$Q$103</definedName>
    <definedName name="bu19total84">[4]B_U_19!$C$95</definedName>
    <definedName name="bu19total84a">[4]B_U_19!$C$103</definedName>
    <definedName name="bu19total85">[4]B_U_19!$D$95</definedName>
    <definedName name="bu19total85a">[4]B_U_19!$D$103</definedName>
    <definedName name="bu19total86">[4]B_U_19!$E$95</definedName>
    <definedName name="bu19total86a">[4]B_U_19!$E$103</definedName>
    <definedName name="bu19total87">[4]B_U_19!$F$95</definedName>
    <definedName name="bu19total87a">[4]B_U_19!$F$103</definedName>
    <definedName name="bu19total88">[4]B_U_19!$G$95</definedName>
    <definedName name="bu19total88a">[4]B_U_19!$G$103</definedName>
    <definedName name="bu19total89">[4]B_U_19!$H$95</definedName>
    <definedName name="bu19total89a">[4]B_U_19!$H$103</definedName>
    <definedName name="bu19total90">[4]B_U_19!$I$95</definedName>
    <definedName name="bu19total90a">[4]B_U_19!$I$103</definedName>
    <definedName name="bu19total91">[4]B_U_19!$J$95</definedName>
    <definedName name="bu19total91a">[4]B_U_19!$J$103</definedName>
    <definedName name="bu19total92">[4]B_U_19!$K$95</definedName>
    <definedName name="bu19total92a">[4]B_U_19!$K$103</definedName>
    <definedName name="bu19total93">[4]B_U_19!$L$95</definedName>
    <definedName name="bu19total93a">[4]B_U_19!$L$103</definedName>
    <definedName name="bu19total94">[4]B_U_19!$M$95</definedName>
    <definedName name="bu19total94a">[4]B_U_19!$M$103</definedName>
    <definedName name="bu19total95">[4]B_U_19!$N$95</definedName>
    <definedName name="bu19total95a">[4]B_U_19!$N$103</definedName>
    <definedName name="bu19total96">[4]B_U_19!$O$95</definedName>
    <definedName name="bu19total96a">[4]B_U_19!$O$103</definedName>
    <definedName name="bu19total97">[4]B_U_19!$P$95</definedName>
    <definedName name="bu19total97a">[4]B_U_19!$P$103</definedName>
    <definedName name="bu19total98">[4]B_U_19!$Q$95</definedName>
    <definedName name="bu19total98a">[4]B_U_19!$Q$103</definedName>
    <definedName name="bu1total84">'[4]PHASE II'!$C$95</definedName>
    <definedName name="bu1total84a">'[4]PHASE II'!$C$103</definedName>
    <definedName name="bu1total85">'[4]PHASE II'!$D$95</definedName>
    <definedName name="bu1total85a">'[4]PHASE II'!$D$103</definedName>
    <definedName name="bu1total86">'[4]PHASE II'!$E$95</definedName>
    <definedName name="bu1total86a">'[4]PHASE II'!$E$103</definedName>
    <definedName name="bu1total87">'[4]PHASE II'!$F$95</definedName>
    <definedName name="bu1total87a">'[4]PHASE II'!$F$103</definedName>
    <definedName name="bu1total88">'[4]PHASE II'!$G$95</definedName>
    <definedName name="bu1total88a">'[4]PHASE II'!$G$103</definedName>
    <definedName name="bu1total89">'[4]PHASE II'!$H$95</definedName>
    <definedName name="bu1total89a">'[4]PHASE II'!$H$103</definedName>
    <definedName name="bu1total90">'[4]PHASE II'!$I$95</definedName>
    <definedName name="bu1total90a">'[4]PHASE II'!$I$103</definedName>
    <definedName name="bu1total91">'[4]PHASE II'!$K$95</definedName>
    <definedName name="bu1total91a">'[4]PHASE II'!$K$103</definedName>
    <definedName name="bu1total92">'[4]PHASE II'!$M$95</definedName>
    <definedName name="bu1total92a">'[4]PHASE II'!$M$103</definedName>
    <definedName name="bu1total93">'[4]PHASE II'!$O$95</definedName>
    <definedName name="bu1total93a">'[4]PHASE II'!$O$103</definedName>
    <definedName name="bu1total94">'[4]PHASE II'!$Q$95</definedName>
    <definedName name="bu1total94a">'[4]PHASE II'!$Q$103</definedName>
    <definedName name="bu1total95">'[4]PHASE II'!$S$95</definedName>
    <definedName name="bu1total95a">'[4]PHASE II'!$S$103</definedName>
    <definedName name="bu1total96">'[4]PHASE II'!$T$95</definedName>
    <definedName name="bu1total96a">'[4]PHASE II'!$T$103</definedName>
    <definedName name="bu1total97">'[4]PHASE II'!$U$95</definedName>
    <definedName name="bu1total97a">'[4]PHASE II'!$U$103</definedName>
    <definedName name="bu1total98">'[4]PHASE II'!$W$95</definedName>
    <definedName name="bu1total98a">'[4]PHASE II'!$W$103</definedName>
    <definedName name="bu20total84">[4]B_U_20!$C$95</definedName>
    <definedName name="bu20total84a">[4]B_U_20!$C$103</definedName>
    <definedName name="bu20total85">[4]B_U_20!$D$95</definedName>
    <definedName name="bu20total85a">[4]B_U_20!$D$103</definedName>
    <definedName name="bu20total86">[4]B_U_20!$E$95</definedName>
    <definedName name="bu20total86a">[4]B_U_20!$E$103</definedName>
    <definedName name="bu20total87">[4]B_U_20!$F$95</definedName>
    <definedName name="bu20total87a">[4]B_U_20!$F$103</definedName>
    <definedName name="bu20total88">[4]B_U_20!$G$95</definedName>
    <definedName name="bu20total88a">[4]B_U_20!$G$103</definedName>
    <definedName name="bu20total89">[4]B_U_20!$H$95</definedName>
    <definedName name="bu20total89a">[4]B_U_20!$H$103</definedName>
    <definedName name="bu20total90">[4]B_U_20!$I$95</definedName>
    <definedName name="bu20total90a">[4]B_U_20!$I$103</definedName>
    <definedName name="bu20total91">[4]B_U_20!$J$95</definedName>
    <definedName name="bu20total91a">[4]B_U_20!$J$103</definedName>
    <definedName name="bu20total92">[4]B_U_20!$K$95</definedName>
    <definedName name="bu20total92a">[4]B_U_20!$K$103</definedName>
    <definedName name="bu20total93">[4]B_U_20!$L$95</definedName>
    <definedName name="bu20total93a">[4]B_U_20!$L$103</definedName>
    <definedName name="bu20total94">[4]B_U_20!$M$95</definedName>
    <definedName name="bu20total94a">[4]B_U_20!$M$103</definedName>
    <definedName name="bu20total95">[4]B_U_20!$N$95</definedName>
    <definedName name="bu20total95a">[4]B_U_20!$N$103</definedName>
    <definedName name="bu20total96">[4]B_U_20!$O$95</definedName>
    <definedName name="bu20total96a">[4]B_U_20!$O$103</definedName>
    <definedName name="bu20total97">[4]B_U_20!$P$95</definedName>
    <definedName name="bu20total97a">[4]B_U_20!$P$103</definedName>
    <definedName name="bu20total98">[4]B_U_20!$Q$95</definedName>
    <definedName name="bu20total98a">[4]B_U_20!$Q$103</definedName>
    <definedName name="bu21total84">[4]B_U_21!$C$95</definedName>
    <definedName name="bu21total84a">[4]B_U_21!$C$103</definedName>
    <definedName name="bu21total85">[4]B_U_21!$D$95</definedName>
    <definedName name="bu21total85a">[4]B_U_21!$D$103</definedName>
    <definedName name="bu21total86">[4]B_U_21!$E$95</definedName>
    <definedName name="bu21total86a">[4]B_U_21!$E$103</definedName>
    <definedName name="bu21total87">[4]B_U_21!$F$95</definedName>
    <definedName name="bu21total87a">[4]B_U_21!$F$103</definedName>
    <definedName name="bu21total88">[4]B_U_21!$G$95</definedName>
    <definedName name="bu21total88a">[4]B_U_21!$G$103</definedName>
    <definedName name="bu21total89">[4]B_U_21!$H$95</definedName>
    <definedName name="bu21total89a">[4]B_U_21!$H$103</definedName>
    <definedName name="bu21total90">[4]B_U_21!$I$95</definedName>
    <definedName name="bu21total90a">[4]B_U_21!$I$103</definedName>
    <definedName name="bu21total91">[4]B_U_21!$J$95</definedName>
    <definedName name="bu21total91a">[4]B_U_21!$J$103</definedName>
    <definedName name="bu21total92">[4]B_U_21!$K$95</definedName>
    <definedName name="bu21total92a">[4]B_U_21!$K$103</definedName>
    <definedName name="bu21total93">[4]B_U_21!$L$95</definedName>
    <definedName name="bu21total93a">[4]B_U_21!$L$103</definedName>
    <definedName name="bu21total94">[4]B_U_21!$M$95</definedName>
    <definedName name="bu21total94a">[4]B_U_21!$M$103</definedName>
    <definedName name="bu21total95">[4]B_U_21!$N$95</definedName>
    <definedName name="bu21total95a">[4]B_U_21!$N$103</definedName>
    <definedName name="bu21total96">[4]B_U_21!$O$95</definedName>
    <definedName name="bu21total96a">[4]B_U_21!$O$103</definedName>
    <definedName name="bu21total97">[4]B_U_21!$P$95</definedName>
    <definedName name="bu21total97a">[4]B_U_21!$P$103</definedName>
    <definedName name="bu21total98">[4]B_U_21!$Q$95</definedName>
    <definedName name="bu21total98a">[4]B_U_21!$Q$103</definedName>
    <definedName name="bu22total84">[4]B_U_22!$C$95</definedName>
    <definedName name="bu22total84a">[4]B_U_22!$C$103</definedName>
    <definedName name="bu22total85">[4]B_U_22!$D$95</definedName>
    <definedName name="bu22total85a">[4]B_U_22!$D$103</definedName>
    <definedName name="bu22total86">[4]B_U_22!$E$95</definedName>
    <definedName name="bu22total86a">[4]B_U_22!$E$103</definedName>
    <definedName name="bu22total87">[4]B_U_22!$F$95</definedName>
    <definedName name="bu22total87a">[4]B_U_22!$F$103</definedName>
    <definedName name="bu22total88">[4]B_U_22!$G$95</definedName>
    <definedName name="bu22total88a">[4]B_U_22!$G$103</definedName>
    <definedName name="bu22total89">[4]B_U_22!$H$95</definedName>
    <definedName name="bu22total89a">[4]B_U_22!$H$103</definedName>
    <definedName name="bu22total90">[4]B_U_22!$I$95</definedName>
    <definedName name="bu22total90a">[4]B_U_22!$I$103</definedName>
    <definedName name="bu22total91">[4]B_U_22!$J$95</definedName>
    <definedName name="bu22total91a">[4]B_U_22!$J$103</definedName>
    <definedName name="bu22total92">[4]B_U_22!$K$95</definedName>
    <definedName name="bu22total92a">[4]B_U_22!$K$103</definedName>
    <definedName name="bu22total93">[4]B_U_22!$L$95</definedName>
    <definedName name="bu22total93a">[4]B_U_22!$L$103</definedName>
    <definedName name="bu22total94">[4]B_U_22!$M$95</definedName>
    <definedName name="bu22total94a">[4]B_U_22!$M$103</definedName>
    <definedName name="bu22total95">[4]B_U_22!$N$95</definedName>
    <definedName name="bu22total95a">[4]B_U_22!$N$103</definedName>
    <definedName name="bu22total96">[4]B_U_22!$O$95</definedName>
    <definedName name="bu22total96a">[4]B_U_22!$O$103</definedName>
    <definedName name="bu22total97">[4]B_U_22!$P$95</definedName>
    <definedName name="bu22total97a">[4]B_U_22!$P$103</definedName>
    <definedName name="bu22total98">[4]B_U_22!$Q$95</definedName>
    <definedName name="bu22total98a">[4]B_U_22!$Q$103</definedName>
    <definedName name="bu23total84">[4]B_U_23!$C$95</definedName>
    <definedName name="bu23total84a">[4]B_U_23!$C$103</definedName>
    <definedName name="bu23total85">[4]B_U_23!$D$95</definedName>
    <definedName name="bu23total85a">[4]B_U_23!$D$103</definedName>
    <definedName name="bu23total86">[4]B_U_23!$E$95</definedName>
    <definedName name="bu23total86a">[4]B_U_23!$E$103</definedName>
    <definedName name="bu23total87">[4]B_U_23!$F$95</definedName>
    <definedName name="bu23total87a">[4]B_U_23!$F$103</definedName>
    <definedName name="bu23total88">[4]B_U_23!$G$95</definedName>
    <definedName name="bu23total88a">[4]B_U_23!$G$103</definedName>
    <definedName name="bu23total89">[4]B_U_23!$H$95</definedName>
    <definedName name="bu23total89a">[4]B_U_23!$H$103</definedName>
    <definedName name="bu23total90">[4]B_U_23!$I$95</definedName>
    <definedName name="bu23total90a">[4]B_U_23!$I$103</definedName>
    <definedName name="bu23total91">[4]B_U_23!$J$95</definedName>
    <definedName name="bu23total91a">[4]B_U_23!$J$103</definedName>
    <definedName name="bu23total92">[4]B_U_23!$K$95</definedName>
    <definedName name="bu23total92a">[4]B_U_23!$K$103</definedName>
    <definedName name="bu23total93">[4]B_U_23!$L$95</definedName>
    <definedName name="bu23total93a">[4]B_U_23!$L$103</definedName>
    <definedName name="bu23total94">[4]B_U_23!$M$95</definedName>
    <definedName name="bu23total94a">[4]B_U_23!$M$103</definedName>
    <definedName name="bu23total95">[4]B_U_23!$N$95</definedName>
    <definedName name="bu23total95a">[4]B_U_23!$N$103</definedName>
    <definedName name="bu23total96">[4]B_U_23!$O$95</definedName>
    <definedName name="bu23total96a">[4]B_U_23!$O$103</definedName>
    <definedName name="bu23total97">[4]B_U_23!$P$95</definedName>
    <definedName name="bu23total97a">[4]B_U_23!$P$103</definedName>
    <definedName name="bu23total98">[4]B_U_23!$Q$95</definedName>
    <definedName name="bu23total98a">[4]B_U_23!$Q$103</definedName>
    <definedName name="bu2total84">'[4]ORIGINAL CLAIM'!$C$95</definedName>
    <definedName name="bu2total84a">'[4]ORIGINAL CLAIM'!$C$103</definedName>
    <definedName name="bu2total85">'[4]ORIGINAL CLAIM'!$D$95</definedName>
    <definedName name="bu2total85a">'[4]ORIGINAL CLAIM'!$D$103</definedName>
    <definedName name="bu2total86">'[4]ORIGINAL CLAIM'!$E$95</definedName>
    <definedName name="bu2total86a">'[4]ORIGINAL CLAIM'!$E$103</definedName>
    <definedName name="bu2total87">'[4]ORIGINAL CLAIM'!$F$95</definedName>
    <definedName name="bu2total87a">'[4]ORIGINAL CLAIM'!$F$103</definedName>
    <definedName name="bu2total88">'[4]ORIGINAL CLAIM'!$G$95</definedName>
    <definedName name="bu2total88a">'[4]ORIGINAL CLAIM'!$G$103</definedName>
    <definedName name="bu2total89">'[4]ORIGINAL CLAIM'!$H$95</definedName>
    <definedName name="bu2total89a">'[4]ORIGINAL CLAIM'!$H$103</definedName>
    <definedName name="bu2total90">'[4]ORIGINAL CLAIM'!$I$95</definedName>
    <definedName name="bu2total90a">'[4]ORIGINAL CLAIM'!$I$103</definedName>
    <definedName name="bu2total91">'[4]ORIGINAL CLAIM'!$J$95</definedName>
    <definedName name="bu2total91a">'[4]ORIGINAL CLAIM'!$J$103</definedName>
    <definedName name="bu2total92">'[4]ORIGINAL CLAIM'!$K$95</definedName>
    <definedName name="bu2total92a">'[4]ORIGINAL CLAIM'!$K$103</definedName>
    <definedName name="bu2total93">'[4]ORIGINAL CLAIM'!$L$95</definedName>
    <definedName name="bu2total93a">'[4]ORIGINAL CLAIM'!$L$103</definedName>
    <definedName name="bu2total94">'[4]ORIGINAL CLAIM'!$M$95</definedName>
    <definedName name="bu2total94a">'[4]ORIGINAL CLAIM'!$M$103</definedName>
    <definedName name="bu2total95">'[4]ORIGINAL CLAIM'!$N$95</definedName>
    <definedName name="bu2total95a">'[4]ORIGINAL CLAIM'!$N$103</definedName>
    <definedName name="bu2total96">'[4]ORIGINAL CLAIM'!$O$95</definedName>
    <definedName name="bu2total96a">'[4]ORIGINAL CLAIM'!$O$103</definedName>
    <definedName name="bu2total97">'[4]ORIGINAL CLAIM'!$P$95</definedName>
    <definedName name="bu2total97a">'[4]ORIGINAL CLAIM'!$P$103</definedName>
    <definedName name="bu2total98">'[4]ORIGINAL CLAIM'!$Q$95</definedName>
    <definedName name="bu2total98a">'[4]ORIGINAL CLAIM'!$Q$103</definedName>
    <definedName name="bu3total84">[4]B_U_3!$C$95</definedName>
    <definedName name="bu3total84a">[4]B_U_3!$C$103</definedName>
    <definedName name="bu3total85">[4]B_U_3!$D$95</definedName>
    <definedName name="bu3total85a">[4]B_U_3!$D$103</definedName>
    <definedName name="bu3total86">[4]B_U_3!$E$95</definedName>
    <definedName name="bu3total86a">[4]B_U_3!$E$103</definedName>
    <definedName name="bu3total87">[4]B_U_3!$F$95</definedName>
    <definedName name="bu3total87a">[4]B_U_3!$F$103</definedName>
    <definedName name="bu3total88">[4]B_U_3!$G$95</definedName>
    <definedName name="bu3total88a">[4]B_U_3!$G$103</definedName>
    <definedName name="bu3total89">[4]B_U_3!$H$95</definedName>
    <definedName name="bu3total89a">[4]B_U_3!$H$103</definedName>
    <definedName name="bu3total90">[4]B_U_3!$I$95</definedName>
    <definedName name="bu3total90a">[4]B_U_3!$I$103</definedName>
    <definedName name="bu3total91">[4]B_U_3!$J$95</definedName>
    <definedName name="bu3total91a">[4]B_U_3!$J$103</definedName>
    <definedName name="bu3total92">[4]B_U_3!$K$95</definedName>
    <definedName name="bu3total92a">[4]B_U_3!$K$103</definedName>
    <definedName name="bu3total93">[4]B_U_3!$L$95</definedName>
    <definedName name="bu3total93a">[4]B_U_3!$L$103</definedName>
    <definedName name="bu3total94">[4]B_U_3!$M$95</definedName>
    <definedName name="bu3total94a">[4]B_U_3!$M$103</definedName>
    <definedName name="bu3total95">[4]B_U_3!$N$95</definedName>
    <definedName name="bu3total95a">[4]B_U_3!$N$103</definedName>
    <definedName name="bu3total96">[4]B_U_3!$O$95</definedName>
    <definedName name="bu3total96a">[4]B_U_3!$O$103</definedName>
    <definedName name="bu3total97">[4]B_U_3!$P$95</definedName>
    <definedName name="bu3total97a">[4]B_U_3!$P$103</definedName>
    <definedName name="bu3total98">[4]B_U_3!$Q$95</definedName>
    <definedName name="bu3total98a">[4]B_U_3!$Q$103</definedName>
    <definedName name="bu4total84">[4]B_U_4!$C$95</definedName>
    <definedName name="bu4total84a">[4]B_U_4!$C$103</definedName>
    <definedName name="bu4total85">[4]B_U_4!$D$95</definedName>
    <definedName name="bu4total85a">[4]B_U_4!$D$103</definedName>
    <definedName name="bu4total86">[4]B_U_4!$E$95</definedName>
    <definedName name="bu4total86a">[4]B_U_4!$E$103</definedName>
    <definedName name="bu4total87">[4]B_U_4!$F$95</definedName>
    <definedName name="bu4total87a">[4]B_U_4!$F$103</definedName>
    <definedName name="bu4total88">[4]B_U_4!$G$95</definedName>
    <definedName name="bu4total88a">[4]B_U_4!$G$103</definedName>
    <definedName name="bu4total89">[4]B_U_4!$H$95</definedName>
    <definedName name="bu4total89a">[4]B_U_4!$H$103</definedName>
    <definedName name="bu4total90">[4]B_U_4!$I$95</definedName>
    <definedName name="bu4total90a">[4]B_U_4!$I$103</definedName>
    <definedName name="bu4total91">[4]B_U_4!$J$95</definedName>
    <definedName name="bu4total91a">[4]B_U_4!$J$103</definedName>
    <definedName name="bu4total92">[4]B_U_4!$K$95</definedName>
    <definedName name="bu4total92a">[4]B_U_4!$K$103</definedName>
    <definedName name="bu4total93">[4]B_U_4!$L$95</definedName>
    <definedName name="bu4total93a">[4]B_U_4!$L$103</definedName>
    <definedName name="bu4total94">[4]B_U_4!$M$95</definedName>
    <definedName name="bu4total94a">[4]B_U_4!$M$103</definedName>
    <definedName name="bu4total95">[4]B_U_4!$N$95</definedName>
    <definedName name="bu4total95a">[4]B_U_4!$N$103</definedName>
    <definedName name="bu4total96">[4]B_U_4!$O$95</definedName>
    <definedName name="bu4total96a">[4]B_U_4!$O$103</definedName>
    <definedName name="bu4total97">[4]B_U_4!$P$95</definedName>
    <definedName name="bu4total97a">[4]B_U_4!$P$103</definedName>
    <definedName name="bu4total98">[4]B_U_4!$Q$95</definedName>
    <definedName name="bu4total98a">[4]B_U_4!$Q$103</definedName>
    <definedName name="bu5total84">[4]B_U_5!$C$95</definedName>
    <definedName name="bu5total84a">[4]B_U_5!$C$103</definedName>
    <definedName name="bu5total85">[4]B_U_5!$D$95</definedName>
    <definedName name="bu5total85a">[4]B_U_5!$D$103</definedName>
    <definedName name="bu5total86">[4]B_U_5!$E$95</definedName>
    <definedName name="bu5total86a">[4]B_U_5!$E$103</definedName>
    <definedName name="bu5total87">[4]B_U_5!$F$95</definedName>
    <definedName name="bu5total87a">[4]B_U_5!$F$103</definedName>
    <definedName name="bu5total88">[4]B_U_5!$G$95</definedName>
    <definedName name="bu5total88a">[4]B_U_5!$G$103</definedName>
    <definedName name="bu5total89">[4]B_U_5!$H$95</definedName>
    <definedName name="bu5total89a">[4]B_U_5!$H$103</definedName>
    <definedName name="bu5total90">[4]B_U_5!$I$95</definedName>
    <definedName name="bu5total90a">[4]B_U_5!$I$103</definedName>
    <definedName name="bu5total91">[4]B_U_5!$J$95</definedName>
    <definedName name="bu5total91a">[4]B_U_5!$J$103</definedName>
    <definedName name="bu5total92">[4]B_U_5!$K$95</definedName>
    <definedName name="bu5total92a">[4]B_U_5!$K$103</definedName>
    <definedName name="bu5total93">[4]B_U_5!$L$95</definedName>
    <definedName name="bu5total93a">[4]B_U_5!$L$103</definedName>
    <definedName name="bu5total94">[4]B_U_5!$M$95</definedName>
    <definedName name="bu5total94a">[4]B_U_5!$M$103</definedName>
    <definedName name="bu5total95">[4]B_U_5!$N$95</definedName>
    <definedName name="bu5total95a">[4]B_U_5!$N$103</definedName>
    <definedName name="bu5total96">[4]B_U_5!$O$95</definedName>
    <definedName name="bu5total96a">[4]B_U_5!$O$103</definedName>
    <definedName name="bu5total97">[4]B_U_5!$P$95</definedName>
    <definedName name="bu5total97a">[4]B_U_5!$P$103</definedName>
    <definedName name="bu5total98">[4]B_U_5!$Q$95</definedName>
    <definedName name="bu5total98a">[4]B_U_5!$Q$103</definedName>
    <definedName name="bu6total84">[4]B_U_6!$C$94</definedName>
    <definedName name="bu6total84a">[4]B_U_6!$C$103</definedName>
    <definedName name="bu6total85">[4]B_U_6!$D$94</definedName>
    <definedName name="bu6total85a">[4]B_U_6!$D$103</definedName>
    <definedName name="bu6total86">[4]B_U_6!$E$94</definedName>
    <definedName name="bu6total86a">[4]B_U_6!$E$103</definedName>
    <definedName name="bu6total87">[4]B_U_6!$F$94</definedName>
    <definedName name="bu6total87a">[4]B_U_6!$F$103</definedName>
    <definedName name="bu6total88">[4]B_U_6!$G$94</definedName>
    <definedName name="bu6total88a">[4]B_U_6!$G$103</definedName>
    <definedName name="bu6total89">[4]B_U_6!$H$94</definedName>
    <definedName name="bu6total89a">[4]B_U_6!$H$103</definedName>
    <definedName name="bu6total90">[4]B_U_6!$I$94</definedName>
    <definedName name="bu6total90a">[4]B_U_6!$I$103</definedName>
    <definedName name="bu6total91">[4]B_U_6!$J$94</definedName>
    <definedName name="bu6total91a">[4]B_U_6!$J$103</definedName>
    <definedName name="bu6total92">[4]B_U_6!$K$94</definedName>
    <definedName name="bu6total92a">[4]B_U_6!$K$103</definedName>
    <definedName name="bu6total93">[4]B_U_6!$L$94</definedName>
    <definedName name="bu6total93a">[4]B_U_6!$L$103</definedName>
    <definedName name="bu6total94">[4]B_U_6!$M$94</definedName>
    <definedName name="bu6total94a">[4]B_U_6!$M$103</definedName>
    <definedName name="bu6total95">[4]B_U_6!$N$94</definedName>
    <definedName name="bu6total95a">[4]B_U_6!$N$103</definedName>
    <definedName name="bu6total96">[4]B_U_6!$O$94</definedName>
    <definedName name="bu6total96a">[4]B_U_6!$O$103</definedName>
    <definedName name="bu6total97">[4]B_U_6!$P$94</definedName>
    <definedName name="bu6total97a">[4]B_U_6!$P$103</definedName>
    <definedName name="bu6total98">[4]B_U_6!$Q$94</definedName>
    <definedName name="bu6total98a">[4]B_U_6!$Q$103</definedName>
    <definedName name="bu7total84">[4]B_U_7!$C$95</definedName>
    <definedName name="bu7total84a">[4]B_U_7!$C$103</definedName>
    <definedName name="bu7total85">[4]B_U_7!$D$95</definedName>
    <definedName name="bu7total85a">[4]B_U_7!$D$103</definedName>
    <definedName name="bu7total86">[4]B_U_7!$E$95</definedName>
    <definedName name="bu7total86a">[4]B_U_7!$E$103</definedName>
    <definedName name="bu7total87">[4]B_U_7!$F$95</definedName>
    <definedName name="bu7total87a">[4]B_U_7!$F$103</definedName>
    <definedName name="bu7total88">[4]B_U_7!$G$95</definedName>
    <definedName name="bu7total88a">[4]B_U_7!$G$103</definedName>
    <definedName name="bu7total89">[4]B_U_7!$H$95</definedName>
    <definedName name="bu7total89a">[4]B_U_7!$H$103</definedName>
    <definedName name="bu7total90">[4]B_U_7!$I$95</definedName>
    <definedName name="bu7total90a">[4]B_U_7!$I$103</definedName>
    <definedName name="bu7total91">[4]B_U_7!$J$95</definedName>
    <definedName name="bu7total91a">[4]B_U_7!$J$103</definedName>
    <definedName name="bu7total92">[4]B_U_7!$K$95</definedName>
    <definedName name="bu7total92a">[4]B_U_7!$K$103</definedName>
    <definedName name="bu7total93">[4]B_U_7!$L$95</definedName>
    <definedName name="bu7total93a">[4]B_U_7!$L$103</definedName>
    <definedName name="bu7total94">[4]B_U_7!$M$95</definedName>
    <definedName name="bu7total94a">[4]B_U_7!$M$103</definedName>
    <definedName name="bu7total95">[4]B_U_7!$N$95</definedName>
    <definedName name="bu7total95a">[4]B_U_7!$N$103</definedName>
    <definedName name="bu7total96">[4]B_U_7!$O$95</definedName>
    <definedName name="bu7total96a">[4]B_U_7!$O$103</definedName>
    <definedName name="bu7total97">[4]B_U_7!$P$95</definedName>
    <definedName name="bu7total97a">[4]B_U_7!$P$103</definedName>
    <definedName name="bu7total98">[4]B_U_7!$Q$95</definedName>
    <definedName name="bu7total98a">[4]B_U_7!$Q$103</definedName>
    <definedName name="bu8total84">[4]B_U_8!$C$94</definedName>
    <definedName name="bu8total84a">[4]B_U_8!$C$103</definedName>
    <definedName name="bu8total85">[4]B_U_8!$D$94</definedName>
    <definedName name="bu8total85a">[4]B_U_8!$D$103</definedName>
    <definedName name="bu8total86">[4]B_U_8!$E$94</definedName>
    <definedName name="bu8total86a">[4]B_U_8!$E$103</definedName>
    <definedName name="bu8total87">[4]B_U_8!$F$94</definedName>
    <definedName name="bu8total87a">[4]B_U_8!$F$103</definedName>
    <definedName name="bu8total88">[4]B_U_8!$G$94</definedName>
    <definedName name="bu8total88a">[4]B_U_8!$G$103</definedName>
    <definedName name="bu8total89">[4]B_U_8!$H$94</definedName>
    <definedName name="bu8total89a">[4]B_U_8!$H$103</definedName>
    <definedName name="bu8total90">[4]B_U_8!$I$94</definedName>
    <definedName name="bu8total90a">[4]B_U_8!$I$103</definedName>
    <definedName name="bu8total91">[4]B_U_8!$J$94</definedName>
    <definedName name="bu8total91a">[4]B_U_8!$J$103</definedName>
    <definedName name="bu8total92">[4]B_U_8!$K$94</definedName>
    <definedName name="bu8total92a">[4]B_U_8!$K$103</definedName>
    <definedName name="bu8total93">[4]B_U_8!$L$94</definedName>
    <definedName name="bu8total93a">[4]B_U_8!$L$103</definedName>
    <definedName name="bu8total94">[4]B_U_8!$M$94</definedName>
    <definedName name="bu8total94a">[4]B_U_8!$M$103</definedName>
    <definedName name="bu8total95">[4]B_U_8!$N$94</definedName>
    <definedName name="bu8total95a">[4]B_U_8!$N$103</definedName>
    <definedName name="bu8total96">[4]B_U_8!$O$94</definedName>
    <definedName name="bu8total96a">[4]B_U_8!$O$103</definedName>
    <definedName name="bu8total97">[4]B_U_8!$P$94</definedName>
    <definedName name="bu8total97a">[4]B_U_8!$P$103</definedName>
    <definedName name="bu8total98">[4]B_U_8!$Q$94</definedName>
    <definedName name="bu8total98a">[4]B_U_8!$Q$103</definedName>
    <definedName name="bu9total84">[4]B_U_9!$C$95</definedName>
    <definedName name="bu9total84a">[4]B_U_9!$C$103</definedName>
    <definedName name="bu9total85">[4]B_U_9!$D$95</definedName>
    <definedName name="bu9total85a">[4]B_U_9!$D$103</definedName>
    <definedName name="bu9total86">[4]B_U_9!$E$95</definedName>
    <definedName name="bu9total86a">[4]B_U_9!$E$103</definedName>
    <definedName name="bu9total87">[4]B_U_9!$F$95</definedName>
    <definedName name="bu9total87a">[4]B_U_9!$F$103</definedName>
    <definedName name="bu9total88">[4]B_U_9!$G$95</definedName>
    <definedName name="bu9total88a">[4]B_U_9!$G$103</definedName>
    <definedName name="bu9total89">[4]B_U_9!$H$95</definedName>
    <definedName name="bu9total89a">[4]B_U_9!$H$103</definedName>
    <definedName name="bu9total90">[4]B_U_9!$I$95</definedName>
    <definedName name="bu9total90a">[4]B_U_9!$I$103</definedName>
    <definedName name="bu9total91">[4]B_U_9!$J$95</definedName>
    <definedName name="bu9total91a">[4]B_U_9!$J$103</definedName>
    <definedName name="bu9total92">[4]B_U_9!$K$95</definedName>
    <definedName name="bu9total92a">[4]B_U_9!$K$103</definedName>
    <definedName name="bu9total93">[4]B_U_9!$L$95</definedName>
    <definedName name="bu9total93a">[4]B_U_9!$L$103</definedName>
    <definedName name="bu9total94">[4]B_U_9!$M$95</definedName>
    <definedName name="bu9total94a">[4]B_U_9!$M$103</definedName>
    <definedName name="bu9total95">[4]B_U_9!$N$95</definedName>
    <definedName name="bu9total95a">[4]B_U_9!$N$103</definedName>
    <definedName name="bu9total96">[4]B_U_9!$O$95</definedName>
    <definedName name="bu9total96a">[4]B_U_9!$O$103</definedName>
    <definedName name="bu9total97">[4]B_U_9!$P$95</definedName>
    <definedName name="bu9total97a">[4]B_U_9!$P$103</definedName>
    <definedName name="bu9total98">[4]B_U_9!$Q$95</definedName>
    <definedName name="bu9total98a">[4]B_U_9!$Q$103</definedName>
    <definedName name="BUDGET_YTD">[9]Administrator!$J$60</definedName>
    <definedName name="BUName">[22]SETUP!$C$9</definedName>
    <definedName name="BUTypeAreaRes">'[11]all EED O&amp;M BO data'!$AB$2:$AB$5000</definedName>
    <definedName name="bvfzxcvxczxc">'[8]2005 CapEx (By VP By Dept) Budg'!$A$3:$P$431</definedName>
    <definedName name="bvvlhlkhjl">#REF!</definedName>
    <definedName name="C_">#REF!</definedName>
    <definedName name="Cal">'[8]2005 CapEx (By VP By Dept) Budg'!$A$3:$P$431</definedName>
    <definedName name="CalculationC">'[8]2005 CapEx (By VP By Dept) Budg'!$A$3:$P$377</definedName>
    <definedName name="CalculationCom">'[8]2005 CapEx (By VP By Dept) Budg'!$A$3:$P$377</definedName>
    <definedName name="CalculationComEd">#REF!</definedName>
    <definedName name="calculationD">'[8]2005 CapEx (By VP By Dept) Budg'!$A$3:$P$377</definedName>
    <definedName name="CalculationP">[23]Calculations!$A$3:$P$382</definedName>
    <definedName name="CalculationPeco">'[8]2005 CapEx (By VP By Dept) Budg'!$A$3:$P$382</definedName>
    <definedName name="Calculations">'[8]2005 CapEx (By VP By Dept) Budg'!$A$3:$P$431</definedName>
    <definedName name="CalculationsC">'[8]2005 CapEx (By VP By Dept) Budg'!$A$3:$P$377</definedName>
    <definedName name="CalculationsC1">'[8]2005 CapEx (By VP By Dept) Budg'!$A$3:$P$377</definedName>
    <definedName name="CalculationsC3">#REF!</definedName>
    <definedName name="CalculationsC4">#REF!</definedName>
    <definedName name="CalculationsC5">#REF!</definedName>
    <definedName name="CalculationsP">'[8]2005 CapEx (By VP By Dept) Budg'!$A$3:$P$382</definedName>
    <definedName name="CalculationsP1">'[8]2005 CapEx (By VP By Dept) Budg'!$A$3:$P$382</definedName>
    <definedName name="CalculationsP2">'[8]2005 CapEx (By VP By Dept) Budg'!$A$3:$P$382</definedName>
    <definedName name="CalculationsP3">#REF!</definedName>
    <definedName name="CalculationsP4">#REF!</definedName>
    <definedName name="CalculationsP5">#REF!</definedName>
    <definedName name="CalculationsP6">#REF!</definedName>
    <definedName name="CalculationsPe">'[8]2005 CapEx (By VP By Dept) Budg'!$A$3:$P$382</definedName>
    <definedName name="CalculationsPeco">'[8]2005 CapEx (By VP By Dept) Budg'!$A$3:$P$382</definedName>
    <definedName name="CalculatP">'[8]2005 CapEx (By VP By Dept) Budg'!$A$3:$P$382</definedName>
    <definedName name="CAPA">'[24]ACT CAP'!$D$7:$T$32</definedName>
    <definedName name="CAPB">'[24]BUD CAP'!$D$7:$O$32</definedName>
    <definedName name="Capital">#REF!</definedName>
    <definedName name="cashflow">[14]Control!$AP$5:$AP$30</definedName>
    <definedName name="cbcvbcv" hidden="1">{#N/A,#N/A,FALSE,"Monthly SAIFI";#N/A,#N/A,FALSE,"Yearly SAIFI";#N/A,#N/A,FALSE,"Monthly CAIDI";#N/A,#N/A,FALSE,"Yearly CAIDI";#N/A,#N/A,FALSE,"Monthly SAIDI";#N/A,#N/A,FALSE,"Yearly SAIDI";#N/A,#N/A,FALSE,"Monthly MAIFI";#N/A,#N/A,FALSE,"Yearly MAIFI";#N/A,#N/A,FALSE,"Monthly Cust &gt;=4 Int"}</definedName>
    <definedName name="CBEast">'[25]CBPP Summary'!$I$5:$J$16</definedName>
    <definedName name="CBT">#REF!</definedName>
    <definedName name="CBWest">'[25]CBPP Summary'!$I$19:$J$25</definedName>
    <definedName name="CBWorkbookPriority" hidden="1">-250256570</definedName>
    <definedName name="cc1end">[4]Model!$A$68:$IV$68</definedName>
    <definedName name="cc1subrange">[4]Model!$A$48:$IV$75</definedName>
    <definedName name="cc2origin">[4]Model!$A$76</definedName>
    <definedName name="cc2subrange">[4]Model!$A$124:$IV$146</definedName>
    <definedName name="cc3subrange">[4]Model!$A$152:$IV$179</definedName>
    <definedName name="ccbbcvbc" hidden="1">{#N/A,#N/A,FALSE,"Monthly SAIFI";#N/A,#N/A,FALSE,"Yearly SAIFI";#N/A,#N/A,FALSE,"Monthly CAIDI";#N/A,#N/A,FALSE,"Yearly CAIDI";#N/A,#N/A,FALSE,"Monthly SAIDI";#N/A,#N/A,FALSE,"Yearly SAIDI";#N/A,#N/A,FALSE,"Monthly MAIFI";#N/A,#N/A,FALSE,"Yearly MAIFI";#N/A,#N/A,FALSE,"Monthly Cust &gt;=4 Int"}</definedName>
    <definedName name="CCTR_Data">[26]CCTR_Data!$A$5:$B$5086</definedName>
    <definedName name="CEP">[17]Assumptions!#REF!</definedName>
    <definedName name="CEP_Amortization">'[16]JFJ-4 CEP Rate'!$A$28:$F$83</definedName>
    <definedName name="Choose_Prefs">[27]!Choose_Prefs</definedName>
    <definedName name="chrtContract">'[4]QRE Charts'!$C$274:$R$297</definedName>
    <definedName name="chrtSensitivity">'[4]QRE Charts'!$D$372:$O$375</definedName>
    <definedName name="chrtSensWages">'[4]Sens_QRE''s'!$C$118:$R$141</definedName>
    <definedName name="chrtSupplies">'[4]QRE Charts'!$C$248:$R$271</definedName>
    <definedName name="chrtTax">'[4]QRE Charts'!$C$327:$E$342</definedName>
    <definedName name="chrtTotalByCo">'[4]QRE Charts'!$C$300:$R$323</definedName>
    <definedName name="chrtTotalByType">'[4]QRE Charts'!$C$216:$R$219</definedName>
    <definedName name="chrtWages">'[4]QRE Charts'!$C$222:$R$245</definedName>
    <definedName name="ClaculationC">#REF!</definedName>
    <definedName name="ClaculationP">#REF!</definedName>
    <definedName name="ClaculationsC">#REF!</definedName>
    <definedName name="Class">#REF!</definedName>
    <definedName name="CLDR">#REF!</definedName>
    <definedName name="CoAreaDept">'[11]all EED O&amp;M BO data'!$AA$2:$AA$5000</definedName>
    <definedName name="COGEN">'[28]October Tariff kwh'!$A$1:$H$83</definedName>
    <definedName name="comed1">'[8]2005 CapEx (By VP By Dept) Budg'!$A$3:$P$377</definedName>
    <definedName name="comed2">'[8]2005 CapEx (By VP By Dept) Budg'!$A$3:$P$377</definedName>
    <definedName name="comedmfr2">'[8]2005 CapEx (By VP By Dept) Budg'!$A$3:$P$377</definedName>
    <definedName name="COMMONWEALTH_EDISON_COMPANY">#REF!</definedName>
    <definedName name="Company_Name">[4]Menu!$I$11</definedName>
    <definedName name="CompanyCount">'[4]QRE Charts'!$F$214</definedName>
    <definedName name="COMPAR_PRT_RNG">[4]Comparison!$B$8:$BT$170</definedName>
    <definedName name="complex">[29]lists!#REF!</definedName>
    <definedName name="Composite_Tax_Rate">[19]Assumptions!$E$31</definedName>
    <definedName name="Controls">[30]Controls!$A$3:$I$130</definedName>
    <definedName name="CONVERT_IT">#REF!</definedName>
    <definedName name="CONVERT_RTN">#REF!</definedName>
    <definedName name="COUNTER">'[4]Macro Tables'!$C$21</definedName>
    <definedName name="credit_rate">[4]Print!$I$18</definedName>
    <definedName name="CREDIT1">'[31]One Year Credit Facility (2 (3)'!$A$23:$D$34</definedName>
    <definedName name="creditsummary">[4]Model!$A$180:$E$201</definedName>
    <definedName name="CUR_QRES">[4]Sens_QRE_Factor!$I$8:$R$98</definedName>
    <definedName name="CUR_QRES0.75">'[4]QRE Charts'!$E$367</definedName>
    <definedName name="CUR_QRES0.80">'[4]QRE Charts'!$F$367</definedName>
    <definedName name="CUR_QRES0.85">'[4]QRE Charts'!$G$367</definedName>
    <definedName name="CUR_QRES0.90">'[4]QRE Charts'!$H$367</definedName>
    <definedName name="CUR_QRES0.95">'[4]QRE Charts'!$I$367</definedName>
    <definedName name="CUR_QRES1.00">'[4]QRE Charts'!$J$367</definedName>
    <definedName name="CUR_QRES1.05">'[4]QRE Charts'!$K$367</definedName>
    <definedName name="CUR_QRES1.10">'[4]QRE Charts'!$L$367</definedName>
    <definedName name="CUR_QRES1.15">'[4]QRE Charts'!$M$367</definedName>
    <definedName name="CUR_QRES1.20">'[4]QRE Charts'!$N$367</definedName>
    <definedName name="CUR_QRES1.25">'[4]QRE Charts'!$O$367</definedName>
    <definedName name="CUR_SENS_FACT">#REF!</definedName>
    <definedName name="CURRENT_MESSAGE">#REF!</definedName>
    <definedName name="CurrentEndDate">[22]SETUP!#REF!</definedName>
    <definedName name="CurrPeriod">[32]Tables!$H$4</definedName>
    <definedName name="Curve_Date">[17]Assumptions!#REF!</definedName>
    <definedName name="cvxvvdxzv">'[8]2005 CapEx (By VP By Dept) Budg'!$A$3:$P$431</definedName>
    <definedName name="CYDR">'[33]change07 by plan'!$D$28</definedName>
    <definedName name="d" hidden="1">{#N/A,#N/A,TRUE,"TAXPROV";#N/A,#N/A,TRUE,"FLOWTHRU";#N/A,#N/A,TRUE,"SCHEDULE M'S";#N/A,#N/A,TRUE,"PLANT M'S";#N/A,#N/A,TRUE,"TAXJE"}</definedName>
    <definedName name="dadasdad">'[8]2005 CapEx (By VP By Dept) Budg'!$A$3:$P$431</definedName>
    <definedName name="dadasdas">#REF!</definedName>
    <definedName name="dafklaf">'[8]2005 CapEx (By VP By Dept) Budg'!$A$3:$P$431</definedName>
    <definedName name="dasdadad">'[8]2005 CapEx (By VP By Dept) Budg'!$A$3:$P$431</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'[8]2005 CapEx (By VP By Dept) Budg'!$A$3:$P$431</definedName>
    <definedName name="Data">#REF!</definedName>
    <definedName name="Data_Tbl">[26]Data_Tbl!$C$4:$H$221</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[22]SETUP!#REF!</definedName>
    <definedName name="DateNumberCurrentPrior">#REF!</definedName>
    <definedName name="DateNumberQtrPrior">#REF!</definedName>
    <definedName name="DateNumberYearEndPrior">#REF!</definedName>
    <definedName name="DateText">#REF!</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'[8]2005 CapEx (By VP By Dept) Budg'!$A$3:$P$431</definedName>
    <definedName name="de">#REF!</definedName>
    <definedName name="Dec">#REF!</definedName>
    <definedName name="Decommissioning_Rate">#REF!</definedName>
    <definedName name="decpd">#REF!</definedName>
    <definedName name="Deferral_Interest_Rate">[19]Assumptions!$F$7</definedName>
    <definedName name="Deferral_Recovery">'[16]JFJ-1 Deferral Recovery Rate'!$A$15:$I$101</definedName>
    <definedName name="Deferral_Sec_Date">[16]Assumptions!$E$14</definedName>
    <definedName name="DELAWARE">#REF!</definedName>
    <definedName name="deplr">#REF!</definedName>
    <definedName name="DeprateRL">[30]Depr_Lot!$A$1:$S$128</definedName>
    <definedName name="deytd">#REF!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'[8]2005 CapEx (By VP By Dept) Budg'!$A$3:$P$431</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'[8]2005 CapEx (By VP By Dept) Budg'!$A$3:$P$431</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OIT">[4]Comparison!$CK$11</definedName>
    <definedName name="DP1875TB">#REF!</definedName>
    <definedName name="dpl">#REF!</definedName>
    <definedName name="dplcpd">#REF!</definedName>
    <definedName name="dplplr">#REF!</definedName>
    <definedName name="DPLYTD">#REF!</definedName>
    <definedName name="DR">#REF!</definedName>
    <definedName name="dsfasfsadfsdfsa">'[8]2005 CapEx (By VP By Dept) Budg'!$A$3:$P$431</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y">[4]Print!$A$8</definedName>
    <definedName name="dyCR">[4]Print!$G$8</definedName>
    <definedName name="dyqre90">[4]Model!$I$90</definedName>
    <definedName name="dyqre91">[4]Model!$J$94</definedName>
    <definedName name="dyqre92">[4]Model!$K$98</definedName>
    <definedName name="dyqre93">[4]Model!$L$101</definedName>
    <definedName name="dyqre94">[4]Model!$M$105</definedName>
    <definedName name="dyqre95">[4]Model!$N$109</definedName>
    <definedName name="dyqre96">[4]Model!$O$113</definedName>
    <definedName name="dyqre97">[4]Model!$P$119</definedName>
    <definedName name="dyqre98">[4]Model!$Q$123</definedName>
    <definedName name="dyQW">[4]Print!$C$8</definedName>
    <definedName name="dyS">[4]Print!$E$8</definedName>
    <definedName name="E">#REF!</definedName>
    <definedName name="eaewq">#REF!</definedName>
    <definedName name="EASTERN">#REF!</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hidden="1">{#N/A,#N/A,TRUE,"TAXPROV";#N/A,#N/A,TRUE,"FLOWTHRU";#N/A,#N/A,TRUE,"SCHEDULE M'S";#N/A,#N/A,TRUE,"PLANT M'S";#N/A,#N/A,TRUE,"TAXJE"}</definedName>
    <definedName name="FACTOR_.75">'[4]Macro Tables'!$C$27</definedName>
    <definedName name="FACTOR_.80">'[4]Macro Tables'!$C$28</definedName>
    <definedName name="FACTOR_.85">'[4]Macro Tables'!$C$29</definedName>
    <definedName name="FACTOR_.90">'[4]Macro Tables'!$C$30</definedName>
    <definedName name="FACTOR_.95">'[4]Macro Tables'!$C$31</definedName>
    <definedName name="FACTOR_1">'[4]Macro Tables'!$C$32</definedName>
    <definedName name="FACTOR_1.05">'[4]Macro Tables'!$C$33</definedName>
    <definedName name="FACTOR_1.1">'[4]Macro Tables'!$C$34</definedName>
    <definedName name="FACTOR_1.15">'[4]Macro Tables'!$C$35</definedName>
    <definedName name="FACTOR_1.2">'[4]Macro Tables'!$C$36</definedName>
    <definedName name="FACTOR_1.25">'[4]Macro Tables'!$C$37</definedName>
    <definedName name="FACTOR_NAME">'[4]Macro Tables'!$C$22</definedName>
    <definedName name="FACTOR_TABLE">'[4]Macro Tables'!$B$27:$C$37</definedName>
    <definedName name="FACTOR_VALUE">'[4]Macro Tables'!$C$23</definedName>
    <definedName name="fafasfasf">#REF!</definedName>
    <definedName name="fair_value">[34]Assumptions!$B$14</definedName>
    <definedName name="fasdfsadf">'[8]2005 CapEx (By VP By Dept) Budg'!$A$3:$P$431</definedName>
    <definedName name="fasfsafasf">#REF!</definedName>
    <definedName name="fasfsdf">#REF!</definedName>
    <definedName name="fasfsfsdfsf">'[8]2005 CapEx (By VP By Dept) Budg'!$A$3:$P$431</definedName>
    <definedName name="FB_CUSTOMERS">#REF!</definedName>
    <definedName name="FB_LINES">#REF!</definedName>
    <definedName name="fdfsdfsdfsdfsdfsd">'[8]2005 CapEx (By VP By Dept) Budg'!$A$3:$P$431</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deral_Tax_Rate">[16]Assumptions!$E$28</definedName>
    <definedName name="FERC.ICC">#REF!</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'[8]2005 CapEx (By VP By Dept) Budg'!$A$3:$P$431</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'[8]2005 CapEx (By VP By Dept) Budg'!$A$3:$P$431</definedName>
    <definedName name="final">#REF!</definedName>
    <definedName name="Finance3">'[11]all EED O&amp;M BO data'!$AF$2:$AF$5000</definedName>
    <definedName name="FinanceOther">'[11]all EED O&amp;M BO data'!$AC$2:$AC$5000</definedName>
    <definedName name="FinDate">#REF!</definedName>
    <definedName name="findate2">[5]Sheet2!$Q$2:$Q$17</definedName>
    <definedName name="findate3">[5]Sheet2!$Q$2:$Q$17</definedName>
    <definedName name="fjriesmd">#REF!</definedName>
    <definedName name="fnklsdfjklsgf">'[8]2005 CapEx (By VP By Dept) Budg'!$A$3:$P$431</definedName>
    <definedName name="Forecast">[13]Update!$B$5</definedName>
    <definedName name="FORMULA">#REF!+#REF!+#REF!</definedName>
    <definedName name="Fossil_BGS">[20]Assumptions!$E$38</definedName>
    <definedName name="Fossil_Divest">[19]Assumptions!#REF!</definedName>
    <definedName name="Fossil_Secur_Date">[16]Assumptions!$E$12</definedName>
    <definedName name="fsafsfsaf">#REF!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'[8]2005 CapEx (By VP By Dept) Budg'!$A$3:$P$431</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[4]Print!$I$20</definedName>
    <definedName name="FunctionTotals">[30]Controls!$P$4:$R$8</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hidden="1">{#N/A,#N/A,FALSE,"O&amp;M by processes";#N/A,#N/A,FALSE,"Elec Act vs Bud";#N/A,#N/A,FALSE,"G&amp;A";#N/A,#N/A,FALSE,"BGS";#N/A,#N/A,FALSE,"Res Cost"}</definedName>
    <definedName name="GAM83M">#REF!</definedName>
    <definedName name="gas">#REF!</definedName>
    <definedName name="gasytd">#REF!</definedName>
    <definedName name="gatt">[35]TPACT!$B$5:$B$141</definedName>
    <definedName name="gattmale">[35]TPACT!$B$146:$B$282</definedName>
    <definedName name="gdfgdgdg">#REF!</definedName>
    <definedName name="gdfgsdfgsdfgsadf">'[8]2005 CapEx (By VP By Dept) Budg'!$A$3:$P$431</definedName>
    <definedName name="GENERAL_HELP">#REF!</definedName>
    <definedName name="gfdfxdf">'[8]2005 CapEx (By VP By Dept) Budg'!$A$3:$P$431</definedName>
    <definedName name="gfdsgsdgfsd">'[8]2005 CapEx (By VP By Dept) Budg'!$A$3:$P$431</definedName>
    <definedName name="gfhfhfdhg">#REF!</definedName>
    <definedName name="gg" hidden="1">{#N/A,#N/A,FALSE,"O&amp;M by processes";#N/A,#N/A,FALSE,"Elec Act vs Bud";#N/A,#N/A,FALSE,"G&amp;A";#N/A,#N/A,FALSE,"BGS";#N/A,#N/A,FALSE,"Res Cost"}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hidden="1">{#N/A,#N/A,TRUE,"TAXPROV";#N/A,#N/A,TRUE,"FLOWTHRU";#N/A,#N/A,TRUE,"SCHEDULE M'S";#N/A,#N/A,TRUE,"PLANT M'S";#N/A,#N/A,TRUE,"TAXJE"}</definedName>
    <definedName name="GPURS">#REF!</definedName>
    <definedName name="GR_PRT_RANGE">[4]Gross_Rec!$A$8:$R$52</definedName>
    <definedName name="GRAPH_SELECT">#REF!</definedName>
    <definedName name="GRAPH_TABLE">#REF!</definedName>
    <definedName name="grec8490">[4]Model!$I$50</definedName>
    <definedName name="grec8491">[4]Model!$J$50</definedName>
    <definedName name="grec8492">[4]Model!$K$50</definedName>
    <definedName name="grec8493">[4]Model!$L$50</definedName>
    <definedName name="grec8494">[4]Model!$M$50</definedName>
    <definedName name="grec8495">[4]Model!$N$50</definedName>
    <definedName name="grec8496">[4]Model!$O$50</definedName>
    <definedName name="grec8497">[4]Model!$P$50</definedName>
    <definedName name="grec8498">[4]Model!$Q$50</definedName>
    <definedName name="grec8590">[4]Model!$I$51</definedName>
    <definedName name="grec8591">[4]Model!$J$51</definedName>
    <definedName name="grec8592">[4]Model!$K$51</definedName>
    <definedName name="grec8593">[4]Model!$L$51</definedName>
    <definedName name="grec8594">[4]Model!$M$51</definedName>
    <definedName name="grec8595">[4]Model!$N$51</definedName>
    <definedName name="grec8596">[4]Model!$O$51</definedName>
    <definedName name="grec8597">[4]Model!$P$51</definedName>
    <definedName name="grec8598">[4]Model!$Q$51</definedName>
    <definedName name="grec8690">[4]Model!$I$52</definedName>
    <definedName name="grec8691">[4]Model!$J$52</definedName>
    <definedName name="grec8692">[4]Model!$K$52</definedName>
    <definedName name="grec8693">[4]Model!$L$52</definedName>
    <definedName name="grec8694">[4]Model!$M$52</definedName>
    <definedName name="grec8695">[4]Model!$N$52</definedName>
    <definedName name="grec8696">[4]Model!$O$52</definedName>
    <definedName name="grec8697">[4]Model!$P$52</definedName>
    <definedName name="grec8698">[4]Model!$Q$52</definedName>
    <definedName name="grec8790">[4]Model!$I$53</definedName>
    <definedName name="grec8791">[4]Model!$J$53</definedName>
    <definedName name="grec8792">[4]Model!$K$53</definedName>
    <definedName name="grec8793">[4]Model!$L$53</definedName>
    <definedName name="grec8794">[4]Model!$M$53</definedName>
    <definedName name="grec8795">[4]Model!$N$53</definedName>
    <definedName name="grec8796">[4]Model!$O$53</definedName>
    <definedName name="grec8797">[4]Model!$P$53</definedName>
    <definedName name="grec8798">[4]Model!$Q$53</definedName>
    <definedName name="grec8890">[4]Model!$I$54</definedName>
    <definedName name="grec8891">[4]Model!$J$54</definedName>
    <definedName name="grec8892">[4]Model!$K$54</definedName>
    <definedName name="grec8893">[4]Model!$L$54</definedName>
    <definedName name="grec8894">[4]Model!$M$54</definedName>
    <definedName name="grec8895">[4]Model!$N$54</definedName>
    <definedName name="grec8896">[4]Model!$O$54</definedName>
    <definedName name="grec8897">[4]Model!$P$54</definedName>
    <definedName name="grec8898">[4]Model!$Q$54</definedName>
    <definedName name="gross_rec_caution">[4]Gross_Rec!$A$51:$IV$52</definedName>
    <definedName name="GRS">[4]Gross_Rec!$B$2:$M$49</definedName>
    <definedName name="grtm1">[4]Print!$I$32</definedName>
    <definedName name="grtm2">[4]Print!$G$32</definedName>
    <definedName name="grtm3">[4]Print!$E$32</definedName>
    <definedName name="grtm4">[4]Print!$C$32</definedName>
    <definedName name="GVKey">""</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[36]Inputs!#REF!</definedName>
    <definedName name="INCOME">#REF!</definedName>
    <definedName name="INSERTRANGE">#REF!</definedName>
    <definedName name="Instrat3">[5]Sheet2!$P$1:$P$4</definedName>
    <definedName name="int.rate">#REF!</definedName>
    <definedName name="interest">#REF!</definedName>
    <definedName name="interestrate">#REF!</definedName>
    <definedName name="INTSALE">#REF!</definedName>
    <definedName name="invdtrat">[5]Sheet2!$P$1:$P$4</definedName>
    <definedName name="InvStrat">[37]Sheet2!$P$1:$P$4</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ITVP1">[38]Sheet2!$O$1:$O$6</definedName>
    <definedName name="ITVP2">[5]Sheet2!$O$1:$O$6</definedName>
    <definedName name="itvp5">[5]Sheet2!$O$1:$O$6</definedName>
    <definedName name="Jan_03">#REF!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'[8]2005 CapEx (By VP By Dept) Budg'!$A$3:$P$431</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t_it">[5]Sheet2!$AE$1:$AE$24</definedName>
    <definedName name="Key_Stakeholder_Interface">#REF!</definedName>
    <definedName name="KeyCon_Close_Date">[16]Assumptions!$E$17</definedName>
    <definedName name="KeyE1" hidden="1">#REF!</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WH">'[39]UNBILLED KWH'!$A$1:$H$54</definedName>
    <definedName name="lastrow">'[4]QRE''s'!$A$95:$IV$95</definedName>
    <definedName name="limcount" hidden="1">1</definedName>
    <definedName name="Line_No.">#REF!</definedName>
    <definedName name="LMP">'[20]2002 - 2007 BGS FP Costs'!$B$150:$Q$245</definedName>
    <definedName name="LOAD_EST_PE">'[40]Load Estimates'!$A$2:$E$1006</definedName>
    <definedName name="LOAD_EST_PECCES">'[41]Load Estimates'!$O$1:$S$1000</definedName>
    <definedName name="LOAD_EST_PENYPA">'[42]Load Estimates'!$Z$1:$AC$1002</definedName>
    <definedName name="LOAD_EST_PERESH">'[43]Load Estimates'!$F$2:$I$1005</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'[44]DE PLR'!#REF!</definedName>
    <definedName name="mdytd">#REF!</definedName>
    <definedName name="Meet_Cost_Commitments">#REF!</definedName>
    <definedName name="Meet_Production_Commitments">#REF!</definedName>
    <definedName name="mgmfeparg">'[8]2005 CapEx (By VP By Dept) Budg'!$A$3:$P$431</definedName>
    <definedName name="MILESTONES_1">#REF!</definedName>
    <definedName name="MILESTONES_2">#REF!</definedName>
    <definedName name="modelgrheader">[4]Model!$A$3</definedName>
    <definedName name="modelqreheader">[4]Model!$A$78</definedName>
    <definedName name="MonAct">'[11]all EED O&amp;M BO data'!$E$2:$E$5000</definedName>
    <definedName name="MonBudVar">'[11]all EED O&amp;M BO data'!$H$2:$H$5000</definedName>
    <definedName name="MonQtrVar">'[11]all EED O&amp;M BO data'!$I$2:$I$5000</definedName>
    <definedName name="MONTH">#REF!</definedName>
    <definedName name="month1">'[45]Monthly Bill Data'!$AC$49:$AO$102</definedName>
    <definedName name="MonthlyCFBUD">#REF!</definedName>
    <definedName name="MonthlyCFLE">#REF!</definedName>
    <definedName name="MTC">'[19]MTC Deferral'!$P$6:$CI$169</definedName>
    <definedName name="MTC_Type">#REF!</definedName>
    <definedName name="NDCA">#REF!</definedName>
    <definedName name="New">#REF!</definedName>
    <definedName name="new_98_IS">#REF!,#REF!,#REF!</definedName>
    <definedName name="New_99_IS">'[46]2nd qtr 2000'!$A$1:$I$58,'[46]2nd qtr 2000'!$K$1:$T$58,'[46]2nd qtr 2000'!$V$1:$AI$58</definedName>
    <definedName name="New_BS">#REF!,#REF!,#REF!</definedName>
    <definedName name="NEXT_STEP">[4]Comparison!$CK$14</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UGS">'[19]NNC Deferral'!$AD$7:$CW$42</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[47]Sheet1!$E$266</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'[24]ACT O M'!$D$7:$T$32</definedName>
    <definedName name="OMB">'[24]BUD O M'!$D$7:$O$32</definedName>
    <definedName name="one">#REF!,#REF!,#REF!</definedName>
    <definedName name="ONM">#REF!</definedName>
    <definedName name="Operational_Excellence_">#REF!</definedName>
    <definedName name="Operational_Execution_And_Safety">#REF!</definedName>
    <definedName name="OPR">'[10]PECO Bal Sht'!#REF!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[4]Print!$A$2</definedName>
    <definedName name="PECO_LABS_FUELS_ALL">#REF!</definedName>
    <definedName name="peco1">'[8]2005 CapEx (By VP By Dept) Budg'!$A$3:$P$382</definedName>
    <definedName name="peco2">'[8]2005 CapEx (By VP By Dept) Budg'!$A$3:$P$382</definedName>
    <definedName name="pecobod45">'[8]2005 CapEx (By VP By Dept) Budg'!$A$3:$P$383</definedName>
    <definedName name="pecomfr3">'[8]2005 CapEx (By VP By Dept) Budg'!$A$3:$P$382</definedName>
    <definedName name="pension">#REF!</definedName>
    <definedName name="PER">#REF!</definedName>
    <definedName name="Perf_Ratings">'[48]Perf Ratings'!$A$8:$IV$18</definedName>
    <definedName name="PGCOUNT">'[10]PECO Bal Sht'!#REF!</definedName>
    <definedName name="pgm_pri1">[5]Sheet2!$AF$1:$AF$3</definedName>
    <definedName name="Phase">'[4]Macro Tables'!$F$21</definedName>
    <definedName name="PHASE_HELP">#REF!</definedName>
    <definedName name="PLACE_HOLD">#REF!</definedName>
    <definedName name="PostTransReturn">[20]Assumptions!$D$58</definedName>
    <definedName name="POTOMAC_ELECTRIC_POWER_COMPANY">#REF!</definedName>
    <definedName name="PowerTeam">#REF!</definedName>
    <definedName name="PPACOST">'[17]BGS Deferral'!#REF!</definedName>
    <definedName name="PreTaxDebt">[16]Assumptions!$F$60</definedName>
    <definedName name="Pri">#REF!</definedName>
    <definedName name="Print_98_IS">#REF!,#REF!,#REF!</definedName>
    <definedName name="Print_99_IS">'[46]2nd qtr 2000'!$D$1:$I$58,'[46]2nd qtr 2000'!$N$1:$T$58,'[46]2nd qtr 2000'!$AA$1:$AH$57</definedName>
    <definedName name="_xlnm.Print_Area">#REF!</definedName>
    <definedName name="Print_Area_MI">#REF!</definedName>
    <definedName name="print_area03">#REF!</definedName>
    <definedName name="Print_Area1">#REF!</definedName>
    <definedName name="Print_BS">#REF!,#REF!,#REF!</definedName>
    <definedName name="PRINT_SET_UP">#REF!</definedName>
    <definedName name="Print_TFI_use">'[49]TFI use'!$A$1:$P$40,'[49]TFI use'!$A$42:$P$65,'[49]TFI use'!$A$67:$R$84</definedName>
    <definedName name="_xlnm.Print_Titles">#N/A</definedName>
    <definedName name="Prior">#REF!</definedName>
    <definedName name="PriorQTREnd">[22]SETUP!#REF!</definedName>
    <definedName name="Profitability_">#REF!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Y_ytd">[9]Administrator!$I$60</definedName>
    <definedName name="pymonth">[22]SETUP!$C$26</definedName>
    <definedName name="q">#REF!</definedName>
    <definedName name="QES">'[4]Gross_Rec:QRE''s'!$B$53:$N$112</definedName>
    <definedName name="qre">'[50]IDR 15'!$A$1:$H$214</definedName>
    <definedName name="QRE_HELP">#REF!</definedName>
    <definedName name="QRE_MARGINS">#REF!</definedName>
    <definedName name="QRE_SUMMARY">'[4]QRE''s'!$A$7:$R$102</definedName>
    <definedName name="qsqe">#REF!</definedName>
    <definedName name="QuarterEndDate">[22]SETUP!#REF!</definedName>
    <definedName name="Range1">'[31]One Year Credit Facility'!$A$23:$D$34</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'[31]Three Year Credit Facility'!$A$22:$D$57</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ap_Off">[16]Assumptions!$E$33</definedName>
    <definedName name="Rate_Reduction_Factor">#REF!</definedName>
    <definedName name="rate90">[4]Model!$I$175</definedName>
    <definedName name="rate91">[4]Model!$J$175</definedName>
    <definedName name="rate92">[4]Model!$K$175</definedName>
    <definedName name="rate93">[4]Model!$L$175</definedName>
    <definedName name="rate94">[4]Model!$M$175</definedName>
    <definedName name="rate95">[4]Model!$N$175</definedName>
    <definedName name="rate96">[4]Model!$O$175</definedName>
    <definedName name="rate97">[4]Model!$P$175</definedName>
    <definedName name="rate98">[4]Model!$Q$175</definedName>
    <definedName name="RBU">'[10]PECO Bal Sht'!#REF!</definedName>
    <definedName name="reawreqw" hidden="1">{#N/A,#N/A,FALSE,"Monthly SAIFI";#N/A,#N/A,FALSE,"Yearly SAIFI";#N/A,#N/A,FALSE,"Monthly CAIDI";#N/A,#N/A,FALSE,"Yearly CAIDI";#N/A,#N/A,FALSE,"Monthly SAIDI";#N/A,#N/A,FALSE,"Yearly SAIDI";#N/A,#N/A,FALSE,"Monthly MAIFI";#N/A,#N/A,FALSE,"Yearly MAIFI";#N/A,#N/A,FALSE,"Monthly Cust &gt;=4 Int"}</definedName>
    <definedName name="_xlnm.Recorder">#REF!</definedName>
    <definedName name="Recover">[19]Assumptions!$E$36</definedName>
    <definedName name="reduced_credit">[4]Print!$I$22</definedName>
    <definedName name="reduced_credit_caption">[4]Print!$G$22</definedName>
    <definedName name="Refresh_Report">[27]!Refresh_Report</definedName>
    <definedName name="REPORT_SELECT">#REF!</definedName>
    <definedName name="REPORT_TABLE">#REF!</definedName>
    <definedName name="ReportingDate">[21]SETUP!$C$11</definedName>
    <definedName name="RESALE_CUSTOMERS">#REF!</definedName>
    <definedName name="RESALE_LINES">#REF!</definedName>
    <definedName name="RESET_SENS_FACT">#REF!</definedName>
    <definedName name="Restructure_Amort">'[16]Restructuring Amort.'!$A$7:$V$105</definedName>
    <definedName name="RETURN">#REF!</definedName>
    <definedName name="RID">#REF!</definedName>
    <definedName name="ROA">#REF!</definedName>
    <definedName name="RPA">[19]Assumptions!$E$46</definedName>
    <definedName name="rwrw">#REF!</definedName>
    <definedName name="saaaagd">'[8]2005 CapEx (By VP By Dept) Budg'!$A$3:$P$431</definedName>
    <definedName name="saaanghvi21">'[8]2005 CapEx (By VP By Dept) Budg'!$A$3:$P$431</definedName>
    <definedName name="safasdfsad">'[8]2005 CapEx (By VP By Dept) Budg'!$A$3:$P$431</definedName>
    <definedName name="Safety_Workforce_Eff_">#REF!</definedName>
    <definedName name="saff">'[8]2005 CapEx (By VP By Dept) Budg'!$A$3:$P$431</definedName>
    <definedName name="safsafs">#REF!</definedName>
    <definedName name="safsfsad">#REF!</definedName>
    <definedName name="safsgfsdf">'[8]2005 CapEx (By VP By Dept) Budg'!$A$3:$P$431</definedName>
    <definedName name="Sales">'[16]ACE 25 Year Sales Forecast'!$A$90:$EA$100</definedName>
    <definedName name="salkgasgs">'[8]2005 CapEx (By VP By Dept) Budg'!$A$3:$P$431</definedName>
    <definedName name="sanahgsg">'[8]2005 CapEx (By VP By Dept) Budg'!$A$3:$P$431</definedName>
    <definedName name="sangg">'[8]2005 CapEx (By VP By Dept) Budg'!$A$3:$P$431</definedName>
    <definedName name="sangh">#REF!</definedName>
    <definedName name="sanghiii">'[8]2005 CapEx (By VP By Dept) Budg'!$A$3:$P$431</definedName>
    <definedName name="sanghvi">'[8]2005 CapEx (By VP By Dept) Budg'!$A$3:$P$431</definedName>
    <definedName name="sanghvi215">#REF!</definedName>
    <definedName name="sanghvi231">'[8]2005 CapEx (By VP By Dept) Budg'!$A$3:$P$431</definedName>
    <definedName name="sanghvi232">#REF!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'[8]2005 CapEx (By VP By Dept) Budg'!$A$3:$P$431</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C_Amort">'[19]SBC Over Recovery Amort'!$A$14:$F$67</definedName>
    <definedName name="SBU_SHEET_HELP">#REF!</definedName>
    <definedName name="sch.A">#REF!</definedName>
    <definedName name="sch.b._FERC_ICC">#REF!</definedName>
    <definedName name="Schedule_CC1">[4]Model!$A$1:$IV$75</definedName>
    <definedName name="Schedule_CC2">[4]Model!$A$76:$IV$151</definedName>
    <definedName name="Schedule_CC3">[4]Model!$A$152:$IV$207</definedName>
    <definedName name="SCHUYLKILL">#REF!</definedName>
    <definedName name="sdajsadf">'[8]2005 CapEx (By VP By Dept) Budg'!$A$3:$P$431</definedName>
    <definedName name="sdasda">#REF!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'[8]2005 CapEx (By VP By Dept) Budg'!$A$3:$P$431</definedName>
    <definedName name="sdfafsd">#REF!</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'[8]2005 CapEx (By VP By Dept) Budg'!$A$3:$P$431</definedName>
    <definedName name="sdfdfsf">#REF!</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'[8]2005 CapEx (By VP By Dept) Budg'!$A$3:$P$431</definedName>
    <definedName name="sdfsdfdfdf">#REF!</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'[8]2005 CapEx (By VP By Dept) Budg'!$A$3:$P$431</definedName>
    <definedName name="sdfsdfsdfsdfsdf">#REF!</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'[8]2005 CapEx (By VP By Dept) Budg'!$A$3:$P$431</definedName>
    <definedName name="sdsdsa">#REF!</definedName>
    <definedName name="sdsdsddsf">'[8]2005 CapEx (By VP By Dept) Budg'!$A$3:$P$431</definedName>
    <definedName name="sefasdfasdfsdf">'[8]2005 CapEx (By VP By Dept) Budg'!$A$3:$P$431</definedName>
    <definedName name="SENS_DATA_RTN">#REF!</definedName>
    <definedName name="SENS_MESSAGE">#REF!</definedName>
    <definedName name="SENS_NET_CREDIT">[4]Sens_Model!$E$193</definedName>
    <definedName name="Sep">#REF!</definedName>
    <definedName name="SepNEW">#REF!</definedName>
    <definedName name="Sept">#REF!</definedName>
    <definedName name="SERP">#REF!</definedName>
    <definedName name="sf">#REF!</definedName>
    <definedName name="SFDD">'[10]PECO Bal Sht'!#REF!</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'[8]2005 CapEx (By VP By Dept) Budg'!$A$3:$P$431</definedName>
    <definedName name="sfsfasfsdfsdf">'[8]2005 CapEx (By VP By Dept) Budg'!$A$3:$P$431</definedName>
    <definedName name="SFSFD" hidden="1">{#N/A,#N/A,FALSE,"Monthly SAIFI";#N/A,#N/A,FALSE,"Yearly SAIFI";#N/A,#N/A,FALSE,"Monthly CAIDI";#N/A,#N/A,FALSE,"Yearly CAIDI";#N/A,#N/A,FALSE,"Monthly SAIDI";#N/A,#N/A,FALSE,"Yearly SAIDI";#N/A,#N/A,FALSE,"Monthly MAIFI";#N/A,#N/A,FALSE,"Yearly MAIFI";#N/A,#N/A,FALSE,"Monthly Cust &gt;=4 Int"}</definedName>
    <definedName name="sfsfs">'[8]2005 CapEx (By VP By Dept) Budg'!$A$3:$P$431</definedName>
    <definedName name="sfsfsf">#REF!</definedName>
    <definedName name="sfsssr">#REF!</definedName>
    <definedName name="SFVD">'[10]PECO Bal Sht'!#REF!</definedName>
    <definedName name="sgggggkjjkkj">#REF!</definedName>
    <definedName name="SharedSVC_Data">[26]Walt_CCTR_Detail!$B$5:$H$723</definedName>
    <definedName name="shedulecc1">[4]Model!$A$1:$IV$68</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hidden="1">{#N/A,#N/A,FALSE,"Monthly SAIFI";#N/A,#N/A,FALSE,"Yearly SAIFI";#N/A,#N/A,FALSE,"Monthly CAIDI";#N/A,#N/A,FALSE,"Yearly CAIDI";#N/A,#N/A,FALSE,"Monthly SAIDI";#N/A,#N/A,FALSE,"Yearly SAIDI";#N/A,#N/A,FALSE,"Monthly MAIFI";#N/A,#N/A,FALSE,"Yearly MAIFI";#N/A,#N/A,FALSE,"Monthly Cust &gt;=4 Int"}</definedName>
    <definedName name="SMRPEast">'[25]SMRP Results'!$H$28:$I$34</definedName>
    <definedName name="SMRPWest">'[25]SMRP Results'!$H$37:$I$43</definedName>
    <definedName name="snfsdfs">'[8]2005 CapEx (By VP By Dept) Budg'!$A$3:$P$431</definedName>
    <definedName name="snghviw">'[8]2005 CapEx (By VP By Dept) Budg'!$A$3:$P$431</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[17]Assumptions!#REF!</definedName>
    <definedName name="start84">'[4]QRE''s'!$D$8</definedName>
    <definedName name="start85">'[4]QRE''s'!$E$8</definedName>
    <definedName name="start86">'[4]QRE''s'!$F$8</definedName>
    <definedName name="start87">'[4]QRE''s'!$G$8</definedName>
    <definedName name="start88">'[4]QRE''s'!$H$8</definedName>
    <definedName name="start89">'[4]QRE''s'!$I$8</definedName>
    <definedName name="start90">'[4]QRE''s'!$J$8</definedName>
    <definedName name="start91">'[4]QRE''s'!$K$8</definedName>
    <definedName name="start92">'[4]QRE''s'!$L$8</definedName>
    <definedName name="start93">'[4]QRE''s'!$M$8</definedName>
    <definedName name="start94">'[4]QRE''s'!$N$8</definedName>
    <definedName name="start95">'[4]QRE''s'!$O$8</definedName>
    <definedName name="start96">'[4]QRE''s'!$P$8</definedName>
    <definedName name="start97">'[4]QRE''s'!$Q$8</definedName>
    <definedName name="start98">'[4]QRE''s'!$R$8</definedName>
    <definedName name="StartDate">#REF!</definedName>
    <definedName name="startdate2">[5]Sheet2!$Q$1:$Q$17</definedName>
    <definedName name="startdte">[5]Sheet2!$Q$1:$Q$17</definedName>
    <definedName name="startdte4">[5]Sheet2!$Q$1:$Q$17</definedName>
    <definedName name="State_Tax_Rate">[16]Assumptions!$E$27</definedName>
    <definedName name="summary">[4]Model!$A$182:$E$200</definedName>
    <definedName name="summary_caution">[4]Model!$A$202:$IV$207</definedName>
    <definedName name="SUT">#REF!</definedName>
    <definedName name="Swap_Amort">'[16]Keystone Swap Amort Sched'!$A$1:$F$241</definedName>
    <definedName name="Sx">#REF!</definedName>
    <definedName name="T">[1]JobDefinition!#REF!</definedName>
    <definedName name="TABLE">#REF!</definedName>
    <definedName name="Tacx_Factor">[51]Assumptions!$E$33</definedName>
    <definedName name="TaxBasis">[19]Assumptions!$E$42</definedName>
    <definedName name="TBC">'[16]TBC Rate Summary'!$C$3:$BV$21</definedName>
    <definedName name="tblCharts">'[4]Macro Tables'!$I$5:$I$16</definedName>
    <definedName name="tblHelp">'[4]Macro Tables'!$N$5:$N$16</definedName>
    <definedName name="tblReports">'[4]Macro Tables'!$B$5:$B$16</definedName>
    <definedName name="tblWorksheets">'[4]Macro Tables'!$E$5:$E$16</definedName>
    <definedName name="TEFA">#REF!</definedName>
    <definedName name="TEST">#REF!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otal84">'[4]QRE''s'!$D$96</definedName>
    <definedName name="total85">'[4]QRE''s'!$E$96</definedName>
    <definedName name="total86">'[4]QRE''s'!$F$96</definedName>
    <definedName name="total87">'[4]QRE''s'!$G$96</definedName>
    <definedName name="total88">'[4]QRE''s'!$H$96</definedName>
    <definedName name="total89">'[4]QRE''s'!$I$96</definedName>
    <definedName name="total90">'[4]QRE''s'!$J$96</definedName>
    <definedName name="total91">'[4]QRE''s'!$K$96</definedName>
    <definedName name="total92">'[4]QRE''s'!$L$96</definedName>
    <definedName name="total93">'[4]QRE''s'!$M$96</definedName>
    <definedName name="total94">'[4]QRE''s'!$N$96</definedName>
    <definedName name="total95">'[4]QRE''s'!$O$96</definedName>
    <definedName name="total96">'[4]QRE''s'!$P$96</definedName>
    <definedName name="total97">'[4]QRE''s'!$Q$96</definedName>
    <definedName name="total98">'[4]QRE''s'!$R$96</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anscosts">[19]Assumptions!$E$43</definedName>
    <definedName name="Tree">#REF!</definedName>
    <definedName name="TWELVE">#REF!</definedName>
    <definedName name="two">#REF!,#REF!,#REF!</definedName>
    <definedName name="TypeCost">'[11]all EED O&amp;M BO data'!$V$2:$V$5000</definedName>
    <definedName name="tyty" hidden="1">{#N/A,#N/A,FALSE,"Monthly SAIFI";#N/A,#N/A,FALSE,"Yearly SAIFI";#N/A,#N/A,FALSE,"Monthly CAIDI";#N/A,#N/A,FALSE,"Yearly CAIDI";#N/A,#N/A,FALSE,"Monthly SAIDI";#N/A,#N/A,FALSE,"Yearly SAIDI";#N/A,#N/A,FALSE,"Monthly MAIFI";#N/A,#N/A,FALSE,"Yearly MAIFI";#N/A,#N/A,FALSE,"Monthly Cust &gt;=4 Int"}</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luationYear">'[52]FAS 87'!$B$3</definedName>
    <definedName name="vaplr">#REF!</definedName>
    <definedName name="vaytd">#REF!</definedName>
    <definedName name="vcbcvbcv" hidden="1">{#N/A,#N/A,FALSE,"Monthly SAIFI";#N/A,#N/A,FALSE,"Yearly SAIFI";#N/A,#N/A,FALSE,"Monthly CAIDI";#N/A,#N/A,FALSE,"Yearly CAIDI";#N/A,#N/A,FALSE,"Monthly SAIDI";#N/A,#N/A,FALSE,"Yearly SAIDI";#N/A,#N/A,FALSE,"Monthly MAIFI";#N/A,#N/A,FALSE,"Yearly MAIFI";#N/A,#N/A,FALSE,"Monthly Cust &gt;=4 Int"}</definedName>
    <definedName name="vxcvxc">'[8]2005 CapEx (By VP By Dept) Budg'!$A$3:$P$431</definedName>
    <definedName name="vxcvxcvx">'[8]2005 CapEx (By VP By Dept) Budg'!$A$3:$P$431</definedName>
    <definedName name="vxvxvxcvxc">'[8]2005 CapEx (By VP By Dept) Budg'!$A$3:$P$431</definedName>
    <definedName name="vxzvxcvxzcvxcv">'[8]2005 CapEx (By VP By Dept) Budg'!$A$3:$P$431</definedName>
    <definedName name="wearwerawer">#REF!</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hidden="1">{#N/A,#N/A,FALSE,"O&amp;M by processes";#N/A,#N/A,FALSE,"Elec Act vs Bud";#N/A,#N/A,FALSE,"G&amp;A";#N/A,#N/A,FALSE,"BGS";#N/A,#N/A,FALSE,"Res Cost"}</definedName>
    <definedName name="what09" hidden="1">{#N/A,#N/A,FALSE,"O&amp;M by processes";#N/A,#N/A,FALSE,"Elec Act vs Bud";#N/A,#N/A,FALSE,"G&amp;A";#N/A,#N/A,FALSE,"BGS";#N/A,#N/A,FALSE,"Res Cost"}</definedName>
    <definedName name="Whatwhat"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hidden="1">{#N/A,#N/A,FALSE,"Aging Summary";#N/A,#N/A,FALSE,"Ratio Analysis";#N/A,#N/A,FALSE,"Test 120 Day Accts";#N/A,#N/A,FALSE,"Tickmarks"}</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hidden="1">{"2002 Scedule A Revenue Proof",#N/A,FALSE,"Schedule A";"2002 Rate Detail",#N/A,FALSE,"Schedule B";"2002 Light Rates Page 1",#N/A,FALSE,"Schedule B";"2002 Light Rates Page 2",#N/A,FALSE,"Schedule B";"Schedule C",#N/A,FALSE,"Schedule C"}</definedName>
    <definedName name="wrn.Basic." hidden="1">{#N/A,#N/A,FALSE,"O&amp;M by processes";#N/A,#N/A,FALSE,"Elec Act vs Bud";#N/A,#N/A,FALSE,"G&amp;A";#N/A,#N/A,FALSE,"BGS";#N/A,#N/A,FALSE,"Res Cost"}</definedName>
    <definedName name="wrn.CFC._.QUARTER." hidden="1">{"CFC COMPARISON",#N/A,FALSE,"CFCCOMP";"CREDIT LETTER",#N/A,FALSE,"CFCCOMP";"DEBT OBLIGATION",#N/A,FALSE,"CFCCOMP";"OFFICERS CERTIFICATE",#N/A,FALSE,"CFCCOMP"}</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hidden="1">{"COVER",#N/A,FALSE,"COVERPMT";"COMPANY ORDER",#N/A,FALSE,"COVERPMT";"EXHIBIT A",#N/A,FALSE,"COVERPMT"}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hidden="1">{#N/A,#N/A,FALSE,"R&amp;D Quick Calc";#N/A,#N/A,FALSE,"DOE Fee Schedule"}</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hidden="1">{"Assumptions",#N/A,FALSE,"Assumptions";"2003 - 2007 Summary",#N/A,FALSE,"Income Statement";"Summary Deferral Forecast",#N/A,FALSE,"Deferral Forecast"}</definedName>
    <definedName name="wrn.tax._._Accrual09" hidden="1">{#N/A,#N/A,TRUE,"TAXPROV";#N/A,#N/A,TRUE,"FLOWTHRU";#N/A,#N/A,TRUE,"SCHEDULE M'S";#N/A,#N/A,TRUE,"PLANT M'S";#N/A,#N/A,TRUE,"TAXJE"}</definedName>
    <definedName name="wrn.Tax._.Accrual." hidden="1">{#N/A,#N/A,TRUE,"TAXPROV";#N/A,#N/A,TRUE,"FLOWTHRU";#N/A,#N/A,TRUE,"SCHEDULE M'S";#N/A,#N/A,TRUE,"PLANT M'S";#N/A,#N/A,TRUE,"TAXJE"}</definedName>
    <definedName name="wrn.TBC._.Update." hidden="1">{#N/A,#N/A,FALSE,"TABLE I";#N/A,#N/A,FALSE,"TBC Development";#N/A,#N/A,FALSE,"MTC -Tax Development";#N/A,#N/A,FALSE,"MTC - Tax descriptions";#N/A,#N/A,FALSE,"MTC -Tax True Up"}</definedName>
    <definedName name="xcvxvx">#REF!</definedName>
    <definedName name="xvsdgsgfsf">'[8]2005 CapEx (By VP By Dept) Budg'!$A$3:$P$431</definedName>
    <definedName name="xvxvxzvxc">#REF!</definedName>
    <definedName name="xzczczczxc">#REF!</definedName>
    <definedName name="y" hidden="1">{#N/A,#N/A,FALSE,"Monthly SAIFI";#N/A,#N/A,FALSE,"Yearly SAIFI";#N/A,#N/A,FALSE,"Monthly CAIDI";#N/A,#N/A,FALSE,"Yearly CAIDI";#N/A,#N/A,FALSE,"Monthly SAIDI";#N/A,#N/A,FALSE,"Yearly SAIDI";#N/A,#N/A,FALSE,"Monthly MAIFI";#N/A,#N/A,FALSE,"Yearly MAIFI";#N/A,#N/A,FALSE,"Monthly Cust &gt;=4 Int"}</definedName>
    <definedName name="YEAct">'[11]all EED O&amp;M BO data'!$O$2:$O$5000</definedName>
    <definedName name="Year">#REF!</definedName>
    <definedName name="Year4BGS">[16]Assumptions!#REF!</definedName>
    <definedName name="YEBudVar">'[11]all EED O&amp;M BO data'!$R$2:$R$5000</definedName>
    <definedName name="YEQtrVar">'[11]all EED O&amp;M BO data'!$S$2:$S$5000</definedName>
    <definedName name="YesNo">#REF!</definedName>
    <definedName name="YORK_COUNTY">#REF!</definedName>
    <definedName name="yrtm1">[4]Print!$I$31</definedName>
    <definedName name="yrtm2">[4]Print!$G$31</definedName>
    <definedName name="yrtm3">[4]Print!$E$31</definedName>
    <definedName name="yrtm4">[4]Print!$C$31</definedName>
    <definedName name="yryryrr" hidden="1">{#N/A,#N/A,FALSE,"Monthly SAIFI";#N/A,#N/A,FALSE,"Yearly SAIFI";#N/A,#N/A,FALSE,"Monthly CAIDI";#N/A,#N/A,FALSE,"Yearly CAIDI";#N/A,#N/A,FALSE,"Monthly SAIDI";#N/A,#N/A,FALSE,"Yearly SAIDI";#N/A,#N/A,FALSE,"Monthly MAIFI";#N/A,#N/A,FALSE,"Yearly MAIFI";#N/A,#N/A,FALSE,"Monthly Cust &gt;=4 Int"}</definedName>
    <definedName name="YTDAct">'[11]all EED O&amp;M BO data'!$J$2:$J$5000</definedName>
    <definedName name="YTDBudVar">'[11]all EED O&amp;M BO data'!$M$2:$M$5000</definedName>
    <definedName name="YTDCFLE">#REF!</definedName>
    <definedName name="YTDQtrVar">'[11]all EED O&amp;M BO data'!$N$2:$N$5000</definedName>
    <definedName name="z" hidden="1">{#N/A,#N/A,FALSE,"Monthly SAIFI";#N/A,#N/A,FALSE,"Yearly SAIFI";#N/A,#N/A,FALSE,"Monthly CAIDI";#N/A,#N/A,FALSE,"Yearly CAIDI";#N/A,#N/A,FALSE,"Monthly SAIDI";#N/A,#N/A,FALSE,"Yearly SAIDI";#N/A,#N/A,FALSE,"Monthly MAIFI";#N/A,#N/A,FALSE,"Yearly MAIFI";#N/A,#N/A,FALSE,"Monthly Cust &gt;=4 Int"}</definedName>
    <definedName name="Zxczxczczc">'[8]2005 CapEx (By VP By Dept) Budg'!$A$3:$P$431</definedName>
    <definedName name="zxdc">[53]Update!$B$2</definedName>
  </definedNames>
  <calcPr calcId="191028"/>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extLst>
</workbook>
</file>

<file path=xl/calcChain.xml><?xml version="1.0" encoding="utf-8"?>
<calcChain xmlns="http://schemas.openxmlformats.org/spreadsheetml/2006/main">
  <c r="H5" i="35" l="1"/>
  <c r="I5" i="35"/>
  <c r="K4" i="36"/>
  <c r="H6" i="49"/>
  <c r="H8" i="49"/>
  <c r="E4" i="49"/>
  <c r="H25" i="49"/>
  <c r="F25" i="49"/>
  <c r="I24" i="49"/>
  <c r="H24" i="49"/>
  <c r="F24" i="49"/>
  <c r="E24" i="49"/>
  <c r="H23" i="49"/>
  <c r="F23" i="49"/>
  <c r="K22" i="49"/>
  <c r="J22" i="49"/>
  <c r="I22" i="49"/>
  <c r="G22" i="49"/>
  <c r="E22" i="49"/>
  <c r="K21" i="49"/>
  <c r="J21" i="49"/>
  <c r="I21" i="49"/>
  <c r="G21" i="49"/>
  <c r="E21" i="49"/>
  <c r="K20" i="49"/>
  <c r="J20" i="49"/>
  <c r="I20" i="49"/>
  <c r="G20" i="49"/>
  <c r="E20" i="49"/>
  <c r="K19" i="49"/>
  <c r="J19" i="49"/>
  <c r="I19" i="49"/>
  <c r="G19" i="49"/>
  <c r="E19" i="49"/>
  <c r="K18" i="49"/>
  <c r="J18" i="49"/>
  <c r="I18" i="49"/>
  <c r="H18" i="49"/>
  <c r="G18" i="49"/>
  <c r="F18" i="49"/>
  <c r="E18" i="49"/>
  <c r="K17" i="49"/>
  <c r="J17" i="49"/>
  <c r="I17" i="49"/>
  <c r="H17" i="49"/>
  <c r="G17" i="49"/>
  <c r="F17" i="49"/>
  <c r="E17" i="49"/>
  <c r="K16" i="49"/>
  <c r="J16" i="49"/>
  <c r="I16" i="49"/>
  <c r="H16" i="49"/>
  <c r="G16" i="49"/>
  <c r="F16" i="49"/>
  <c r="E16" i="49"/>
  <c r="K15" i="49"/>
  <c r="J15" i="49"/>
  <c r="I15" i="49"/>
  <c r="H15" i="49"/>
  <c r="F15" i="49"/>
  <c r="E15" i="49"/>
  <c r="K14" i="49"/>
  <c r="J14" i="49"/>
  <c r="I14" i="49"/>
  <c r="H14" i="49"/>
  <c r="G14" i="49"/>
  <c r="F14" i="49"/>
  <c r="E14" i="49"/>
  <c r="K13" i="49"/>
  <c r="J13" i="49"/>
  <c r="I13" i="49"/>
  <c r="H13" i="49"/>
  <c r="G13" i="49"/>
  <c r="F13" i="49"/>
  <c r="E13" i="49"/>
  <c r="K12" i="49"/>
  <c r="J12" i="49"/>
  <c r="I12" i="49"/>
  <c r="H12" i="49"/>
  <c r="G12" i="49"/>
  <c r="F12" i="49"/>
  <c r="E12" i="49"/>
  <c r="K11" i="49"/>
  <c r="J11" i="49"/>
  <c r="I11" i="49"/>
  <c r="H11" i="49"/>
  <c r="G11" i="49"/>
  <c r="F11" i="49"/>
  <c r="E11" i="49"/>
  <c r="F10" i="49"/>
  <c r="K9" i="49"/>
  <c r="J9" i="49"/>
  <c r="I9" i="49"/>
  <c r="H9" i="49"/>
  <c r="G9" i="49"/>
  <c r="E9" i="49"/>
  <c r="K8" i="49"/>
  <c r="J8" i="49"/>
  <c r="I8" i="49"/>
  <c r="G8" i="49"/>
  <c r="E8" i="49"/>
  <c r="H7" i="49"/>
  <c r="E7" i="49"/>
  <c r="K6" i="49"/>
  <c r="J6" i="49"/>
  <c r="I6" i="49"/>
  <c r="E6" i="49"/>
  <c r="E5" i="49"/>
  <c r="K5" i="49"/>
  <c r="J5" i="49"/>
  <c r="I5" i="49"/>
  <c r="H5" i="49"/>
  <c r="K4" i="49"/>
  <c r="J4" i="49"/>
  <c r="I4" i="49"/>
  <c r="H4" i="49"/>
  <c r="G4" i="49"/>
  <c r="B5" i="47" l="1"/>
  <c r="F10" i="36"/>
  <c r="J10" i="38"/>
  <c r="J8" i="38"/>
  <c r="J6" i="38"/>
  <c r="C46" i="48"/>
  <c r="C56" i="48" s="1"/>
  <c r="D46" i="48"/>
  <c r="E46" i="48"/>
  <c r="C47" i="48"/>
  <c r="G47" i="48" s="1"/>
  <c r="D47" i="48"/>
  <c r="D56" i="48" s="1"/>
  <c r="E47" i="48"/>
  <c r="C48" i="48"/>
  <c r="D48" i="48"/>
  <c r="E48" i="48"/>
  <c r="G48" i="48"/>
  <c r="C49" i="48"/>
  <c r="G49" i="48" s="1"/>
  <c r="D49" i="48"/>
  <c r="E49" i="48"/>
  <c r="C50" i="48"/>
  <c r="G50" i="48" s="1"/>
  <c r="D50" i="48"/>
  <c r="E50" i="48"/>
  <c r="C51" i="48"/>
  <c r="D51" i="48"/>
  <c r="E51" i="48"/>
  <c r="G51" i="48"/>
  <c r="C52" i="48"/>
  <c r="G52" i="48" s="1"/>
  <c r="D52" i="48"/>
  <c r="E52" i="48"/>
  <c r="C53" i="48"/>
  <c r="G53" i="48" s="1"/>
  <c r="D53" i="48"/>
  <c r="E53" i="48"/>
  <c r="C54" i="48"/>
  <c r="D54" i="48"/>
  <c r="E54" i="48"/>
  <c r="G54" i="48"/>
  <c r="E56" i="48"/>
  <c r="F56" i="48"/>
  <c r="F61" i="48" s="1"/>
  <c r="H56" i="48"/>
  <c r="H61" i="48" s="1"/>
  <c r="I9" i="38" s="1"/>
  <c r="I56" i="48"/>
  <c r="J56" i="48"/>
  <c r="K56" i="48"/>
  <c r="L56" i="48"/>
  <c r="L61" i="48" s="1"/>
  <c r="I12" i="38" s="1"/>
  <c r="M56" i="48"/>
  <c r="C57" i="48"/>
  <c r="G57" i="48" s="1"/>
  <c r="D57" i="48"/>
  <c r="D60" i="48" s="1"/>
  <c r="E57" i="48"/>
  <c r="C58" i="48"/>
  <c r="G58" i="48" s="1"/>
  <c r="D58" i="48"/>
  <c r="E58" i="48"/>
  <c r="E60" i="48" s="1"/>
  <c r="E61" i="48" s="1"/>
  <c r="C59" i="48"/>
  <c r="G59" i="48" s="1"/>
  <c r="D59" i="48"/>
  <c r="E59" i="48"/>
  <c r="F60" i="48"/>
  <c r="H60" i="48"/>
  <c r="I60" i="48"/>
  <c r="I61" i="48" s="1"/>
  <c r="I8" i="38" s="1"/>
  <c r="J60" i="48"/>
  <c r="K60" i="48"/>
  <c r="L60" i="48"/>
  <c r="M60" i="48"/>
  <c r="M61" i="48" s="1"/>
  <c r="I13" i="38" s="1"/>
  <c r="J61" i="48"/>
  <c r="I10" i="38" s="1"/>
  <c r="K61" i="48"/>
  <c r="I11" i="38" s="1"/>
  <c r="C34" i="48"/>
  <c r="C38" i="48" s="1"/>
  <c r="C43" i="48" s="1"/>
  <c r="N7" i="38" s="1"/>
  <c r="D34" i="48"/>
  <c r="E34" i="48"/>
  <c r="G34" i="48"/>
  <c r="C35" i="48"/>
  <c r="D35" i="48"/>
  <c r="E35" i="48"/>
  <c r="G35" i="48"/>
  <c r="C36" i="48"/>
  <c r="G36" i="48" s="1"/>
  <c r="G38" i="48" s="1"/>
  <c r="D36" i="48"/>
  <c r="D38" i="48" s="1"/>
  <c r="D43" i="48" s="1"/>
  <c r="N6" i="38" s="1"/>
  <c r="E36" i="48"/>
  <c r="C37" i="48"/>
  <c r="D37" i="48"/>
  <c r="E37" i="48"/>
  <c r="G37" i="48"/>
  <c r="E38" i="48"/>
  <c r="F38" i="48"/>
  <c r="F43" i="48" s="1"/>
  <c r="H38" i="48"/>
  <c r="I38" i="48"/>
  <c r="J38" i="48"/>
  <c r="K38" i="48"/>
  <c r="L38" i="48"/>
  <c r="M38" i="48"/>
  <c r="C39" i="48"/>
  <c r="C42" i="48" s="1"/>
  <c r="G42" i="48" s="1"/>
  <c r="D39" i="48"/>
  <c r="E39" i="48"/>
  <c r="E42" i="48" s="1"/>
  <c r="C40" i="48"/>
  <c r="G40" i="48" s="1"/>
  <c r="D40" i="48"/>
  <c r="D42" i="48" s="1"/>
  <c r="E40" i="48"/>
  <c r="F42" i="48"/>
  <c r="H42" i="48"/>
  <c r="I42" i="48"/>
  <c r="I43" i="48" s="1"/>
  <c r="N8" i="38" s="1"/>
  <c r="J42" i="48"/>
  <c r="J43" i="48" s="1"/>
  <c r="N10" i="38" s="1"/>
  <c r="K42" i="48"/>
  <c r="K43" i="48" s="1"/>
  <c r="N11" i="38" s="1"/>
  <c r="L42" i="48"/>
  <c r="L43" i="48" s="1"/>
  <c r="N12" i="38" s="1"/>
  <c r="M42" i="48"/>
  <c r="H43" i="48"/>
  <c r="N9" i="38" s="1"/>
  <c r="M43" i="48"/>
  <c r="N13" i="38" s="1"/>
  <c r="M29" i="48"/>
  <c r="M31" i="48" s="1"/>
  <c r="L13" i="38" s="1"/>
  <c r="C30" i="48"/>
  <c r="G30" i="48" s="1"/>
  <c r="D30" i="48"/>
  <c r="E30" i="48"/>
  <c r="F31" i="48"/>
  <c r="H26" i="48"/>
  <c r="K9" i="38" s="1"/>
  <c r="L26" i="48"/>
  <c r="K12" i="38" s="1"/>
  <c r="M26" i="48"/>
  <c r="K13" i="38" s="1"/>
  <c r="C21" i="48"/>
  <c r="G21" i="48" s="1"/>
  <c r="G23" i="48" s="1"/>
  <c r="J5" i="38" s="1"/>
  <c r="D21" i="48"/>
  <c r="E21" i="48"/>
  <c r="C22" i="48"/>
  <c r="G22" i="48" s="1"/>
  <c r="D22" i="48"/>
  <c r="E22" i="48"/>
  <c r="D23" i="48"/>
  <c r="E23" i="48"/>
  <c r="F23" i="48"/>
  <c r="H23" i="48"/>
  <c r="J9" i="38" s="1"/>
  <c r="I23" i="48"/>
  <c r="J23" i="48"/>
  <c r="K23" i="48"/>
  <c r="J11" i="38" s="1"/>
  <c r="L23" i="48"/>
  <c r="J12" i="38" s="1"/>
  <c r="M23" i="48"/>
  <c r="J13" i="38" s="1"/>
  <c r="C5" i="48"/>
  <c r="D5" i="48"/>
  <c r="D13" i="48" s="1"/>
  <c r="E5" i="48"/>
  <c r="E13" i="48" s="1"/>
  <c r="G5" i="48"/>
  <c r="C6" i="48"/>
  <c r="C13" i="48" s="1"/>
  <c r="D6" i="48"/>
  <c r="E6" i="48"/>
  <c r="C7" i="48"/>
  <c r="D7" i="48"/>
  <c r="E7" i="48"/>
  <c r="G7" i="48"/>
  <c r="C8" i="48"/>
  <c r="D8" i="48"/>
  <c r="E8" i="48"/>
  <c r="G8" i="48"/>
  <c r="C9" i="48"/>
  <c r="G9" i="48" s="1"/>
  <c r="D9" i="48"/>
  <c r="E9" i="48"/>
  <c r="C10" i="48"/>
  <c r="D10" i="48"/>
  <c r="E10" i="48"/>
  <c r="G10" i="48"/>
  <c r="C11" i="48"/>
  <c r="D11" i="48"/>
  <c r="E11" i="48"/>
  <c r="G11" i="48"/>
  <c r="C12" i="48"/>
  <c r="G12" i="48" s="1"/>
  <c r="D12" i="48"/>
  <c r="E12" i="48"/>
  <c r="F13" i="48"/>
  <c r="F18" i="48" s="1"/>
  <c r="H13" i="48"/>
  <c r="H29" i="48" s="1"/>
  <c r="I13" i="48"/>
  <c r="I29" i="48" s="1"/>
  <c r="J13" i="48"/>
  <c r="J29" i="48" s="1"/>
  <c r="J31" i="48" s="1"/>
  <c r="L10" i="38" s="1"/>
  <c r="K13" i="48"/>
  <c r="K29" i="48" s="1"/>
  <c r="K31" i="48" s="1"/>
  <c r="L11" i="38" s="1"/>
  <c r="L13" i="48"/>
  <c r="L29" i="48" s="1"/>
  <c r="L31" i="48" s="1"/>
  <c r="L12" i="38" s="1"/>
  <c r="M13" i="48"/>
  <c r="C14" i="48"/>
  <c r="D14" i="48"/>
  <c r="E14" i="48"/>
  <c r="G14" i="48"/>
  <c r="C15" i="48"/>
  <c r="C17" i="48" s="1"/>
  <c r="D15" i="48"/>
  <c r="E15" i="48"/>
  <c r="E17" i="48" s="1"/>
  <c r="C16" i="48"/>
  <c r="G16" i="48" s="1"/>
  <c r="D16" i="48"/>
  <c r="E16" i="48"/>
  <c r="D17" i="48"/>
  <c r="H17" i="48"/>
  <c r="I17" i="48"/>
  <c r="J17" i="48"/>
  <c r="K17" i="48"/>
  <c r="L17" i="48"/>
  <c r="L18" i="48" s="1"/>
  <c r="M12" i="38" s="1"/>
  <c r="M17" i="48"/>
  <c r="M18" i="48" s="1"/>
  <c r="M13" i="38" s="1"/>
  <c r="I18" i="48"/>
  <c r="M8" i="38" s="1"/>
  <c r="C6" i="42"/>
  <c r="G55" i="37"/>
  <c r="G56" i="37"/>
  <c r="G57" i="37"/>
  <c r="G58" i="37"/>
  <c r="G59" i="37"/>
  <c r="G60" i="37"/>
  <c r="G61" i="37"/>
  <c r="G62" i="37"/>
  <c r="G63" i="37"/>
  <c r="G65" i="37"/>
  <c r="G66" i="37"/>
  <c r="G67" i="37"/>
  <c r="G68" i="37"/>
  <c r="G69" i="37"/>
  <c r="G70" i="37"/>
  <c r="G71" i="37"/>
  <c r="G72" i="37"/>
  <c r="C5" i="47"/>
  <c r="D29" i="48" l="1"/>
  <c r="D31" i="48" s="1"/>
  <c r="L6" i="38" s="1"/>
  <c r="I31" i="48"/>
  <c r="L8" i="38" s="1"/>
  <c r="G43" i="48"/>
  <c r="N5" i="38" s="1"/>
  <c r="D61" i="48"/>
  <c r="I6" i="38" s="1"/>
  <c r="C61" i="48"/>
  <c r="I7" i="38" s="1"/>
  <c r="G56" i="48"/>
  <c r="G61" i="48" s="1"/>
  <c r="I5" i="38" s="1"/>
  <c r="C29" i="48"/>
  <c r="H31" i="48"/>
  <c r="L9" i="38" s="1"/>
  <c r="G13" i="48"/>
  <c r="E26" i="48"/>
  <c r="E18" i="48"/>
  <c r="E43" i="48"/>
  <c r="G17" i="48"/>
  <c r="C18" i="48"/>
  <c r="M7" i="38" s="1"/>
  <c r="C26" i="48"/>
  <c r="K7" i="38" s="1"/>
  <c r="D18" i="48"/>
  <c r="M6" i="38" s="1"/>
  <c r="D26" i="48"/>
  <c r="K6" i="38" s="1"/>
  <c r="G15" i="48"/>
  <c r="K26" i="48"/>
  <c r="K11" i="38" s="1"/>
  <c r="G39" i="48"/>
  <c r="G46" i="48"/>
  <c r="K18" i="48"/>
  <c r="M11" i="38" s="1"/>
  <c r="C23" i="48"/>
  <c r="J7" i="38" s="1"/>
  <c r="J26" i="48"/>
  <c r="K10" i="38" s="1"/>
  <c r="J18" i="48"/>
  <c r="M10" i="38" s="1"/>
  <c r="I26" i="48"/>
  <c r="K8" i="38" s="1"/>
  <c r="H18" i="48"/>
  <c r="M9" i="38" s="1"/>
  <c r="C60" i="48"/>
  <c r="G60" i="48" s="1"/>
  <c r="F26" i="48"/>
  <c r="G6" i="48"/>
  <c r="E29" i="48"/>
  <c r="E31" i="48" s="1"/>
  <c r="H5" i="47"/>
  <c r="G5" i="47"/>
  <c r="F5" i="47"/>
  <c r="E5" i="47"/>
  <c r="D5" i="47"/>
  <c r="D5" i="35"/>
  <c r="G18" i="48" l="1"/>
  <c r="M5" i="38" s="1"/>
  <c r="G26" i="48"/>
  <c r="K5" i="38" s="1"/>
  <c r="G29" i="48"/>
  <c r="G31" i="48" s="1"/>
  <c r="L5" i="38" s="1"/>
  <c r="C31" i="48"/>
  <c r="L7" i="38" s="1"/>
  <c r="I10" i="36"/>
  <c r="H12" i="40"/>
  <c r="S18" i="27" l="1"/>
  <c r="R18" i="27"/>
  <c r="I23" i="27" l="1"/>
  <c r="I22" i="27"/>
  <c r="H25" i="27" l="1"/>
  <c r="J25" i="27" s="1"/>
  <c r="H24" i="27"/>
  <c r="J24" i="27" s="1"/>
  <c r="H23" i="27"/>
  <c r="J23" i="27" s="1"/>
  <c r="H22" i="27"/>
  <c r="J22" i="27" s="1"/>
  <c r="J18" i="27"/>
  <c r="H17" i="27"/>
  <c r="J17" i="27" s="1"/>
  <c r="H16" i="27"/>
  <c r="J16" i="27" s="1"/>
  <c r="H15" i="27"/>
  <c r="J15" i="27" s="1"/>
  <c r="J11" i="27"/>
  <c r="H13" i="27"/>
  <c r="J13" i="27" s="1"/>
  <c r="H10" i="27"/>
  <c r="J10" i="27" s="1"/>
  <c r="H9" i="27"/>
  <c r="J9" i="27" s="1"/>
  <c r="H8" i="27"/>
  <c r="J8" i="27" s="1"/>
  <c r="H32" i="27"/>
  <c r="J32" i="27" s="1"/>
  <c r="H38" i="27"/>
  <c r="J38" i="27" s="1"/>
  <c r="G6" i="36" l="1"/>
  <c r="F11" i="40" l="1"/>
  <c r="F10" i="40"/>
  <c r="F9" i="40"/>
  <c r="E20" i="37" l="1"/>
  <c r="C6" i="36"/>
  <c r="N9" i="30" l="1"/>
  <c r="N10" i="30"/>
  <c r="N11" i="30"/>
  <c r="D30" i="36" l="1"/>
  <c r="D7" i="36"/>
  <c r="V18" i="27" s="1"/>
  <c r="C61" i="37"/>
  <c r="H42" i="37"/>
  <c r="H64" i="37" s="1"/>
  <c r="E42" i="37"/>
  <c r="E64" i="37" s="1"/>
  <c r="I42" i="37" l="1"/>
  <c r="I64" i="37" s="1"/>
  <c r="F42" i="37"/>
  <c r="F64" i="37" s="1"/>
  <c r="G64" i="37" s="1"/>
  <c r="H20" i="37"/>
  <c r="F20" i="37"/>
  <c r="G39" i="37"/>
  <c r="I20" i="37" l="1"/>
  <c r="G20" i="37"/>
  <c r="S14" i="27"/>
  <c r="N14" i="27"/>
  <c r="O14" i="27" s="1"/>
  <c r="G25" i="37" l="1"/>
  <c r="G26" i="37"/>
  <c r="G27" i="37"/>
  <c r="G28" i="37"/>
  <c r="D13" i="29" l="1"/>
  <c r="T14" i="27"/>
  <c r="T19" i="27" s="1"/>
  <c r="T26" i="27"/>
  <c r="T32" i="27"/>
  <c r="V24" i="27" s="1"/>
  <c r="V22" i="27" s="1"/>
  <c r="V25" i="27" s="1"/>
  <c r="V23" i="27" s="1"/>
  <c r="V29" i="27" s="1"/>
  <c r="V15" i="27" s="1"/>
  <c r="V16" i="27" s="1"/>
  <c r="B8" i="36"/>
  <c r="H7" i="36"/>
  <c r="D6" i="36"/>
  <c r="G9" i="40"/>
  <c r="G10" i="40"/>
  <c r="G11" i="40"/>
  <c r="G12" i="40"/>
  <c r="J14" i="37"/>
  <c r="G14" i="37"/>
  <c r="C8" i="36"/>
  <c r="H6" i="36"/>
  <c r="F8" i="36"/>
  <c r="H5" i="36"/>
  <c r="D5" i="36"/>
  <c r="P30" i="27" l="1"/>
  <c r="P29" i="27"/>
  <c r="P31" i="27"/>
  <c r="P28" i="27"/>
  <c r="U23" i="27"/>
  <c r="P23" i="27"/>
  <c r="U25" i="27"/>
  <c r="P25" i="27"/>
  <c r="U17" i="27"/>
  <c r="P17" i="27"/>
  <c r="U22" i="27"/>
  <c r="P22" i="27"/>
  <c r="U13" i="27"/>
  <c r="P9" i="27"/>
  <c r="P10" i="27"/>
  <c r="P13" i="27"/>
  <c r="P12" i="27"/>
  <c r="P8" i="27"/>
  <c r="P11" i="27"/>
  <c r="U8" i="27"/>
  <c r="V13" i="27"/>
  <c r="V8" i="27"/>
  <c r="U15" i="27"/>
  <c r="P15" i="27"/>
  <c r="U18" i="27"/>
  <c r="P18" i="27"/>
  <c r="U24" i="27"/>
  <c r="P24" i="27"/>
  <c r="U16" i="27"/>
  <c r="P16" i="27"/>
  <c r="T39" i="27"/>
  <c r="B7" i="36" s="1"/>
  <c r="U28" i="27"/>
  <c r="U29" i="27"/>
  <c r="U11" i="27"/>
  <c r="U26" i="27"/>
  <c r="V31" i="27"/>
  <c r="U9" i="27"/>
  <c r="U30" i="27"/>
  <c r="V28" i="27"/>
  <c r="U10" i="27"/>
  <c r="U31" i="27"/>
  <c r="U12" i="27"/>
  <c r="V26" i="27"/>
  <c r="V30" i="27"/>
  <c r="V10" i="27"/>
  <c r="V11" i="27"/>
  <c r="V12" i="27"/>
  <c r="V9" i="27"/>
  <c r="E8" i="36"/>
  <c r="J12" i="40"/>
  <c r="L12" i="40"/>
  <c r="N12" i="40"/>
  <c r="G8" i="36"/>
  <c r="I8" i="36" s="1"/>
  <c r="C4" i="35"/>
  <c r="G5" i="35"/>
  <c r="F5" i="35"/>
  <c r="H4" i="36"/>
  <c r="D4" i="35"/>
  <c r="D4" i="36" s="1"/>
  <c r="H13" i="29"/>
  <c r="H15" i="29" s="1"/>
  <c r="D15" i="29"/>
  <c r="D17" i="36"/>
  <c r="E20" i="36"/>
  <c r="B27" i="36"/>
  <c r="C27" i="36"/>
  <c r="D27" i="36"/>
  <c r="E30" i="36"/>
  <c r="J18" i="30"/>
  <c r="C15" i="42"/>
  <c r="D14" i="41"/>
  <c r="E14" i="41" s="1"/>
  <c r="C16" i="41"/>
  <c r="I6" i="41" s="1"/>
  <c r="D7" i="41"/>
  <c r="E7" i="41" s="1"/>
  <c r="C9" i="41"/>
  <c r="H6" i="41" s="1"/>
  <c r="G12" i="30"/>
  <c r="G21" i="30" s="1"/>
  <c r="I23" i="29"/>
  <c r="H23" i="29"/>
  <c r="I19" i="29"/>
  <c r="H19" i="29"/>
  <c r="I15" i="29"/>
  <c r="G19" i="29"/>
  <c r="F19" i="29"/>
  <c r="G15" i="29"/>
  <c r="F15" i="29"/>
  <c r="E15" i="29"/>
  <c r="I73" i="37"/>
  <c r="H73" i="37"/>
  <c r="F73" i="37"/>
  <c r="E73" i="37"/>
  <c r="J56" i="37"/>
  <c r="J57" i="37"/>
  <c r="J58" i="37"/>
  <c r="J59" i="37"/>
  <c r="J60" i="37"/>
  <c r="J61" i="37"/>
  <c r="J62" i="37"/>
  <c r="J63" i="37"/>
  <c r="J65" i="37"/>
  <c r="J66" i="37"/>
  <c r="J67" i="37"/>
  <c r="J68" i="37"/>
  <c r="J69" i="37"/>
  <c r="J70" i="37"/>
  <c r="J71" i="37"/>
  <c r="J72" i="37"/>
  <c r="J55" i="37"/>
  <c r="E51" i="37"/>
  <c r="F51" i="37"/>
  <c r="H51" i="37"/>
  <c r="I51" i="37"/>
  <c r="I25" i="29" l="1"/>
  <c r="U32" i="27"/>
  <c r="H25" i="29"/>
  <c r="U14" i="27"/>
  <c r="U19" i="27" s="1"/>
  <c r="F25" i="29"/>
  <c r="V32" i="27"/>
  <c r="V14" i="27"/>
  <c r="V19" i="27" s="1"/>
  <c r="G25" i="29"/>
  <c r="E27" i="36"/>
  <c r="G73" i="37"/>
  <c r="J73" i="37"/>
  <c r="U39" i="27"/>
  <c r="V39" i="27"/>
  <c r="J33" i="37" l="1"/>
  <c r="J34" i="37"/>
  <c r="G51" i="37"/>
  <c r="E29" i="37" l="1"/>
  <c r="F29" i="37"/>
  <c r="F30" i="37"/>
  <c r="E30" i="37"/>
  <c r="J51" i="37"/>
  <c r="J50" i="37"/>
  <c r="G50" i="37"/>
  <c r="J49" i="37"/>
  <c r="G49" i="37"/>
  <c r="J48" i="37"/>
  <c r="G48" i="37"/>
  <c r="J47" i="37"/>
  <c r="G47" i="37"/>
  <c r="J46" i="37"/>
  <c r="G46" i="37"/>
  <c r="J45" i="37"/>
  <c r="G45" i="37"/>
  <c r="J44" i="37"/>
  <c r="G44" i="37"/>
  <c r="J43" i="37"/>
  <c r="G43" i="37"/>
  <c r="J41" i="37"/>
  <c r="G41" i="37"/>
  <c r="J40" i="37"/>
  <c r="G40" i="37"/>
  <c r="J39" i="37"/>
  <c r="J38" i="37"/>
  <c r="G38" i="37"/>
  <c r="J37" i="37"/>
  <c r="G37" i="37"/>
  <c r="J36" i="37"/>
  <c r="G36" i="37"/>
  <c r="J35" i="37"/>
  <c r="G35" i="37"/>
  <c r="G34" i="37"/>
  <c r="G33" i="37"/>
  <c r="I31" i="37"/>
  <c r="H31" i="37"/>
  <c r="I30" i="37"/>
  <c r="H30" i="37"/>
  <c r="I29" i="37"/>
  <c r="H29" i="37"/>
  <c r="E31" i="37"/>
  <c r="F31" i="37"/>
  <c r="J12" i="37"/>
  <c r="J13" i="37"/>
  <c r="J15" i="37"/>
  <c r="J16" i="37"/>
  <c r="J17" i="37"/>
  <c r="J18" i="37"/>
  <c r="J19" i="37"/>
  <c r="J21" i="37"/>
  <c r="J22" i="37"/>
  <c r="J23" i="37"/>
  <c r="J24" i="37"/>
  <c r="J25" i="37"/>
  <c r="J26" i="37"/>
  <c r="J27" i="37"/>
  <c r="J28" i="37"/>
  <c r="J11" i="37"/>
  <c r="G12" i="37"/>
  <c r="G13" i="37"/>
  <c r="G15" i="37"/>
  <c r="G16" i="37"/>
  <c r="G17" i="37"/>
  <c r="G18" i="37"/>
  <c r="G19" i="37"/>
  <c r="G21" i="37"/>
  <c r="G22" i="37"/>
  <c r="G23" i="37"/>
  <c r="G24" i="37"/>
  <c r="G11" i="37"/>
  <c r="E7" i="37"/>
  <c r="E6" i="37"/>
  <c r="E5" i="37"/>
  <c r="E47" i="36"/>
  <c r="E48" i="36"/>
  <c r="E49" i="36"/>
  <c r="E50" i="36"/>
  <c r="E51" i="36"/>
  <c r="E52" i="36"/>
  <c r="E53" i="36"/>
  <c r="D54" i="36"/>
  <c r="C46" i="36"/>
  <c r="C54" i="36" s="1"/>
  <c r="B46" i="36"/>
  <c r="D37" i="36"/>
  <c r="C5" i="35"/>
  <c r="B54" i="36" l="1"/>
  <c r="E54" i="36"/>
  <c r="G30" i="37"/>
  <c r="G31" i="37"/>
  <c r="J29" i="37"/>
  <c r="J31" i="37"/>
  <c r="E46" i="36"/>
  <c r="J30" i="37"/>
  <c r="G29" i="37"/>
  <c r="O18" i="30"/>
  <c r="N18" i="30"/>
  <c r="M18" i="30"/>
  <c r="L18" i="30"/>
  <c r="K18" i="30"/>
  <c r="O15" i="30"/>
  <c r="N15" i="30"/>
  <c r="O14" i="30"/>
  <c r="N14" i="30"/>
  <c r="M12" i="30"/>
  <c r="M20" i="30" s="1"/>
  <c r="L12" i="30"/>
  <c r="L20" i="30" s="1"/>
  <c r="F9" i="36" s="1"/>
  <c r="I9" i="36" s="1"/>
  <c r="K12" i="30"/>
  <c r="K20" i="30" s="1"/>
  <c r="J12" i="30"/>
  <c r="J20" i="30" s="1"/>
  <c r="B9" i="36" s="1"/>
  <c r="O11" i="30"/>
  <c r="O10" i="30"/>
  <c r="O9" i="30"/>
  <c r="H12" i="30"/>
  <c r="H21" i="30" s="1"/>
  <c r="I12" i="30"/>
  <c r="I21" i="30" s="1"/>
  <c r="S26" i="27"/>
  <c r="S19" i="27"/>
  <c r="H14" i="27"/>
  <c r="E74" i="37" l="1"/>
  <c r="E75" i="37"/>
  <c r="E9" i="36"/>
  <c r="O12" i="30"/>
  <c r="O20" i="30" s="1"/>
  <c r="N12" i="30"/>
  <c r="N20" i="30" s="1"/>
  <c r="E26" i="27"/>
  <c r="D18" i="36" s="1"/>
  <c r="H75" i="37" l="1"/>
  <c r="H74" i="37"/>
  <c r="I52" i="37"/>
  <c r="I53" i="37"/>
  <c r="D14" i="27"/>
  <c r="D19" i="27" s="1"/>
  <c r="B16" i="36" s="1"/>
  <c r="I75" i="37" l="1"/>
  <c r="J75" i="37" s="1"/>
  <c r="I74" i="37"/>
  <c r="J74" i="37" s="1"/>
  <c r="J64" i="37"/>
  <c r="G23" i="29"/>
  <c r="F23" i="29"/>
  <c r="E23" i="29"/>
  <c r="D23" i="29"/>
  <c r="E19" i="29"/>
  <c r="E25" i="29" s="1"/>
  <c r="D19" i="29"/>
  <c r="D25" i="29" s="1"/>
  <c r="S32" i="27"/>
  <c r="R32" i="27"/>
  <c r="Q32" i="27"/>
  <c r="N32" i="27"/>
  <c r="L32" i="27"/>
  <c r="B37" i="36" s="1"/>
  <c r="K32" i="27"/>
  <c r="F32" i="27"/>
  <c r="C17" i="36" s="1"/>
  <c r="E17" i="36" s="1"/>
  <c r="D32" i="27"/>
  <c r="B17" i="36" s="1"/>
  <c r="R26" i="27"/>
  <c r="Q26" i="27"/>
  <c r="N26" i="27"/>
  <c r="C38" i="36" s="1"/>
  <c r="M26" i="27"/>
  <c r="L26" i="27"/>
  <c r="B38" i="36" s="1"/>
  <c r="J26" i="27"/>
  <c r="C28" i="36" s="1"/>
  <c r="I26" i="27"/>
  <c r="D28" i="36" s="1"/>
  <c r="H26" i="27"/>
  <c r="B28" i="36" s="1"/>
  <c r="F26" i="27"/>
  <c r="C18" i="36" s="1"/>
  <c r="E18" i="36" s="1"/>
  <c r="D26" i="27"/>
  <c r="B18" i="36" s="1"/>
  <c r="O25" i="27"/>
  <c r="K25" i="27"/>
  <c r="O24" i="27"/>
  <c r="K24" i="27"/>
  <c r="G24" i="27"/>
  <c r="O23" i="27"/>
  <c r="K23" i="27"/>
  <c r="G23" i="27"/>
  <c r="O22" i="27"/>
  <c r="K22" i="27"/>
  <c r="G22" i="27"/>
  <c r="M19" i="27"/>
  <c r="I19" i="27"/>
  <c r="D26" i="36" s="1"/>
  <c r="E19" i="27"/>
  <c r="D16" i="36" s="1"/>
  <c r="D19" i="36" s="1"/>
  <c r="D21" i="36" s="1"/>
  <c r="O17" i="27"/>
  <c r="K17" i="27"/>
  <c r="G17" i="27"/>
  <c r="O16" i="27"/>
  <c r="K16" i="27"/>
  <c r="G16" i="27"/>
  <c r="O15" i="27"/>
  <c r="K15" i="27"/>
  <c r="G15" i="27"/>
  <c r="R14" i="27"/>
  <c r="Q14" i="27"/>
  <c r="Q19" i="27" s="1"/>
  <c r="L14" i="27"/>
  <c r="J14" i="27"/>
  <c r="H19" i="27"/>
  <c r="B26" i="36" s="1"/>
  <c r="F14" i="27"/>
  <c r="G14" i="27" s="1"/>
  <c r="J19" i="27" l="1"/>
  <c r="C26" i="36" s="1"/>
  <c r="K14" i="27"/>
  <c r="M39" i="27"/>
  <c r="J4" i="36" s="1"/>
  <c r="L19" i="27"/>
  <c r="L39" i="27" s="1"/>
  <c r="B4" i="35" s="1"/>
  <c r="Q39" i="27"/>
  <c r="D29" i="36"/>
  <c r="D31" i="36" s="1"/>
  <c r="J39" i="27"/>
  <c r="B19" i="36"/>
  <c r="B21" i="36" s="1"/>
  <c r="O32" i="27"/>
  <c r="C37" i="36"/>
  <c r="E37" i="36" s="1"/>
  <c r="S39" i="27"/>
  <c r="F5" i="36" s="1"/>
  <c r="I5" i="36" s="1"/>
  <c r="D8" i="41"/>
  <c r="E8" i="41" s="1"/>
  <c r="D15" i="41"/>
  <c r="E15" i="41" s="1"/>
  <c r="D38" i="36"/>
  <c r="E38" i="36" s="1"/>
  <c r="B29" i="36"/>
  <c r="B31" i="36" s="1"/>
  <c r="E28" i="36"/>
  <c r="D6" i="41"/>
  <c r="D13" i="41"/>
  <c r="D36" i="36"/>
  <c r="N19" i="27"/>
  <c r="E26" i="36"/>
  <c r="C29" i="36"/>
  <c r="G32" i="27"/>
  <c r="H39" i="27"/>
  <c r="G26" i="27"/>
  <c r="I39" i="27"/>
  <c r="O26" i="27"/>
  <c r="R19" i="27"/>
  <c r="P26" i="27"/>
  <c r="P32" i="27"/>
  <c r="K26" i="27"/>
  <c r="F19" i="27"/>
  <c r="C16" i="36" s="1"/>
  <c r="K19" i="27"/>
  <c r="P14" i="27"/>
  <c r="P19" i="27" s="1"/>
  <c r="K39" i="27" l="1"/>
  <c r="B36" i="36"/>
  <c r="B39" i="36" s="1"/>
  <c r="B41" i="36" s="1"/>
  <c r="C36" i="36"/>
  <c r="E36" i="36" s="1"/>
  <c r="N39" i="27"/>
  <c r="F7" i="36"/>
  <c r="I7" i="36" s="1"/>
  <c r="D39" i="36"/>
  <c r="D41" i="36" s="1"/>
  <c r="E13" i="41"/>
  <c r="D16" i="41"/>
  <c r="E16" i="41" s="1"/>
  <c r="E6" i="41"/>
  <c r="D9" i="41"/>
  <c r="E9" i="41" s="1"/>
  <c r="E7" i="36"/>
  <c r="O19" i="27"/>
  <c r="C31" i="36"/>
  <c r="E31" i="36" s="1"/>
  <c r="E29" i="36"/>
  <c r="N3" i="36" s="1"/>
  <c r="E16" i="36"/>
  <c r="C19" i="36"/>
  <c r="P39" i="27"/>
  <c r="G19" i="27"/>
  <c r="F12" i="30"/>
  <c r="F21" i="30" s="1"/>
  <c r="E12" i="30"/>
  <c r="E21" i="30" s="1"/>
  <c r="D12" i="30"/>
  <c r="D21" i="30" s="1"/>
  <c r="C39" i="36" l="1"/>
  <c r="E39" i="36"/>
  <c r="C41" i="36"/>
  <c r="E41" i="36" s="1"/>
  <c r="M3" i="36" s="1"/>
  <c r="C21" i="36"/>
  <c r="E21" i="36" s="1"/>
  <c r="E19" i="36"/>
  <c r="K38" i="27"/>
  <c r="R39" i="27" l="1"/>
  <c r="B5" i="36" s="1"/>
  <c r="E5" i="36" l="1"/>
  <c r="B5" i="35"/>
  <c r="E5" i="35" s="1"/>
  <c r="D39" i="27"/>
  <c r="E39" i="27"/>
  <c r="F39" i="27"/>
  <c r="B4" i="36" l="1"/>
  <c r="B6" i="36" s="1"/>
  <c r="E4" i="35"/>
  <c r="F4" i="36"/>
  <c r="I4" i="36" s="1"/>
  <c r="G39" i="27"/>
  <c r="O39" i="27"/>
  <c r="F6" i="36" l="1"/>
  <c r="I6" i="36" s="1"/>
  <c r="E4" i="36"/>
  <c r="E6" i="36"/>
  <c r="E53" i="37" l="1"/>
  <c r="E52" i="37"/>
  <c r="F52" i="37"/>
  <c r="G42" i="37" l="1"/>
  <c r="G52" i="37"/>
  <c r="H53" i="37"/>
  <c r="J53" i="37" s="1"/>
  <c r="H52" i="37"/>
  <c r="J52" i="37" s="1"/>
  <c r="J42" i="37"/>
  <c r="F53" i="37"/>
  <c r="G53" i="37" s="1"/>
  <c r="F75" i="37" l="1"/>
  <c r="G75" i="37" s="1"/>
  <c r="F74" i="37"/>
  <c r="G74" i="37" s="1"/>
</calcChain>
</file>

<file path=xl/sharedStrings.xml><?xml version="1.0" encoding="utf-8"?>
<sst xmlns="http://schemas.openxmlformats.org/spreadsheetml/2006/main" count="832" uniqueCount="369">
  <si>
    <t>Reporting Period</t>
  </si>
  <si>
    <t>FY23-Q4</t>
  </si>
  <si>
    <t>Program/Utility Information</t>
  </si>
  <si>
    <t>Participants</t>
  </si>
  <si>
    <r>
      <t xml:space="preserve">Budget &amp; Expenses </t>
    </r>
    <r>
      <rPr>
        <b/>
        <sz val="11"/>
        <color theme="1"/>
        <rFont val="Calibri"/>
        <family val="2"/>
        <scheme val="minor"/>
      </rPr>
      <t>($000)</t>
    </r>
  </si>
  <si>
    <t>Energy Savings</t>
  </si>
  <si>
    <t>Utility</t>
  </si>
  <si>
    <t>Sector</t>
  </si>
  <si>
    <t>Program</t>
  </si>
  <si>
    <t>Sub-Program</t>
  </si>
  <si>
    <t>YTD Reported Participation Number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</si>
  <si>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</si>
  <si>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</si>
  <si>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</si>
  <si>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</si>
  <si>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</si>
  <si>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</si>
  <si>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</si>
  <si>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</si>
  <si>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ACE</t>
  </si>
  <si>
    <t>Residential</t>
  </si>
  <si>
    <t>Efficient Products</t>
  </si>
  <si>
    <t>HVAC</t>
  </si>
  <si>
    <t>Appliance Rebates</t>
  </si>
  <si>
    <t>Appliance Recycling</t>
  </si>
  <si>
    <t>Online Marketplace</t>
  </si>
  <si>
    <t>Food Banks</t>
  </si>
  <si>
    <t>Others - Lighting</t>
  </si>
  <si>
    <t>Existing Homes</t>
  </si>
  <si>
    <t>HPwES</t>
  </si>
  <si>
    <t>Quick Home Energy Check-Up</t>
  </si>
  <si>
    <t>Moderate Income Weatherization</t>
  </si>
  <si>
    <t>Home Energy Education &amp; Management</t>
  </si>
  <si>
    <t>Behavioral</t>
  </si>
  <si>
    <t>Commercial</t>
  </si>
  <si>
    <t>Direct Install</t>
  </si>
  <si>
    <t>Energy Solutions for Business</t>
  </si>
  <si>
    <t>Prescriptive/Custom</t>
  </si>
  <si>
    <t>Energy Management</t>
  </si>
  <si>
    <t>Engineered Solutions</t>
  </si>
  <si>
    <t>Multi-Family</t>
  </si>
  <si>
    <t>Comfort Partners</t>
  </si>
  <si>
    <t>Supportive costs outside portfolio</t>
  </si>
  <si>
    <t>Utility-Administered Programs ex-ante energy savings 
(MWh)</t>
  </si>
  <si>
    <t>Comfort Partners ex-ante energy savings  (MWh)</t>
  </si>
  <si>
    <r>
      <t>Other Programs ex-ante energy savings  (MWh)</t>
    </r>
    <r>
      <rPr>
        <vertAlign val="superscript"/>
        <sz val="9"/>
        <color rgb="FFFFFFFF"/>
        <rFont val="Calibri"/>
        <family val="2"/>
        <scheme val="minor"/>
      </rPr>
      <t>1</t>
    </r>
  </si>
  <si>
    <r>
      <t>Total ex-ante energy savings</t>
    </r>
    <r>
      <rPr>
        <vertAlign val="superscript"/>
        <sz val="9"/>
        <color rgb="FFFFFFFF"/>
        <rFont val="Calibri"/>
        <family val="2"/>
        <scheme val="minor"/>
      </rPr>
      <t>3</t>
    </r>
    <r>
      <rPr>
        <sz val="9"/>
        <color indexed="9"/>
        <rFont val="Calibri"/>
        <family val="2"/>
        <scheme val="minor"/>
      </rPr>
      <t xml:space="preserve">
(MWh)</t>
    </r>
  </si>
  <si>
    <r>
      <rPr>
        <sz val="9"/>
        <color rgb="FFFFFFFF"/>
        <rFont val="Calibri"/>
        <family val="2"/>
      </rPr>
      <t>Compliance Baseline  (MWh)</t>
    </r>
    <r>
      <rPr>
        <vertAlign val="superscript"/>
        <sz val="9"/>
        <color rgb="FFFFFFFF"/>
        <rFont val="Calibri"/>
        <family val="2"/>
      </rPr>
      <t>2</t>
    </r>
  </si>
  <si>
    <t>Annual Target
 (%)</t>
  </si>
  <si>
    <t>Annual Target 
(MWh)</t>
  </si>
  <si>
    <t xml:space="preserve">Percent of Annual Target 
(%) </t>
  </si>
  <si>
    <t>(A)</t>
  </si>
  <si>
    <t>(B)</t>
  </si>
  <si>
    <t xml:space="preserve">(C) </t>
  </si>
  <si>
    <t xml:space="preserve">(D) = (A)+(B)+(C) </t>
  </si>
  <si>
    <t>(E)</t>
  </si>
  <si>
    <t>(F)</t>
  </si>
  <si>
    <t>(G) = (E)*(F)</t>
  </si>
  <si>
    <t>(H) = (D) / (G)</t>
  </si>
  <si>
    <t>Quarter</t>
  </si>
  <si>
    <t>YTD</t>
  </si>
  <si>
    <r>
      <rPr>
        <vertAlign val="superscript"/>
        <sz val="9"/>
        <color theme="1"/>
        <rFont val="Times New Roman"/>
        <family val="1"/>
      </rPr>
      <t>1</t>
    </r>
    <r>
      <rPr>
        <sz val="9"/>
        <color theme="1"/>
        <rFont val="Times New Roman"/>
        <family val="1"/>
      </rPr>
      <t xml:space="preserve">Other Programs include merger/legacy-committed EE programs – QHEC and Behavior. Note: Behavioral was only merger funded through Q2 of PY23.
</t>
    </r>
    <r>
      <rPr>
        <vertAlign val="superscript"/>
        <sz val="9"/>
        <color theme="1"/>
        <rFont val="Times New Roman"/>
        <family val="1"/>
      </rPr>
      <t xml:space="preserve">2 </t>
    </r>
    <r>
      <rPr>
        <sz val="9"/>
        <color theme="1"/>
        <rFont val="Times New Roman"/>
        <family val="1"/>
      </rPr>
      <t xml:space="preserve">Includes sales as reported on FERC Form-1, as adjusted for the given sales period (planning year).
</t>
    </r>
    <r>
      <rPr>
        <vertAlign val="superscript"/>
        <sz val="9"/>
        <color theme="1"/>
        <rFont val="Times New Roman"/>
        <family val="1"/>
      </rPr>
      <t>3</t>
    </r>
    <r>
      <rPr>
        <sz val="9"/>
        <color theme="1"/>
        <rFont val="Times New Roman"/>
        <family val="1"/>
      </rPr>
      <t xml:space="preserve">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 </t>
    </r>
  </si>
  <si>
    <t>Table 2 – Quantitative Performance Indicators</t>
  </si>
  <si>
    <t>Annual Energy Savings</t>
  </si>
  <si>
    <t>Expenditures</t>
  </si>
  <si>
    <t>Year to Date</t>
  </si>
  <si>
    <t>Utility-Administered Plan Year Results</t>
  </si>
  <si>
    <t>Comfort Partners Plan Year Results</t>
  </si>
  <si>
    <t>Other Programs Plan Year Results</t>
  </si>
  <si>
    <t>Total Plan Year Results</t>
  </si>
  <si>
    <t>Utility-Administered Plan Year Results YTD</t>
  </si>
  <si>
    <t>Comfort Partners Plan Year Results YTD</t>
  </si>
  <si>
    <t>Other Programs Plan Year Results YTD</t>
  </si>
  <si>
    <r>
      <t>Annual Target</t>
    </r>
    <r>
      <rPr>
        <vertAlign val="superscript"/>
        <sz val="9"/>
        <color rgb="FFFFFFFF"/>
        <rFont val="Calibri"/>
        <family val="2"/>
        <scheme val="minor"/>
      </rPr>
      <t>1</t>
    </r>
  </si>
  <si>
    <t>Percent of Annual Target Achieved</t>
  </si>
  <si>
    <t>Annual Energy Savings (MWh)</t>
  </si>
  <si>
    <t>Lifetime Savings (MWh)</t>
  </si>
  <si>
    <t>Lifetime Persisting Demand Savings (MW-year)</t>
  </si>
  <si>
    <t>Annual Demand Savings (MW)</t>
  </si>
  <si>
    <t>Low/Moderate-Income Lifetime Savings (MWh)</t>
  </si>
  <si>
    <t>Small Commercial Lifetime Savings (MWh)</t>
  </si>
  <si>
    <t>Net Present Value of Utility Cost Test Net Benefits ($)</t>
  </si>
  <si>
    <r>
      <rPr>
        <vertAlign val="superscript"/>
        <sz val="9"/>
        <color rgb="FF000000"/>
        <rFont val="Times New Roman"/>
        <family val="1"/>
      </rPr>
      <t>1</t>
    </r>
    <r>
      <rPr>
        <sz val="9"/>
        <color rgb="FF000000"/>
        <rFont val="Times New Roman"/>
        <family val="1"/>
      </rPr>
      <t xml:space="preserve"> Annual Targets reflect estimated impacts as filed by the Company's 2021-2024 Clean Energy Filing
</t>
    </r>
    <r>
      <rPr>
        <vertAlign val="superscript"/>
        <sz val="9"/>
        <color rgb="FF000000"/>
        <rFont val="Times New Roman"/>
        <family val="1"/>
      </rPr>
      <t xml:space="preserve">
</t>
    </r>
  </si>
  <si>
    <t>Table 3 – Sector-Level Participation</t>
  </si>
  <si>
    <r>
      <t>Sector</t>
    </r>
    <r>
      <rPr>
        <vertAlign val="superscript"/>
        <sz val="9"/>
        <color indexed="9"/>
        <rFont val="Calibri"/>
        <family val="2"/>
        <scheme val="minor"/>
      </rPr>
      <t>1</t>
    </r>
  </si>
  <si>
    <t>Quarter Participants</t>
  </si>
  <si>
    <t>YTD Participants</t>
  </si>
  <si>
    <t>Annual Forecasted Participants</t>
  </si>
  <si>
    <t>Percent of Annual Forecast</t>
  </si>
  <si>
    <t>Multifamily</t>
  </si>
  <si>
    <r>
      <t>C&amp;I</t>
    </r>
    <r>
      <rPr>
        <vertAlign val="superscript"/>
        <sz val="11"/>
        <color theme="1"/>
        <rFont val="Calibri"/>
        <family val="2"/>
        <scheme val="minor"/>
      </rPr>
      <t>2</t>
    </r>
  </si>
  <si>
    <t>Reported Totals for Utility Administered Programs</t>
  </si>
  <si>
    <r>
      <t>Comfort Partners</t>
    </r>
    <r>
      <rPr>
        <vertAlign val="superscript"/>
        <sz val="11"/>
        <color theme="1"/>
        <rFont val="Calibri"/>
        <family val="2"/>
        <scheme val="minor"/>
      </rPr>
      <t>3</t>
    </r>
  </si>
  <si>
    <t>Utility Total</t>
  </si>
  <si>
    <r>
      <rPr>
        <vertAlign val="superscript"/>
        <sz val="9"/>
        <color theme="1"/>
        <rFont val="Times New Roman"/>
        <family val="1"/>
      </rPr>
      <t>1</t>
    </r>
    <r>
      <rPr>
        <sz val="9"/>
        <color theme="1"/>
        <rFont val="Times New Roman"/>
        <family val="1"/>
      </rPr>
      <t xml:space="preserve">Note that these numbers are totals across all programs within a sector.  The appendix shows the participation numbers for individual programs.  Participation from merger-funded programming is not omitted from these values.
</t>
    </r>
    <r>
      <rPr>
        <vertAlign val="superscript"/>
        <sz val="9"/>
        <color theme="1"/>
        <rFont val="Times New Roman"/>
        <family val="1"/>
      </rPr>
      <t xml:space="preserve">2 </t>
    </r>
    <r>
      <rPr>
        <sz val="9"/>
        <color theme="1"/>
        <rFont val="Times New Roman"/>
        <family val="1"/>
      </rPr>
      <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t>
    </r>
    <r>
      <rPr>
        <vertAlign val="superscript"/>
        <sz val="9"/>
        <color theme="1"/>
        <rFont val="Times New Roman"/>
        <family val="1"/>
      </rPr>
      <t xml:space="preserve">3 </t>
    </r>
    <r>
      <rPr>
        <sz val="9"/>
        <color theme="1"/>
        <rFont val="Times New Roman"/>
        <family val="1"/>
      </rPr>
      <t>Comfort Partners, the primary program serving low-income customers, is co-managed by the BPU’s Division of Clean Energy in conjunction with ACE and the other investor-owned electric and gas utility companies.</t>
    </r>
  </si>
  <si>
    <t>Table 4 – Sector-Level Expenditures</t>
  </si>
  <si>
    <r>
      <t>Expenditures</t>
    </r>
    <r>
      <rPr>
        <vertAlign val="superscript"/>
        <sz val="9"/>
        <color indexed="9"/>
        <rFont val="Calibri"/>
        <family val="2"/>
        <scheme val="minor"/>
      </rPr>
      <t>1</t>
    </r>
  </si>
  <si>
    <t>Quarter Expenditures ($000)</t>
  </si>
  <si>
    <t>YTD Expenditures ($000)</t>
  </si>
  <si>
    <t>Annual Budget Expenditures ($000)</t>
  </si>
  <si>
    <t>Percent of Annual Budget</t>
  </si>
  <si>
    <t>C&amp;I</t>
  </si>
  <si>
    <r>
      <rPr>
        <vertAlign val="superscript"/>
        <sz val="9"/>
        <color rgb="FF000000"/>
        <rFont val="Times New Roman"/>
        <family val="1"/>
      </rPr>
      <t xml:space="preserve">1 </t>
    </r>
    <r>
      <rPr>
        <sz val="9"/>
        <color rgb="FF000000"/>
        <rFont val="Times New Roman"/>
        <family val="1"/>
      </rPr>
      <t>Expenditures include rebates, incentives, and loans, as well as program administration costs allocated across programs.  Expenditures from merger-funded programming and Supportive Costs Outside Portfolio are omitted from these values.</t>
    </r>
  </si>
  <si>
    <t>Table 5 – Sector-Level Energy Savings</t>
  </si>
  <si>
    <r>
      <t>Annual Energy Savings</t>
    </r>
    <r>
      <rPr>
        <vertAlign val="superscript"/>
        <sz val="9"/>
        <color indexed="9"/>
        <rFont val="Calibri"/>
        <family val="2"/>
        <scheme val="minor"/>
      </rPr>
      <t>1</t>
    </r>
  </si>
  <si>
    <t>Quarter Retail (MWh)</t>
  </si>
  <si>
    <t>YTD Retail (MWh)</t>
  </si>
  <si>
    <t>Annual Target Retail Savings (MWh)</t>
  </si>
  <si>
    <t>Percent of Annual Target</t>
  </si>
  <si>
    <t>N/A</t>
  </si>
  <si>
    <r>
      <rPr>
        <vertAlign val="superscript"/>
        <sz val="9"/>
        <color rgb="FF000000"/>
        <rFont val="Times New Roman"/>
        <family val="1"/>
      </rPr>
      <t xml:space="preserve">1 </t>
    </r>
    <r>
      <rPr>
        <sz val="9"/>
        <color rgb="FF000000"/>
        <rFont val="Times New Roman"/>
        <family val="1"/>
      </rPr>
      <t>Annal energy savings represent the total expected annual savings from all energy efficiency measures within each sector and includes savings from merger-funded programs.</t>
    </r>
  </si>
  <si>
    <t>Table 6 – Annual Costs and Budget Variances by Category</t>
  </si>
  <si>
    <r>
      <t>Total Utility EE/PDR</t>
    </r>
    <r>
      <rPr>
        <vertAlign val="superscript"/>
        <sz val="9"/>
        <color rgb="FFFFFFFF"/>
        <rFont val="Calibri"/>
        <family val="2"/>
        <scheme val="minor"/>
      </rPr>
      <t>1</t>
    </r>
  </si>
  <si>
    <t>Quarter Reported ($000)</t>
  </si>
  <si>
    <t>YTD Reported ($000)</t>
  </si>
  <si>
    <t>Full Year Budget ($000)</t>
  </si>
  <si>
    <r>
      <t>Percent of Annual Budget Spent</t>
    </r>
    <r>
      <rPr>
        <vertAlign val="superscript"/>
        <sz val="9"/>
        <color rgb="FFFFFFFF"/>
        <rFont val="Calibri"/>
        <family val="2"/>
        <scheme val="minor"/>
      </rPr>
      <t>2</t>
    </r>
  </si>
  <si>
    <t>Capital Costs</t>
  </si>
  <si>
    <t>Utility Administration</t>
  </si>
  <si>
    <t>Marketing</t>
  </si>
  <si>
    <t>Outside Services</t>
  </si>
  <si>
    <t>Rebates</t>
  </si>
  <si>
    <t>No- or Low-Interest Loans</t>
  </si>
  <si>
    <t>Evaluation, Measurement &amp; Verification ("EM&amp;V")</t>
  </si>
  <si>
    <t>Inspections &amp; Quality Control</t>
  </si>
  <si>
    <r>
      <rPr>
        <vertAlign val="superscript"/>
        <sz val="9"/>
        <color rgb="FF000000"/>
        <rFont val="Times New Roman"/>
        <family val="1"/>
      </rPr>
      <t>1</t>
    </r>
    <r>
      <rPr>
        <sz val="9"/>
        <color rgb="FF000000"/>
        <rFont val="Times New Roman"/>
        <family val="1"/>
      </rPr>
      <t xml:space="preserve"> Categories herein align to ACE’s EE plan as approved by the Board.
</t>
    </r>
    <r>
      <rPr>
        <vertAlign val="superscript"/>
        <sz val="9"/>
        <color rgb="FF000000"/>
        <rFont val="Times New Roman"/>
        <family val="1"/>
      </rPr>
      <t xml:space="preserve">2 </t>
    </r>
    <r>
      <rPr>
        <sz val="9"/>
        <color rgb="FF000000"/>
        <rFont val="Times New Roman"/>
        <family val="1"/>
      </rPr>
      <t>While annual budgets are used for informational purposes, the portfolio is managed to a total not-to-exceed amount established by cost category for the full triennial program cycle.</t>
    </r>
  </si>
  <si>
    <t>Table 7 – Equity Performance</t>
  </si>
  <si>
    <t>Territory-Level Benchmarks</t>
  </si>
  <si>
    <r>
      <t>Overburdened</t>
    </r>
    <r>
      <rPr>
        <vertAlign val="superscript"/>
        <sz val="9"/>
        <color indexed="9"/>
        <rFont val="Calibri"/>
        <family val="2"/>
        <scheme val="minor"/>
      </rPr>
      <t>1</t>
    </r>
  </si>
  <si>
    <t>Non-Overburdened</t>
  </si>
  <si>
    <r>
      <t>%OBC</t>
    </r>
    <r>
      <rPr>
        <vertAlign val="superscript"/>
        <sz val="9"/>
        <color rgb="FFFFFFFF"/>
        <rFont val="Calibri"/>
        <family val="2"/>
        <scheme val="minor"/>
      </rPr>
      <t>2</t>
    </r>
  </si>
  <si>
    <t>Population</t>
  </si>
  <si>
    <t># of Household Accounts</t>
  </si>
  <si>
    <t># of Business Accounts</t>
  </si>
  <si>
    <t>Total Annual Energy (MWh)</t>
  </si>
  <si>
    <t>Programs</t>
  </si>
  <si>
    <t>Sub Program or Offering</t>
  </si>
  <si>
    <t>Type of Program/Offering</t>
  </si>
  <si>
    <r>
      <t>Quarter Overburdened</t>
    </r>
    <r>
      <rPr>
        <vertAlign val="superscript"/>
        <sz val="9"/>
        <color indexed="9"/>
        <rFont val="Calibri"/>
        <family val="2"/>
        <scheme val="minor"/>
      </rPr>
      <t>1</t>
    </r>
  </si>
  <si>
    <t>Quarter Non-Overburdened</t>
  </si>
  <si>
    <r>
      <t>Annual Overburdened</t>
    </r>
    <r>
      <rPr>
        <vertAlign val="superscript"/>
        <sz val="9"/>
        <color indexed="9"/>
        <rFont val="Calibri"/>
        <family val="2"/>
        <scheme val="minor"/>
      </rPr>
      <t>1</t>
    </r>
  </si>
  <si>
    <t>Annual Non-Overburdened</t>
  </si>
  <si>
    <t>Residential - Efficient Products</t>
  </si>
  <si>
    <t>Core</t>
  </si>
  <si>
    <t>Residential - Existing Homes</t>
  </si>
  <si>
    <t>Home Performance with Energy Star</t>
  </si>
  <si>
    <t>Additional</t>
  </si>
  <si>
    <t>Res - Home Energy Education &amp; Management</t>
  </si>
  <si>
    <t xml:space="preserve"> </t>
  </si>
  <si>
    <t>C&amp;I Direct Install</t>
  </si>
  <si>
    <t>Total Core Participation</t>
  </si>
  <si>
    <t>Total Additional Participation</t>
  </si>
  <si>
    <t>Total Participation</t>
  </si>
  <si>
    <t>Total Core Annual Energy Savings</t>
  </si>
  <si>
    <t>Total Additional Annual Energy Savings</t>
  </si>
  <si>
    <t>Total Annual Energy Savings</t>
  </si>
  <si>
    <t>Lifetime Energy Savings (MWh)</t>
  </si>
  <si>
    <t>Total Core Lifetime Energy Savings</t>
  </si>
  <si>
    <t>Total Additional Lifetime Energy Savings</t>
  </si>
  <si>
    <t>Total Lifetime Energy Savings</t>
  </si>
  <si>
    <r>
      <rPr>
        <vertAlign val="superscript"/>
        <sz val="9"/>
        <color theme="1"/>
        <rFont val="Times New Roman"/>
        <family val="1"/>
      </rPr>
      <t>1</t>
    </r>
    <r>
      <rPr>
        <sz val="9"/>
        <color theme="1"/>
        <rFont val="Times New Roman"/>
        <family val="1"/>
      </rPr>
      <t xml:space="preserve">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t>
    </r>
    <r>
      <rPr>
        <vertAlign val="superscript"/>
        <sz val="9"/>
        <color theme="1"/>
        <rFont val="Times New Roman"/>
        <family val="1"/>
      </rPr>
      <t>2</t>
    </r>
    <r>
      <rPr>
        <sz val="9"/>
        <color theme="1"/>
        <rFont val="Times New Roman"/>
        <family val="1"/>
      </rPr>
      <t>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t>
    </r>
  </si>
  <si>
    <t>Table 8 -  Benefit-Cost Test Results</t>
  </si>
  <si>
    <t>Initial</t>
  </si>
  <si>
    <t>Final</t>
  </si>
  <si>
    <t>NJCT</t>
  </si>
  <si>
    <t>PCT</t>
  </si>
  <si>
    <t>PACT</t>
  </si>
  <si>
    <t>RIMT</t>
  </si>
  <si>
    <t>TRCT</t>
  </si>
  <si>
    <t>SCT</t>
  </si>
  <si>
    <t>Portfolio Total</t>
  </si>
  <si>
    <t>Other Programs</t>
  </si>
  <si>
    <t>Table 9 - Legacy Program Totals</t>
  </si>
  <si>
    <t>($000's)</t>
  </si>
  <si>
    <t>ELECTRIC SAVINGS - Installed</t>
  </si>
  <si>
    <t>GAS &amp; OTHER FUEL SAVINGS - Installed</t>
  </si>
  <si>
    <t>Total Budget</t>
  </si>
  <si>
    <t>Total Expenses</t>
  </si>
  <si>
    <t>Peak Demand Electric Savings (MW)</t>
  </si>
  <si>
    <t>Annual Electric Savings (MWh)</t>
  </si>
  <si>
    <t>Lifetime Electric Savings (MWh)</t>
  </si>
  <si>
    <t>Annual Gas Savings (MMBtu)</t>
  </si>
  <si>
    <t>Lifetime Gas Savings (MMBtu)</t>
  </si>
  <si>
    <t xml:space="preserve">In Word document only </t>
  </si>
  <si>
    <t>Energy Efficiency and PDR Savings Summary</t>
  </si>
  <si>
    <t>For Period Ending PY23 Q4</t>
  </si>
  <si>
    <t>Participation</t>
  </si>
  <si>
    <t>Actual Expenditures</t>
  </si>
  <si>
    <t>Ex Ante Energy Savings</t>
  </si>
  <si>
    <t>**Suplement for Annual Report</t>
  </si>
  <si>
    <t>A</t>
  </si>
  <si>
    <t>B</t>
  </si>
  <si>
    <t>C</t>
  </si>
  <si>
    <t>D=C/B</t>
  </si>
  <si>
    <t>E</t>
  </si>
  <si>
    <t>F</t>
  </si>
  <si>
    <t>G</t>
  </si>
  <si>
    <t>H=G/F</t>
  </si>
  <si>
    <t>I</t>
  </si>
  <si>
    <t>J</t>
  </si>
  <si>
    <t>K</t>
  </si>
  <si>
    <t>L=K/J</t>
  </si>
  <si>
    <t>M</t>
  </si>
  <si>
    <t>N</t>
  </si>
  <si>
    <t>O</t>
  </si>
  <si>
    <t>P</t>
  </si>
  <si>
    <t>Q</t>
  </si>
  <si>
    <t>R</t>
  </si>
  <si>
    <t>S</t>
  </si>
  <si>
    <t>Annual Forecasted Participation Number</t>
  </si>
  <si>
    <t>YTD % of Annual Participants</t>
  </si>
  <si>
    <t>Quarter ($000)</t>
  </si>
  <si>
    <r>
      <t xml:space="preserve">Annual Forecasted Program Costs ($000) </t>
    </r>
    <r>
      <rPr>
        <vertAlign val="superscript"/>
        <sz val="9"/>
        <color rgb="FFFFFFFF"/>
        <rFont val="Calibri"/>
        <family val="2"/>
        <scheme val="minor"/>
      </rPr>
      <t>2,5</t>
    </r>
  </si>
  <si>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</si>
  <si>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</si>
  <si>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</si>
  <si>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</si>
  <si>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</si>
  <si>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</si>
  <si>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</si>
  <si>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</si>
  <si>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</si>
  <si>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</si>
  <si>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Current Quarter Retail Peak Demand Savings (MW)</t>
  </si>
  <si>
    <t>Current Quarter  Lifetime Wholesale Energy Savings (MWh)</t>
  </si>
  <si>
    <t>Current Quarter Wholesale Peak Demand Savings (MW)</t>
  </si>
  <si>
    <t>Residential Programs</t>
  </si>
  <si>
    <r>
      <t>Sub Program or Category</t>
    </r>
    <r>
      <rPr>
        <b/>
        <vertAlign val="superscript"/>
        <sz val="11"/>
        <color theme="1"/>
        <rFont val="Calibri"/>
        <family val="2"/>
        <scheme val="minor"/>
      </rPr>
      <t>1</t>
    </r>
  </si>
  <si>
    <t>Efficient Products*</t>
  </si>
  <si>
    <t xml:space="preserve"> N/A </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</si>
  <si>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</si>
  <si>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</si>
  <si>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</si>
  <si>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</si>
  <si>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 xml:space="preserve"> -    </t>
  </si>
  <si>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</si>
  <si>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</si>
  <si>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</si>
  <si>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</si>
  <si>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</si>
  <si>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</si>
  <si>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</si>
  <si>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</si>
  <si>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Supportive Costs Outside Portfolio</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</si>
  <si>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</si>
  <si>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color rgb="FF000000"/>
        <rFont val="Calibri"/>
        <family val="2"/>
        <scheme val="minor"/>
      </rPr>
      <t>2</t>
    </r>
    <r>
      <rPr>
        <sz val="11"/>
        <color rgb="FF000000"/>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</si>
  <si>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PY23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</si>
  <si>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</si>
  <si>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r>
      <rPr>
        <vertAlign val="superscript"/>
        <sz val="11"/>
        <rFont val="Calibri"/>
        <family val="2"/>
        <scheme val="minor"/>
      </rPr>
      <t>5</t>
    </r>
    <r>
      <rPr>
        <sz val="11"/>
        <rFont val="Calibri"/>
        <family val="2"/>
        <scheme val="minor"/>
      </rPr>
      <t>A budget shift from Home Performance with Energy Star to Behavioral &amp; QHEC to HVAC were initiated in PY23. Updated contracts did not finish processing until after PY23 close; therefore these budget shifts will be reflected in PY24 Q1 reporting.</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</si>
  <si>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</si>
  <si>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</si>
  <si>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D</t>
  </si>
  <si>
    <t>YTD Reported Incentive Costs ($000)</t>
  </si>
  <si>
    <t>YTD Reported Retail Energy Savings (MWh)</t>
  </si>
  <si>
    <t>Sub Program</t>
  </si>
  <si>
    <t>LMI</t>
  </si>
  <si>
    <t>Non-LMI or Unverified</t>
  </si>
  <si>
    <t>Others</t>
  </si>
  <si>
    <r>
      <t>Home Performance with Energy Star</t>
    </r>
    <r>
      <rPr>
        <vertAlign val="superscript"/>
        <sz val="11"/>
        <rFont val="Calibri"/>
        <family val="2"/>
        <scheme val="minor"/>
      </rPr>
      <t>1</t>
    </r>
  </si>
  <si>
    <r>
      <t>Direct Installation/MF QHEC</t>
    </r>
    <r>
      <rPr>
        <vertAlign val="superscript"/>
        <sz val="11"/>
        <color theme="1"/>
        <rFont val="Calibri"/>
        <family val="2"/>
        <scheme val="minor"/>
      </rPr>
      <t>2</t>
    </r>
  </si>
  <si>
    <t>Total Multi-Family</t>
  </si>
  <si>
    <t>NONE</t>
  </si>
  <si>
    <t>Total Other</t>
  </si>
  <si>
    <r>
      <rPr>
        <vertAlign val="superscript"/>
        <sz val="11"/>
        <rFont val="Times New Roman"/>
        <family val="1"/>
      </rPr>
      <t>1</t>
    </r>
    <r>
      <rPr>
        <sz val="11"/>
        <rFont val="Times New Roman"/>
        <family val="1"/>
      </rPr>
      <t>Income-qualified customers are directed to participate through the Comfort Partners or Moderate Income Weatherization programs.</t>
    </r>
  </si>
  <si>
    <t>H</t>
  </si>
  <si>
    <t>L</t>
  </si>
  <si>
    <t>Reported Lifetime Retail Energy Savings Current Quarter (MWh)</t>
  </si>
  <si>
    <t>Reported Lifetime Retail Energy Savings YTD (MWh)</t>
  </si>
  <si>
    <t>Reported Lifetime Wholesale Energy Savings Current Quarter (MWh)</t>
  </si>
  <si>
    <t>Small Commercial</t>
  </si>
  <si>
    <t>Large Commercial</t>
  </si>
  <si>
    <t>Home Optimization &amp; Peak Demand Reduction</t>
  </si>
  <si>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</si>
  <si>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</si>
  <si>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</si>
  <si>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</si>
  <si>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</si>
  <si>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</si>
  <si>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</si>
  <si>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</si>
  <si>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</si>
  <si>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</si>
  <si>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</si>
  <si>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</si>
  <si>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</si>
  <si>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</si>
  <si>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</si>
  <si>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</si>
  <si>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</si>
  <si>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</si>
  <si>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</si>
  <si>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</si>
  <si>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</si>
  <si>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</si>
  <si>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t>7/1/19 - 6/30/20</t>
  </si>
  <si>
    <t>7/1/20 - 6/30/21</t>
  </si>
  <si>
    <t>7/1/21 - 6/30/22</t>
  </si>
  <si>
    <t>Plan Year 2023</t>
  </si>
  <si>
    <t>7/1/22 - 6/30/23</t>
  </si>
  <si>
    <t>Notes:</t>
  </si>
  <si>
    <t>(A) Includes sales as reported on FERC Form-1, as adjusted for the given sales period (planning year)</t>
  </si>
  <si>
    <t>(B) ACE totals for resale</t>
  </si>
  <si>
    <t>(E,G,I) No formal targets were established for PY22 in the June 2020 CEA Framework Order</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</si>
  <si>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</si>
  <si>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</si>
  <si>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t>
  </si>
  <si>
    <r>
      <t>Annual Energy Savings</t>
    </r>
    <r>
      <rPr>
        <vertAlign val="superscript"/>
        <sz val="9"/>
        <color indexed="9"/>
        <rFont val="Calibri"/>
        <family val="2"/>
        <scheme val="minor"/>
      </rPr>
      <t>1</t>
    </r>
    <r>
      <rPr>
        <sz val="9"/>
        <color indexed="9"/>
        <rFont val="Calibri"/>
        <family val="2"/>
        <scheme val="minor"/>
      </rPr>
      <t>,</t>
    </r>
    <r>
      <rPr>
        <vertAlign val="superscript"/>
        <sz val="9"/>
        <color rgb="FFFFFFFF"/>
        <rFont val="Calibri"/>
        <family val="2"/>
        <scheme val="minor"/>
      </rPr>
      <t>2</t>
    </r>
  </si>
  <si>
    <t>Annual Retail (MWh)</t>
  </si>
  <si>
    <t>Primary Metrics - 2020/21  TRM</t>
  </si>
  <si>
    <t>Secondary Metrics - 2022 TRM</t>
  </si>
  <si>
    <t>Annual Savings</t>
  </si>
  <si>
    <t>Figure A-1 - Program Year [2023] Portfolio-Level Annual Energy Savings – Primary vs. Seondary Metrics</t>
  </si>
  <si>
    <t>Table F-2 – Sector-Level Energy Savings: Secondary Metrics</t>
  </si>
  <si>
    <r>
      <t>1</t>
    </r>
    <r>
      <rPr>
        <sz val="9"/>
        <color theme="1"/>
        <rFont val="Calibri"/>
        <family val="2"/>
        <scheme val="minor"/>
      </rPr>
      <t xml:space="preserve"> Annual energy savings represent the total expected annual savings from all energy efficiency measures within each sector, and not only those measures affected by the FY2022 TRM Addendum.</t>
    </r>
    <r>
      <rPr>
        <vertAlign val="superscript"/>
        <sz val="9"/>
        <color theme="1"/>
        <rFont val="Calibri"/>
        <family val="2"/>
        <scheme val="minor"/>
      </rPr>
      <t xml:space="preserve">
2</t>
    </r>
    <r>
      <rPr>
        <sz val="9"/>
        <color theme="1"/>
        <rFont val="Calibri"/>
        <family val="2"/>
        <scheme val="minor"/>
      </rPr>
      <t xml:space="preserve"> Residential sector includes savings from ACE merger committment programs.</t>
    </r>
  </si>
  <si>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</si>
  <si>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</si>
  <si>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ACE</t>
  </si>
  <si>
    <t>Dth held for transfer</t>
  </si>
  <si>
    <t>Res Efficient Products</t>
  </si>
  <si>
    <r>
      <t xml:space="preserve">C&amp;I </t>
    </r>
    <r>
      <rPr>
        <sz val="11"/>
        <color rgb="FF000000"/>
        <rFont val="Arial"/>
        <family val="2"/>
      </rPr>
      <t>Prescriptive/Custom</t>
    </r>
  </si>
  <si>
    <t>C&amp;I Small Business Direct Install</t>
  </si>
  <si>
    <r>
      <t xml:space="preserve">C&amp;I </t>
    </r>
    <r>
      <rPr>
        <sz val="11"/>
        <color rgb="FF000000"/>
        <rFont val="Arial"/>
        <family val="2"/>
      </rPr>
      <t>Energy Management</t>
    </r>
  </si>
  <si>
    <r>
      <t xml:space="preserve">C&amp;I </t>
    </r>
    <r>
      <rPr>
        <sz val="11"/>
        <color rgb="FF000000"/>
        <rFont val="Arial"/>
        <family val="2"/>
      </rPr>
      <t>Engineered Solutions</t>
    </r>
  </si>
  <si>
    <t>TOTAL</t>
  </si>
  <si>
    <t>Appendix H - Cost Effectiveness Test Details</t>
  </si>
  <si>
    <t>Business</t>
  </si>
  <si>
    <t>MF</t>
  </si>
  <si>
    <t xml:space="preserve">Other </t>
  </si>
  <si>
    <t>Total Portfolio</t>
  </si>
  <si>
    <t>Total Resource Cost Test (TRC)</t>
  </si>
  <si>
    <t>Quarter Retail Savings</t>
  </si>
  <si>
    <t>YTD Retail Savings</t>
  </si>
  <si>
    <t>Quarter Whole Savings</t>
  </si>
  <si>
    <t>Energy Efficiency Baseline</t>
  </si>
  <si>
    <t>Lost Revenue from Energy Savings (kWh)</t>
  </si>
  <si>
    <t>Lost Revenue fromPeak Demand Savings (kW)</t>
  </si>
  <si>
    <t>Lost Revenue from Gas Savings (Therms)</t>
  </si>
  <si>
    <t>Avoided Costs from Energy Savings (kWh)</t>
  </si>
  <si>
    <t>Avoided Costs from Demand Savings (kW)</t>
  </si>
  <si>
    <t>Avoided Costs from Gas Savings (Therms)</t>
  </si>
  <si>
    <t>Environmental Adder</t>
  </si>
  <si>
    <t>DRIPE</t>
  </si>
  <si>
    <t>Total Benefit = 1+2+3+4+5+6+7+8</t>
  </si>
  <si>
    <t>Administrative Costs</t>
  </si>
  <si>
    <t>Participant Incremental Costs</t>
  </si>
  <si>
    <t>Incentives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</si>
  <si>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</si>
  <si>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</si>
  <si>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</si>
  <si>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</si>
  <si>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</si>
  <si>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</si>
  <si>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</si>
  <si>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</si>
  <si>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</si>
  <si>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</si>
  <si>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</si>
  <si>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</si>
  <si>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t>
  </si>
  <si>
    <t>Total Benefit = (16+17+18+19)</t>
  </si>
  <si>
    <t>Total Costs = (20+21+22)</t>
  </si>
  <si>
    <t>Benefit Cost Ratio = (16+17+18+19)/(20+21+22)</t>
  </si>
  <si>
    <t>New Jersey Cost Test (NJCT)</t>
  </si>
  <si>
    <t>NEB Adder</t>
  </si>
  <si>
    <t>Lifetime Avoided Ancillary Services Costs</t>
  </si>
  <si>
    <t>Total Benefit = (23+24+25+26+27+28+29+30+31+32)</t>
  </si>
  <si>
    <t>Total Costs = (33+34+35)</t>
  </si>
  <si>
    <t>Benefit Cost Ratio =(23+24+25+26+27+28+29+30+31+32)/(33+34+35)</t>
  </si>
  <si>
    <t>Intentionally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</si>
</sst>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
    <numFmt numFmtId="169" formatCode="0.0"/>
    <numFmt numFmtId="170" formatCode="_(* #,##0.0_);_(* \(#,##0.0\);_(* &quot;-&quot;??_);_(@_)"/>
    <numFmt numFmtId="171" formatCode="0.000"/>
    <numFmt numFmtId="172" formatCode="_(* #,##0.000_);_(* \(#,##0.000\);_(* &quot;-&quot;???_);_(@_)"/>
    <numFmt numFmtId="173" formatCode="#,##0.000"/>
    <numFmt numFmtId="174" formatCode="#,##0.000_);\(#,##0.000\)"/>
    <numFmt numFmtId="175" formatCode="_(* #,##0.00000_);_(* \(#,##0.00000\);_(* &quot;-&quot;??_);_(@_)"/>
  </numFmts>
  <fonts count="5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sz val="11"/>
      <name val="Calibri"/>
      <family val="2"/>
    </font>
    <font>
      <vertAlign val="superscript"/>
      <sz val="9"/>
      <color indexed="9"/>
      <name val="Calibri"/>
      <family val="2"/>
      <scheme val="minor"/>
    </font>
    <font>
      <sz val="11"/>
      <color theme="0"/>
      <name val="Calibri"/>
      <family val="2"/>
      <scheme val="minor"/>
    </font>
    <font>
      <strike/>
      <sz val="11"/>
      <color theme="1"/>
      <name val="Calibri"/>
      <family val="2"/>
      <scheme val="minor"/>
    </font>
    <font>
      <sz val="11"/>
      <name val="Arial Black"/>
      <family val="2"/>
    </font>
    <font>
      <u/>
      <sz val="16"/>
      <name val="Arial Black"/>
      <family val="2"/>
    </font>
    <font>
      <b/>
      <sz val="11"/>
      <name val="Calibri "/>
    </font>
    <font>
      <b/>
      <sz val="12"/>
      <color indexed="9"/>
      <name val="Calibri"/>
      <family val="2"/>
      <scheme val="minor"/>
    </font>
    <font>
      <sz val="12"/>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b/>
      <sz val="11"/>
      <color theme="1"/>
      <name val="Arial"/>
      <family val="2"/>
    </font>
    <font>
      <sz val="11"/>
      <color theme="1"/>
      <name val="Times New Roman"/>
      <family val="1"/>
    </font>
    <font>
      <sz val="9"/>
      <color theme="1"/>
      <name val="Times New Roman"/>
      <family val="1"/>
    </font>
    <font>
      <vertAlign val="superscript"/>
      <sz val="9"/>
      <color theme="1"/>
      <name val="Times New Roman"/>
      <family val="1"/>
    </font>
    <font>
      <sz val="9"/>
      <color theme="1"/>
      <name val="Calibri"/>
      <family val="2"/>
      <scheme val="minor"/>
    </font>
    <font>
      <sz val="11"/>
      <color indexed="9"/>
      <name val="Times New Roman"/>
      <family val="1"/>
    </font>
    <font>
      <b/>
      <sz val="11"/>
      <color theme="1"/>
      <name val="Times New Roman"/>
      <family val="1"/>
    </font>
    <font>
      <vertAlign val="superscript"/>
      <sz val="9"/>
      <color theme="1"/>
      <name val="Calibri"/>
      <family val="2"/>
      <scheme val="minor"/>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sz val="11"/>
      <color rgb="FF000000"/>
      <name val="Arial"/>
      <family val="2"/>
    </font>
    <font>
      <b/>
      <sz val="11"/>
      <name val="Times New Roman"/>
      <family val="1"/>
    </font>
    <font>
      <vertAlign val="superscript"/>
      <sz val="9"/>
      <color rgb="FF000000"/>
      <name val="Times New Roman"/>
      <family val="1"/>
    </font>
    <font>
      <sz val="9"/>
      <color rgb="FF000000"/>
      <name val="Times New Roman"/>
      <family val="1"/>
    </font>
    <font>
      <sz val="9"/>
      <color rgb="FFFFFFFF"/>
      <name val="Calibri"/>
      <family val="2"/>
    </font>
    <font>
      <vertAlign val="superscript"/>
      <sz val="9"/>
      <color rgb="FFFFFFFF"/>
      <name val="Calibri"/>
      <family val="2"/>
    </font>
    <font>
      <b/>
      <sz val="11"/>
      <color rgb="FF000000"/>
      <name val="Calibri"/>
      <family val="2"/>
    </font>
    <font>
      <sz val="8"/>
      <name val="Calibri"/>
      <family val="2"/>
      <scheme val="minor"/>
    </font>
    <font>
      <vertAlign val="superscript"/>
      <sz val="11"/>
      <color rgb="FF000000"/>
      <name val="Calibri"/>
      <family val="2"/>
      <scheme val="minor"/>
    </font>
    <font>
      <b/>
      <sz val="12"/>
      <color theme="1"/>
      <name val="Calibri"/>
      <family val="2"/>
      <scheme val="minor"/>
    </font>
  </fonts>
  <fills count="2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A6A6A6"/>
        <bgColor indexed="64"/>
      </patternFill>
    </fill>
    <fill>
      <patternFill patternType="solid">
        <fgColor indexed="22"/>
        <bgColor indexed="64"/>
      </patternFill>
    </fill>
    <fill>
      <patternFill patternType="solid">
        <fgColor theme="2"/>
        <bgColor indexed="64"/>
      </patternFill>
    </fill>
    <fill>
      <patternFill patternType="solid">
        <fgColor theme="6" tint="0.79998168889431442"/>
        <bgColor indexed="64"/>
      </patternFill>
    </fill>
    <fill>
      <patternFill patternType="solid">
        <fgColor theme="6"/>
        <bgColor indexed="64"/>
      </patternFill>
    </fill>
    <fill>
      <patternFill patternType="solid">
        <fgColor rgb="FFFFF2CC"/>
        <bgColor rgb="FF000000"/>
      </patternFill>
    </fill>
    <fill>
      <patternFill patternType="solid">
        <fgColor rgb="FFA5A5A5"/>
        <bgColor indexed="64"/>
      </patternFill>
    </fill>
    <fill>
      <patternFill patternType="solid">
        <fgColor rgb="FFFFF2CC"/>
        <bgColor indexed="64"/>
      </patternFill>
    </fill>
    <fill>
      <patternFill patternType="solid">
        <fgColor theme="4" tint="0.79995117038483843"/>
        <bgColor indexed="64"/>
      </patternFill>
    </fill>
    <fill>
      <patternFill patternType="solid">
        <fgColor theme="4" tint="0.59999389629810485"/>
        <bgColor indexed="64"/>
      </patternFill>
    </fill>
  </fills>
  <borders count="132">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rgb="FF000000"/>
      </left>
      <right/>
      <top style="medium">
        <color rgb="FF000000"/>
      </top>
      <bottom style="thin">
        <color rgb="FF000000"/>
      </bottom>
      <diagonal/>
    </border>
    <border>
      <left style="thin">
        <color rgb="FF000000"/>
      </left>
      <right style="thin">
        <color indexed="64"/>
      </right>
      <top style="thin">
        <color indexed="64"/>
      </top>
      <bottom/>
      <diagonal/>
    </border>
    <border>
      <left style="medium">
        <color rgb="FF000000"/>
      </left>
      <right/>
      <top/>
      <bottom style="medium">
        <color rgb="FF000000"/>
      </bottom>
      <diagonal/>
    </border>
    <border>
      <left style="thin">
        <color rgb="FF000000"/>
      </left>
      <right style="thin">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style="medium">
        <color rgb="FF000000"/>
      </top>
      <bottom/>
      <diagonal/>
    </border>
    <border>
      <left/>
      <right style="medium">
        <color indexed="64"/>
      </right>
      <top style="medium">
        <color rgb="FF000000"/>
      </top>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style="medium">
        <color indexed="64"/>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medium">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thin">
        <color indexed="64"/>
      </right>
      <top style="medium">
        <color rgb="FF000000"/>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10" borderId="0" applyNumberFormat="0" applyBorder="0" applyAlignment="0" applyProtection="0"/>
    <xf numFmtId="0" fontId="22" fillId="0" borderId="0"/>
    <xf numFmtId="0" fontId="30" fillId="0" borderId="0"/>
    <xf numFmtId="0" fontId="9" fillId="0" borderId="0">
      <alignment vertical="top"/>
    </xf>
    <xf numFmtId="0" fontId="1" fillId="0" borderId="0"/>
  </cellStyleXfs>
  <cellXfs count="958">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0"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0" fillId="0" borderId="18"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6" xfId="0" applyFont="1" applyFill="1" applyBorder="1"/>
    <xf numFmtId="164" fontId="3" fillId="3" borderId="39" xfId="1" applyNumberFormat="1" applyFont="1" applyFill="1" applyBorder="1" applyAlignment="1"/>
    <xf numFmtId="0" fontId="11" fillId="0" borderId="0" xfId="0" applyFont="1"/>
    <xf numFmtId="0" fontId="7" fillId="2" borderId="4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0" xfId="0" applyFont="1" applyFill="1" applyAlignment="1">
      <alignment horizontal="center" vertical="center" wrapText="1"/>
    </xf>
    <xf numFmtId="164" fontId="7" fillId="2" borderId="30" xfId="1" applyNumberFormat="1" applyFont="1" applyFill="1" applyBorder="1" applyAlignment="1">
      <alignment horizontal="center" vertical="center" wrapText="1"/>
    </xf>
    <xf numFmtId="0" fontId="0" fillId="0" borderId="50"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4" xfId="0" applyFont="1" applyFill="1" applyBorder="1" applyAlignment="1">
      <alignment horizontal="center" vertical="center" wrapText="1"/>
    </xf>
    <xf numFmtId="9" fontId="0" fillId="0" borderId="0" xfId="3" applyFont="1" applyFill="1" applyBorder="1"/>
    <xf numFmtId="0" fontId="0" fillId="0" borderId="51"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58" xfId="0" applyFont="1" applyFill="1" applyBorder="1"/>
    <xf numFmtId="0" fontId="3" fillId="3" borderId="53" xfId="0" applyFont="1" applyFill="1" applyBorder="1"/>
    <xf numFmtId="0" fontId="0" fillId="2" borderId="57" xfId="0" applyFill="1" applyBorder="1" applyAlignment="1">
      <alignment vertical="center" wrapText="1"/>
    </xf>
    <xf numFmtId="0" fontId="3" fillId="3" borderId="46" xfId="0" applyFont="1" applyFill="1" applyBorder="1"/>
    <xf numFmtId="0" fontId="3" fillId="3" borderId="48" xfId="0" applyFont="1" applyFill="1" applyBorder="1"/>
    <xf numFmtId="0" fontId="3" fillId="3" borderId="62" xfId="0" applyFont="1" applyFill="1" applyBorder="1"/>
    <xf numFmtId="0" fontId="0" fillId="2" borderId="49" xfId="0" applyFill="1" applyBorder="1" applyAlignment="1">
      <alignment vertical="center" wrapText="1"/>
    </xf>
    <xf numFmtId="0" fontId="0" fillId="2" borderId="33" xfId="0" applyFill="1" applyBorder="1" applyAlignment="1">
      <alignment vertical="center" wrapText="1"/>
    </xf>
    <xf numFmtId="0" fontId="6" fillId="7" borderId="5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58" xfId="0" applyFont="1" applyFill="1" applyBorder="1" applyAlignment="1">
      <alignment horizontal="center" vertical="center"/>
    </xf>
    <xf numFmtId="0" fontId="7" fillId="2" borderId="38" xfId="0" applyFont="1" applyFill="1" applyBorder="1" applyAlignment="1">
      <alignment horizontal="center" vertical="center" wrapText="1"/>
    </xf>
    <xf numFmtId="0" fontId="3" fillId="3" borderId="44" xfId="0" applyFont="1" applyFill="1" applyBorder="1"/>
    <xf numFmtId="0" fontId="0" fillId="2" borderId="34" xfId="0" applyFill="1" applyBorder="1" applyAlignment="1">
      <alignment vertical="center" wrapText="1"/>
    </xf>
    <xf numFmtId="0" fontId="0" fillId="2" borderId="65" xfId="0" applyFill="1" applyBorder="1" applyAlignment="1">
      <alignment vertical="center" wrapText="1"/>
    </xf>
    <xf numFmtId="0" fontId="7" fillId="7" borderId="21"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0" fillId="5" borderId="56" xfId="0" applyFill="1" applyBorder="1" applyAlignment="1">
      <alignment horizontal="left" vertical="center" wrapText="1"/>
    </xf>
    <xf numFmtId="0" fontId="0" fillId="5" borderId="41" xfId="0" applyFill="1" applyBorder="1" applyAlignment="1">
      <alignment horizontal="left" vertical="center" wrapText="1"/>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0" fillId="0" borderId="26" xfId="0" applyBorder="1" applyAlignment="1">
      <alignment horizontal="left" vertical="center" wrapText="1"/>
    </xf>
    <xf numFmtId="0" fontId="0" fillId="0" borderId="21" xfId="0" applyBorder="1"/>
    <xf numFmtId="0" fontId="0" fillId="0" borderId="38" xfId="0" applyBorder="1"/>
    <xf numFmtId="0" fontId="0" fillId="0" borderId="57" xfId="0" applyBorder="1" applyAlignment="1">
      <alignment horizontal="left" vertical="center" wrapText="1"/>
    </xf>
    <xf numFmtId="0" fontId="0" fillId="0" borderId="67" xfId="0" applyBorder="1" applyAlignment="1">
      <alignment vertical="center" wrapText="1"/>
    </xf>
    <xf numFmtId="0" fontId="0" fillId="0" borderId="26" xfId="0" applyBorder="1" applyAlignment="1">
      <alignment vertical="center" wrapText="1"/>
    </xf>
    <xf numFmtId="0" fontId="0" fillId="0" borderId="58" xfId="0" applyBorder="1" applyAlignment="1">
      <alignment horizontal="left" vertical="center" wrapText="1"/>
    </xf>
    <xf numFmtId="165" fontId="3" fillId="3" borderId="49" xfId="0" applyNumberFormat="1" applyFont="1" applyFill="1" applyBorder="1" applyAlignment="1">
      <alignment horizontal="center"/>
    </xf>
    <xf numFmtId="165" fontId="3" fillId="3" borderId="39" xfId="0" applyNumberFormat="1" applyFont="1" applyFill="1" applyBorder="1" applyAlignment="1">
      <alignment horizontal="center"/>
    </xf>
    <xf numFmtId="165" fontId="3" fillId="3" borderId="62" xfId="0" applyNumberFormat="1" applyFont="1" applyFill="1" applyBorder="1" applyAlignment="1">
      <alignment horizontal="center"/>
    </xf>
    <xf numFmtId="165" fontId="3" fillId="3" borderId="30" xfId="0" applyNumberFormat="1" applyFont="1" applyFill="1" applyBorder="1" applyAlignment="1">
      <alignment horizontal="center"/>
    </xf>
    <xf numFmtId="166" fontId="3" fillId="3" borderId="43" xfId="3" applyNumberFormat="1" applyFont="1" applyFill="1" applyBorder="1" applyAlignment="1">
      <alignment horizontal="center"/>
    </xf>
    <xf numFmtId="166" fontId="3" fillId="3" borderId="68" xfId="3" applyNumberFormat="1" applyFont="1" applyFill="1" applyBorder="1" applyAlignment="1">
      <alignment horizontal="center"/>
    </xf>
    <xf numFmtId="166" fontId="3" fillId="3" borderId="40" xfId="3" applyNumberFormat="1" applyFont="1" applyFill="1" applyBorder="1" applyAlignment="1">
      <alignment horizontal="center"/>
    </xf>
    <xf numFmtId="166" fontId="3" fillId="3" borderId="11" xfId="3" applyNumberFormat="1" applyFont="1" applyFill="1" applyBorder="1" applyAlignment="1">
      <alignment horizontal="center"/>
    </xf>
    <xf numFmtId="166" fontId="3" fillId="3" borderId="60" xfId="3" applyNumberFormat="1" applyFont="1" applyFill="1" applyBorder="1" applyAlignment="1">
      <alignment horizontal="center"/>
    </xf>
    <xf numFmtId="166" fontId="3" fillId="3" borderId="49" xfId="3" applyNumberFormat="1" applyFont="1" applyFill="1" applyBorder="1" applyAlignment="1">
      <alignment horizontal="center"/>
    </xf>
    <xf numFmtId="166" fontId="0" fillId="0" borderId="8" xfId="3" applyNumberFormat="1" applyFont="1" applyFill="1" applyBorder="1" applyAlignment="1">
      <alignment horizontal="center"/>
    </xf>
    <xf numFmtId="166" fontId="0" fillId="0" borderId="18" xfId="3" applyNumberFormat="1" applyFont="1" applyFill="1" applyBorder="1" applyAlignment="1">
      <alignment horizontal="center"/>
    </xf>
    <xf numFmtId="166" fontId="3" fillId="3" borderId="39" xfId="3" applyNumberFormat="1" applyFont="1" applyFill="1" applyBorder="1" applyAlignment="1">
      <alignment horizontal="center"/>
    </xf>
    <xf numFmtId="166" fontId="3" fillId="3" borderId="30" xfId="3" applyNumberFormat="1" applyFont="1" applyFill="1" applyBorder="1" applyAlignment="1">
      <alignment horizontal="center"/>
    </xf>
    <xf numFmtId="166" fontId="14" fillId="0" borderId="13" xfId="3" applyNumberFormat="1" applyFont="1" applyFill="1" applyBorder="1" applyAlignment="1">
      <alignment horizontal="center"/>
    </xf>
    <xf numFmtId="166" fontId="3" fillId="3" borderId="13" xfId="3" applyNumberFormat="1" applyFont="1" applyFill="1" applyBorder="1" applyAlignment="1">
      <alignment horizontal="center"/>
    </xf>
    <xf numFmtId="166" fontId="3" fillId="6" borderId="39" xfId="3" applyNumberFormat="1" applyFont="1" applyFill="1" applyBorder="1" applyAlignment="1">
      <alignment horizontal="center"/>
    </xf>
    <xf numFmtId="164" fontId="3" fillId="3" borderId="53" xfId="1" applyNumberFormat="1" applyFont="1" applyFill="1" applyBorder="1" applyAlignment="1">
      <alignment horizontal="center"/>
    </xf>
    <xf numFmtId="164" fontId="3" fillId="3" borderId="39" xfId="1" applyNumberFormat="1" applyFont="1" applyFill="1" applyBorder="1" applyAlignment="1">
      <alignment horizontal="center"/>
    </xf>
    <xf numFmtId="164" fontId="3" fillId="3" borderId="62"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36" xfId="1" applyNumberFormat="1" applyFont="1" applyFill="1" applyBorder="1" applyAlignment="1">
      <alignment horizontal="center"/>
    </xf>
    <xf numFmtId="164" fontId="0" fillId="0" borderId="23"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36" xfId="1" applyNumberFormat="1" applyFont="1" applyFill="1" applyBorder="1" applyAlignment="1">
      <alignment horizontal="center"/>
    </xf>
    <xf numFmtId="164" fontId="3" fillId="6" borderId="39" xfId="1" applyNumberFormat="1" applyFont="1" applyFill="1" applyBorder="1" applyAlignment="1">
      <alignment horizontal="center"/>
    </xf>
    <xf numFmtId="0" fontId="3" fillId="3" borderId="33" xfId="0" applyFont="1" applyFill="1" applyBorder="1" applyAlignment="1">
      <alignment horizontal="center"/>
    </xf>
    <xf numFmtId="0" fontId="3" fillId="3" borderId="49" xfId="0" applyFont="1" applyFill="1" applyBorder="1" applyAlignment="1">
      <alignment horizontal="center"/>
    </xf>
    <xf numFmtId="0" fontId="3" fillId="3" borderId="50" xfId="0" applyFont="1" applyFill="1" applyBorder="1"/>
    <xf numFmtId="164" fontId="3" fillId="3" borderId="22" xfId="1" applyNumberFormat="1" applyFont="1" applyFill="1" applyBorder="1" applyAlignment="1">
      <alignment horizontal="center"/>
    </xf>
    <xf numFmtId="164" fontId="3" fillId="3" borderId="70" xfId="1" applyNumberFormat="1" applyFont="1" applyFill="1" applyBorder="1" applyAlignment="1">
      <alignment horizontal="center"/>
    </xf>
    <xf numFmtId="0" fontId="3" fillId="9" borderId="46" xfId="0" applyFont="1" applyFill="1" applyBorder="1"/>
    <xf numFmtId="164" fontId="0" fillId="0" borderId="8" xfId="1" applyNumberFormat="1" applyFont="1" applyFill="1" applyBorder="1" applyAlignment="1">
      <alignment horizontal="center"/>
    </xf>
    <xf numFmtId="164" fontId="0" fillId="0" borderId="18" xfId="1" applyNumberFormat="1" applyFont="1" applyFill="1" applyBorder="1" applyAlignment="1">
      <alignment horizontal="center"/>
    </xf>
    <xf numFmtId="164" fontId="3" fillId="3" borderId="43" xfId="1" applyNumberFormat="1" applyFont="1" applyFill="1" applyBorder="1" applyAlignment="1">
      <alignment horizontal="center"/>
    </xf>
    <xf numFmtId="164" fontId="3" fillId="3" borderId="56" xfId="1" applyNumberFormat="1" applyFont="1" applyFill="1" applyBorder="1" applyAlignment="1">
      <alignment horizontal="center"/>
    </xf>
    <xf numFmtId="164" fontId="14" fillId="0" borderId="18" xfId="1" applyNumberFormat="1" applyFont="1" applyFill="1" applyBorder="1" applyAlignment="1">
      <alignment horizontal="center"/>
    </xf>
    <xf numFmtId="164" fontId="14" fillId="0" borderId="13" xfId="1" applyNumberFormat="1" applyFont="1" applyFill="1" applyBorder="1" applyAlignment="1">
      <alignment horizontal="center"/>
    </xf>
    <xf numFmtId="164" fontId="3" fillId="3" borderId="44" xfId="1" applyNumberFormat="1" applyFont="1" applyFill="1" applyBorder="1" applyAlignment="1">
      <alignment horizontal="center"/>
    </xf>
    <xf numFmtId="165" fontId="3" fillId="3" borderId="36" xfId="2" applyNumberFormat="1" applyFont="1" applyFill="1" applyBorder="1" applyAlignment="1">
      <alignment horizontal="center"/>
    </xf>
    <xf numFmtId="165" fontId="3" fillId="3" borderId="39" xfId="2" applyNumberFormat="1" applyFont="1" applyFill="1" applyBorder="1" applyAlignment="1">
      <alignment horizontal="center"/>
    </xf>
    <xf numFmtId="164" fontId="3" fillId="8" borderId="13" xfId="1" applyNumberFormat="1" applyFont="1" applyFill="1" applyBorder="1" applyAlignment="1">
      <alignment horizontal="center"/>
    </xf>
    <xf numFmtId="0" fontId="3" fillId="9" borderId="48" xfId="0" applyFont="1" applyFill="1" applyBorder="1"/>
    <xf numFmtId="164" fontId="8" fillId="8" borderId="13" xfId="1" applyNumberFormat="1" applyFont="1" applyFill="1" applyBorder="1" applyAlignment="1">
      <alignment horizontal="center"/>
    </xf>
    <xf numFmtId="164" fontId="14" fillId="0" borderId="24" xfId="1" applyNumberFormat="1" applyFont="1" applyFill="1" applyBorder="1" applyAlignment="1">
      <alignment horizontal="center"/>
    </xf>
    <xf numFmtId="164" fontId="14" fillId="0" borderId="22" xfId="1" applyNumberFormat="1" applyFont="1" applyFill="1" applyBorder="1" applyAlignment="1">
      <alignment horizontal="center"/>
    </xf>
    <xf numFmtId="1" fontId="0" fillId="0" borderId="0" xfId="0" applyNumberFormat="1"/>
    <xf numFmtId="164" fontId="11" fillId="0" borderId="18" xfId="1" applyNumberFormat="1" applyFont="1" applyFill="1" applyBorder="1" applyAlignment="1">
      <alignment horizontal="center"/>
    </xf>
    <xf numFmtId="0" fontId="11" fillId="0" borderId="52" xfId="0" applyFont="1" applyBorder="1" applyAlignment="1">
      <alignment horizontal="left" vertical="center" wrapText="1"/>
    </xf>
    <xf numFmtId="164" fontId="3" fillId="3" borderId="40" xfId="1" applyNumberFormat="1" applyFont="1" applyFill="1" applyBorder="1" applyAlignment="1">
      <alignment horizontal="center"/>
    </xf>
    <xf numFmtId="0" fontId="3" fillId="3" borderId="36" xfId="0" applyFont="1" applyFill="1" applyBorder="1" applyAlignment="1">
      <alignment horizontal="center"/>
    </xf>
    <xf numFmtId="0" fontId="3" fillId="3" borderId="40" xfId="0" applyFont="1" applyFill="1" applyBorder="1" applyAlignment="1">
      <alignment horizontal="center"/>
    </xf>
    <xf numFmtId="166" fontId="3" fillId="6" borderId="44" xfId="3" applyNumberFormat="1" applyFont="1" applyFill="1" applyBorder="1" applyAlignment="1">
      <alignment horizontal="center"/>
    </xf>
    <xf numFmtId="165" fontId="3" fillId="3" borderId="22" xfId="1" applyNumberFormat="1" applyFont="1" applyFill="1" applyBorder="1" applyAlignment="1">
      <alignment horizontal="center"/>
    </xf>
    <xf numFmtId="0" fontId="0" fillId="0" borderId="45" xfId="0" applyBorder="1" applyAlignment="1">
      <alignment horizontal="left" vertical="center" wrapText="1"/>
    </xf>
    <xf numFmtId="0" fontId="16" fillId="0" borderId="0" xfId="5" applyFill="1"/>
    <xf numFmtId="0" fontId="3" fillId="3" borderId="65" xfId="1" applyNumberFormat="1" applyFont="1" applyFill="1" applyBorder="1" applyAlignment="1">
      <alignment horizontal="center"/>
    </xf>
    <xf numFmtId="165" fontId="3" fillId="3" borderId="71" xfId="0" applyNumberFormat="1" applyFont="1" applyFill="1" applyBorder="1" applyAlignment="1">
      <alignment horizontal="center"/>
    </xf>
    <xf numFmtId="167" fontId="0" fillId="0" borderId="8" xfId="1" applyNumberFormat="1" applyFont="1" applyFill="1" applyBorder="1" applyAlignment="1">
      <alignment horizontal="center"/>
    </xf>
    <xf numFmtId="167" fontId="3" fillId="8" borderId="13" xfId="1" applyNumberFormat="1" applyFont="1" applyFill="1" applyBorder="1" applyAlignment="1">
      <alignment horizontal="center"/>
    </xf>
    <xf numFmtId="167" fontId="3" fillId="3" borderId="39" xfId="1" applyNumberFormat="1" applyFont="1" applyFill="1" applyBorder="1" applyAlignment="1">
      <alignment horizontal="center"/>
    </xf>
    <xf numFmtId="167" fontId="3" fillId="3" borderId="30" xfId="1" applyNumberFormat="1" applyFont="1" applyFill="1" applyBorder="1" applyAlignment="1">
      <alignment horizontal="center"/>
    </xf>
    <xf numFmtId="167" fontId="3" fillId="3" borderId="13" xfId="1" applyNumberFormat="1" applyFont="1" applyFill="1" applyBorder="1" applyAlignment="1">
      <alignment horizontal="center"/>
    </xf>
    <xf numFmtId="165" fontId="3" fillId="3" borderId="40" xfId="2" applyNumberFormat="1" applyFont="1" applyFill="1" applyBorder="1" applyAlignment="1">
      <alignment horizontal="center"/>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44" fontId="2" fillId="0" borderId="0" xfId="0" applyNumberFormat="1" applyFont="1"/>
    <xf numFmtId="168" fontId="2" fillId="0" borderId="0" xfId="3" applyNumberFormat="1" applyFont="1"/>
    <xf numFmtId="0" fontId="0" fillId="12" borderId="18" xfId="0" applyFill="1" applyBorder="1" applyAlignment="1" applyProtection="1">
      <alignment horizontal="center" vertical="center" wrapText="1"/>
      <protection hidden="1"/>
    </xf>
    <xf numFmtId="0" fontId="0" fillId="15" borderId="18" xfId="0" applyFill="1" applyBorder="1" applyAlignment="1" applyProtection="1">
      <alignment horizontal="center" vertical="center"/>
      <protection hidden="1"/>
    </xf>
    <xf numFmtId="0" fontId="11" fillId="15" borderId="18" xfId="0" applyFont="1" applyFill="1" applyBorder="1" applyAlignment="1" applyProtection="1">
      <alignment horizontal="center" vertical="center"/>
      <protection hidden="1"/>
    </xf>
    <xf numFmtId="0" fontId="11" fillId="15" borderId="30" xfId="0" applyFont="1" applyFill="1" applyBorder="1" applyAlignment="1" applyProtection="1">
      <alignment horizontal="center" vertical="center"/>
      <protection hidden="1"/>
    </xf>
    <xf numFmtId="0" fontId="0" fillId="16" borderId="18" xfId="0" applyFill="1" applyBorder="1" applyAlignment="1" applyProtection="1">
      <alignment horizontal="center" vertical="center" wrapText="1"/>
      <protection hidden="1"/>
    </xf>
    <xf numFmtId="44" fontId="0" fillId="17" borderId="18" xfId="0" applyNumberFormat="1" applyFill="1" applyBorder="1" applyAlignment="1" applyProtection="1">
      <alignment horizontal="center" vertical="center" wrapText="1"/>
      <protection hidden="1"/>
    </xf>
    <xf numFmtId="0" fontId="11" fillId="18" borderId="18" xfId="0" applyFont="1" applyFill="1" applyBorder="1" applyAlignment="1" applyProtection="1">
      <alignment horizontal="center" vertical="center" wrapText="1"/>
      <protection hidden="1"/>
    </xf>
    <xf numFmtId="0" fontId="0" fillId="18"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0" fontId="0" fillId="0" borderId="18" xfId="0" applyBorder="1" applyAlignment="1">
      <alignment horizontal="left" vertical="center" wrapText="1"/>
    </xf>
    <xf numFmtId="0" fontId="0" fillId="0" borderId="32"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69" fontId="0" fillId="0" borderId="18" xfId="0" applyNumberFormat="1" applyBorder="1"/>
    <xf numFmtId="0" fontId="11" fillId="0" borderId="18" xfId="0" applyFont="1" applyBorder="1"/>
    <xf numFmtId="3" fontId="0" fillId="0" borderId="18" xfId="0" applyNumberFormat="1" applyBorder="1" applyProtection="1">
      <protection hidden="1"/>
    </xf>
    <xf numFmtId="164" fontId="14" fillId="0" borderId="8" xfId="1" applyNumberFormat="1" applyFont="1" applyFill="1" applyBorder="1" applyAlignment="1">
      <alignment horizontal="center"/>
    </xf>
    <xf numFmtId="166" fontId="14" fillId="0" borderId="9" xfId="3" applyNumberFormat="1" applyFont="1" applyFill="1" applyBorder="1" applyAlignment="1">
      <alignment horizontal="center"/>
    </xf>
    <xf numFmtId="166" fontId="14" fillId="0" borderId="69" xfId="3" applyNumberFormat="1" applyFont="1" applyFill="1" applyBorder="1" applyAlignment="1">
      <alignment horizontal="center"/>
    </xf>
    <xf numFmtId="166" fontId="14" fillId="0" borderId="27" xfId="3" applyNumberFormat="1" applyFont="1" applyFill="1" applyBorder="1" applyAlignment="1">
      <alignment horizontal="center"/>
    </xf>
    <xf numFmtId="166" fontId="14" fillId="0" borderId="74" xfId="3" applyNumberFormat="1" applyFont="1" applyFill="1" applyBorder="1" applyAlignment="1">
      <alignment horizontal="center"/>
    </xf>
    <xf numFmtId="166" fontId="14" fillId="0" borderId="59" xfId="3" applyNumberFormat="1" applyFont="1" applyFill="1" applyBorder="1" applyAlignment="1">
      <alignment horizontal="center"/>
    </xf>
    <xf numFmtId="166" fontId="14" fillId="0" borderId="0" xfId="3" applyNumberFormat="1" applyFont="1" applyFill="1" applyAlignment="1">
      <alignment horizontal="center"/>
    </xf>
    <xf numFmtId="166" fontId="3" fillId="3" borderId="44" xfId="3" applyNumberFormat="1" applyFont="1" applyFill="1" applyBorder="1" applyAlignment="1">
      <alignment horizontal="center"/>
    </xf>
    <xf numFmtId="166" fontId="3" fillId="3" borderId="56" xfId="3" applyNumberFormat="1" applyFont="1" applyFill="1" applyBorder="1" applyAlignment="1">
      <alignment horizontal="center"/>
    </xf>
    <xf numFmtId="164" fontId="3" fillId="3" borderId="68" xfId="1" applyNumberFormat="1" applyFont="1" applyFill="1" applyBorder="1" applyAlignment="1">
      <alignment horizontal="center"/>
    </xf>
    <xf numFmtId="165" fontId="0" fillId="0" borderId="8" xfId="0" applyNumberFormat="1" applyBorder="1" applyAlignment="1">
      <alignment horizontal="center"/>
    </xf>
    <xf numFmtId="165" fontId="0" fillId="0" borderId="18" xfId="2" applyNumberFormat="1" applyFont="1" applyBorder="1"/>
    <xf numFmtId="164" fontId="7" fillId="2" borderId="0"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62" xfId="0" applyFont="1" applyFill="1" applyBorder="1" applyAlignment="1">
      <alignment horizontal="center" vertical="center" wrapText="1"/>
    </xf>
    <xf numFmtId="165" fontId="0" fillId="9" borderId="18" xfId="2" applyNumberFormat="1" applyFont="1" applyFill="1" applyBorder="1"/>
    <xf numFmtId="0" fontId="0" fillId="9" borderId="18" xfId="0" applyFill="1" applyBorder="1" applyAlignment="1">
      <alignment wrapText="1"/>
    </xf>
    <xf numFmtId="164" fontId="7" fillId="2" borderId="31"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9" fontId="0" fillId="9" borderId="18" xfId="3" applyFont="1" applyFill="1" applyBorder="1"/>
    <xf numFmtId="164" fontId="0" fillId="9" borderId="18" xfId="1" applyNumberFormat="1" applyFont="1" applyFill="1" applyBorder="1"/>
    <xf numFmtId="9" fontId="0" fillId="0" borderId="18" xfId="3" applyFont="1" applyBorder="1"/>
    <xf numFmtId="164" fontId="0" fillId="0" borderId="18" xfId="1" applyNumberFormat="1" applyFont="1" applyBorder="1"/>
    <xf numFmtId="0" fontId="0" fillId="0" borderId="18" xfId="0" applyBorder="1" applyAlignment="1">
      <alignment wrapText="1"/>
    </xf>
    <xf numFmtId="0" fontId="3" fillId="0" borderId="59" xfId="0" applyFont="1" applyBorder="1"/>
    <xf numFmtId="0" fontId="3" fillId="0" borderId="76" xfId="0" applyFont="1" applyBorder="1"/>
    <xf numFmtId="0" fontId="0" fillId="0" borderId="69" xfId="0" applyBorder="1"/>
    <xf numFmtId="0" fontId="0" fillId="0" borderId="76" xfId="0" applyBorder="1"/>
    <xf numFmtId="0" fontId="0" fillId="0" borderId="55" xfId="0" applyBorder="1"/>
    <xf numFmtId="0" fontId="3" fillId="0" borderId="28" xfId="0" applyFont="1" applyBorder="1"/>
    <xf numFmtId="0" fontId="0" fillId="0" borderId="28" xfId="0" applyBorder="1"/>
    <xf numFmtId="0" fontId="3" fillId="0" borderId="1" xfId="0" applyFont="1" applyBorder="1" applyAlignment="1">
      <alignment horizontal="center" wrapText="1"/>
    </xf>
    <xf numFmtId="0" fontId="3" fillId="0" borderId="41" xfId="0" applyFont="1" applyBorder="1" applyAlignment="1">
      <alignment horizontal="center" wrapText="1"/>
    </xf>
    <xf numFmtId="0" fontId="3" fillId="0" borderId="58" xfId="0" applyFont="1" applyBorder="1" applyAlignment="1">
      <alignment horizontal="center" wrapText="1"/>
    </xf>
    <xf numFmtId="164" fontId="0" fillId="0" borderId="9" xfId="1" applyNumberFormat="1" applyFont="1" applyFill="1" applyBorder="1" applyAlignment="1">
      <alignment horizontal="center"/>
    </xf>
    <xf numFmtId="164" fontId="8" fillId="8" borderId="77" xfId="1" applyNumberFormat="1" applyFont="1" applyFill="1" applyBorder="1" applyAlignment="1">
      <alignment horizontal="center"/>
    </xf>
    <xf numFmtId="164" fontId="3" fillId="6" borderId="59" xfId="1" applyNumberFormat="1" applyFont="1" applyFill="1" applyBorder="1" applyAlignment="1">
      <alignment horizontal="center"/>
    </xf>
    <xf numFmtId="0" fontId="7" fillId="7" borderId="34" xfId="0" applyFont="1" applyFill="1" applyBorder="1" applyAlignment="1">
      <alignment horizontal="center" vertical="center" wrapText="1"/>
    </xf>
    <xf numFmtId="164" fontId="7" fillId="7" borderId="37" xfId="1" applyNumberFormat="1" applyFont="1" applyFill="1" applyBorder="1" applyAlignment="1">
      <alignment horizontal="center" vertical="center" wrapText="1"/>
    </xf>
    <xf numFmtId="166" fontId="3" fillId="3" borderId="38" xfId="3" applyNumberFormat="1" applyFont="1" applyFill="1" applyBorder="1" applyAlignment="1">
      <alignment horizontal="center"/>
    </xf>
    <xf numFmtId="164" fontId="7" fillId="2" borderId="7"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43" fontId="7" fillId="2" borderId="11" xfId="1" applyFont="1" applyFill="1" applyBorder="1" applyAlignment="1">
      <alignment horizontal="center" vertical="center" wrapText="1"/>
    </xf>
    <xf numFmtId="0" fontId="3" fillId="3" borderId="60" xfId="1" applyNumberFormat="1" applyFont="1" applyFill="1" applyBorder="1" applyAlignment="1">
      <alignment horizontal="center"/>
    </xf>
    <xf numFmtId="164" fontId="3" fillId="3" borderId="10" xfId="1" applyNumberFormat="1" applyFont="1" applyFill="1" applyBorder="1" applyAlignment="1">
      <alignment horizontal="center" vertical="center"/>
    </xf>
    <xf numFmtId="164" fontId="3" fillId="3" borderId="37" xfId="1" applyNumberFormat="1" applyFont="1" applyFill="1" applyBorder="1" applyAlignment="1">
      <alignment horizontal="center" vertical="center"/>
    </xf>
    <xf numFmtId="165" fontId="3" fillId="3" borderId="10" xfId="2" applyNumberFormat="1" applyFont="1" applyFill="1" applyBorder="1" applyAlignment="1">
      <alignment horizontal="center" vertical="center"/>
    </xf>
    <xf numFmtId="165" fontId="3" fillId="3" borderId="11" xfId="2" applyNumberFormat="1" applyFont="1" applyFill="1" applyBorder="1" applyAlignment="1">
      <alignment horizontal="center" vertical="center"/>
    </xf>
    <xf numFmtId="164" fontId="0" fillId="2" borderId="34" xfId="1" applyNumberFormat="1" applyFont="1" applyFill="1" applyBorder="1" applyAlignment="1">
      <alignment horizontal="center" vertical="center" wrapText="1"/>
    </xf>
    <xf numFmtId="165" fontId="0" fillId="2" borderId="6" xfId="2" applyNumberFormat="1" applyFont="1" applyFill="1" applyBorder="1" applyAlignment="1">
      <alignment horizontal="center" vertical="center" wrapText="1"/>
    </xf>
    <xf numFmtId="165" fontId="0" fillId="2" borderId="7" xfId="2" applyNumberFormat="1" applyFont="1" applyFill="1" applyBorder="1" applyAlignment="1">
      <alignment horizontal="center" vertical="center" wrapText="1"/>
    </xf>
    <xf numFmtId="0" fontId="3" fillId="3" borderId="2" xfId="0" applyFont="1" applyFill="1" applyBorder="1"/>
    <xf numFmtId="164" fontId="3" fillId="3" borderId="78" xfId="1" applyNumberFormat="1" applyFont="1" applyFill="1" applyBorder="1" applyAlignment="1">
      <alignment horizontal="center" vertical="center"/>
    </xf>
    <xf numFmtId="164" fontId="3" fillId="3" borderId="64" xfId="1" applyNumberFormat="1" applyFont="1" applyFill="1" applyBorder="1" applyAlignment="1">
      <alignment horizontal="center" vertical="center"/>
    </xf>
    <xf numFmtId="165" fontId="3" fillId="3" borderId="21" xfId="2" applyNumberFormat="1" applyFont="1" applyFill="1" applyBorder="1" applyAlignment="1">
      <alignment horizontal="center" vertical="center"/>
    </xf>
    <xf numFmtId="165" fontId="3" fillId="3" borderId="64" xfId="2" applyNumberFormat="1" applyFont="1" applyFill="1" applyBorder="1" applyAlignment="1">
      <alignment horizontal="center" vertical="center"/>
    </xf>
    <xf numFmtId="164" fontId="3" fillId="3" borderId="21" xfId="1" applyNumberFormat="1" applyFont="1" applyFill="1" applyBorder="1" applyAlignment="1">
      <alignment horizontal="center" vertical="center"/>
    </xf>
    <xf numFmtId="164" fontId="0" fillId="0" borderId="66" xfId="1" applyNumberFormat="1" applyFont="1" applyBorder="1" applyAlignment="1">
      <alignment horizontal="center" vertical="center"/>
    </xf>
    <xf numFmtId="165" fontId="0" fillId="0" borderId="23" xfId="2" applyNumberFormat="1" applyFont="1" applyBorder="1" applyAlignment="1">
      <alignment horizontal="center" vertical="center"/>
    </xf>
    <xf numFmtId="165" fontId="0" fillId="0" borderId="25" xfId="2" applyNumberFormat="1" applyFont="1" applyBorder="1" applyAlignment="1">
      <alignment horizontal="center" vertical="center"/>
    </xf>
    <xf numFmtId="2" fontId="0" fillId="0" borderId="18" xfId="0" applyNumberFormat="1" applyBorder="1"/>
    <xf numFmtId="0" fontId="6" fillId="2" borderId="78" xfId="0" applyFont="1" applyFill="1" applyBorder="1" applyAlignment="1">
      <alignment horizontal="center" vertical="center" wrapText="1"/>
    </xf>
    <xf numFmtId="0" fontId="6" fillId="7" borderId="7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0" fillId="7" borderId="20"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9"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3" fontId="0" fillId="0" borderId="0" xfId="0" applyNumberFormat="1"/>
    <xf numFmtId="10" fontId="0" fillId="0" borderId="0" xfId="0" applyNumberFormat="1"/>
    <xf numFmtId="9" fontId="0" fillId="0" borderId="0" xfId="0" applyNumberFormat="1"/>
    <xf numFmtId="0" fontId="0" fillId="0" borderId="0" xfId="0" applyAlignment="1">
      <alignment wrapText="1"/>
    </xf>
    <xf numFmtId="0" fontId="21" fillId="0" borderId="0" xfId="0" applyFont="1"/>
    <xf numFmtId="164" fontId="0" fillId="0" borderId="0" xfId="0" applyNumberFormat="1"/>
    <xf numFmtId="164" fontId="1" fillId="0" borderId="0" xfId="1" applyNumberFormat="1" applyFont="1" applyFill="1" applyBorder="1"/>
    <xf numFmtId="164" fontId="7" fillId="2" borderId="18" xfId="1" applyNumberFormat="1" applyFont="1" applyFill="1" applyBorder="1" applyAlignment="1">
      <alignment horizontal="center" vertical="center" wrapText="1"/>
    </xf>
    <xf numFmtId="0" fontId="0" fillId="0" borderId="35" xfId="0" applyBorder="1" applyAlignment="1">
      <alignment wrapText="1"/>
    </xf>
    <xf numFmtId="0" fontId="0" fillId="5" borderId="35" xfId="0" applyFill="1" applyBorder="1" applyAlignment="1">
      <alignment wrapText="1"/>
    </xf>
    <xf numFmtId="164" fontId="0" fillId="5" borderId="18" xfId="1" applyNumberFormat="1" applyFont="1" applyFill="1" applyBorder="1"/>
    <xf numFmtId="0" fontId="0" fillId="9" borderId="35" xfId="0" applyFill="1" applyBorder="1" applyAlignment="1">
      <alignment wrapText="1"/>
    </xf>
    <xf numFmtId="164" fontId="1" fillId="9" borderId="18" xfId="1" applyNumberFormat="1" applyFont="1" applyFill="1" applyBorder="1"/>
    <xf numFmtId="9" fontId="1" fillId="0" borderId="0" xfId="3" applyFont="1" applyFill="1" applyBorder="1"/>
    <xf numFmtId="0" fontId="3" fillId="0" borderId="0" xfId="0" applyFont="1"/>
    <xf numFmtId="0" fontId="23" fillId="5" borderId="0" xfId="6" applyFont="1" applyFill="1"/>
    <xf numFmtId="0" fontId="22" fillId="5" borderId="0" xfId="6" applyFill="1"/>
    <xf numFmtId="0" fontId="22" fillId="5" borderId="0" xfId="6" applyFill="1" applyAlignment="1">
      <alignment horizontal="center"/>
    </xf>
    <xf numFmtId="0" fontId="0" fillId="5" borderId="0" xfId="0" applyFill="1"/>
    <xf numFmtId="0" fontId="22" fillId="0" borderId="0" xfId="6"/>
    <xf numFmtId="0" fontId="24" fillId="5" borderId="0" xfId="6" applyFont="1" applyFill="1"/>
    <xf numFmtId="0" fontId="24" fillId="5" borderId="0" xfId="6" applyFont="1" applyFill="1" applyAlignment="1">
      <alignment horizontal="center"/>
    </xf>
    <xf numFmtId="0" fontId="22" fillId="5" borderId="0" xfId="6" applyFill="1" applyAlignment="1">
      <alignment horizontal="center" vertical="center" wrapText="1"/>
    </xf>
    <xf numFmtId="0" fontId="26" fillId="20" borderId="79" xfId="6" applyFont="1" applyFill="1" applyBorder="1" applyAlignment="1">
      <alignment horizontal="center" vertical="center" wrapText="1"/>
    </xf>
    <xf numFmtId="0" fontId="26" fillId="20" borderId="80" xfId="6" applyFont="1" applyFill="1" applyBorder="1" applyAlignment="1">
      <alignment horizontal="center" vertical="center" wrapText="1"/>
    </xf>
    <xf numFmtId="0" fontId="26" fillId="20" borderId="81" xfId="6" applyFont="1" applyFill="1" applyBorder="1" applyAlignment="1">
      <alignment horizontal="center" vertical="center" wrapText="1"/>
    </xf>
    <xf numFmtId="0" fontId="26" fillId="4" borderId="82" xfId="0" applyFont="1" applyFill="1" applyBorder="1" applyAlignment="1">
      <alignment horizontal="center" vertical="center" wrapText="1"/>
    </xf>
    <xf numFmtId="0" fontId="26" fillId="4" borderId="83" xfId="0" applyFont="1" applyFill="1" applyBorder="1" applyAlignment="1">
      <alignment horizontal="center" vertical="center" wrapText="1"/>
    </xf>
    <xf numFmtId="0" fontId="27" fillId="20" borderId="80" xfId="6" applyFont="1" applyFill="1" applyBorder="1" applyAlignment="1">
      <alignment horizontal="center" vertical="center" wrapText="1"/>
    </xf>
    <xf numFmtId="0" fontId="27" fillId="20" borderId="84" xfId="6" applyFont="1" applyFill="1" applyBorder="1" applyAlignment="1">
      <alignment horizontal="center" vertical="center" wrapText="1"/>
    </xf>
    <xf numFmtId="0" fontId="22" fillId="0" borderId="0" xfId="6" applyAlignment="1">
      <alignment horizontal="center" vertical="center" wrapText="1"/>
    </xf>
    <xf numFmtId="0" fontId="26" fillId="20" borderId="85" xfId="6" applyFont="1" applyFill="1" applyBorder="1" applyAlignment="1">
      <alignment horizontal="center" vertical="center" wrapText="1"/>
    </xf>
    <xf numFmtId="0" fontId="26" fillId="20" borderId="86" xfId="6" applyFont="1" applyFill="1" applyBorder="1" applyAlignment="1">
      <alignment horizontal="center" vertical="center" wrapText="1"/>
    </xf>
    <xf numFmtId="0" fontId="27" fillId="20" borderId="86" xfId="6" applyFont="1" applyFill="1" applyBorder="1" applyAlignment="1">
      <alignment horizontal="center" vertical="center" wrapText="1"/>
    </xf>
    <xf numFmtId="0" fontId="27" fillId="20" borderId="86" xfId="6" quotePrefix="1" applyFont="1" applyFill="1" applyBorder="1" applyAlignment="1">
      <alignment horizontal="center" vertical="center" wrapText="1"/>
    </xf>
    <xf numFmtId="0" fontId="27" fillId="20" borderId="84" xfId="6" quotePrefix="1" applyFont="1" applyFill="1" applyBorder="1" applyAlignment="1">
      <alignment horizontal="center" vertical="center" wrapText="1"/>
    </xf>
    <xf numFmtId="0" fontId="26" fillId="5" borderId="85" xfId="6" applyFont="1" applyFill="1" applyBorder="1" applyAlignment="1">
      <alignment horizontal="center" vertical="center" wrapText="1"/>
    </xf>
    <xf numFmtId="0" fontId="26" fillId="5" borderId="86" xfId="6" applyFont="1" applyFill="1" applyBorder="1" applyAlignment="1">
      <alignment horizontal="center" vertical="center" wrapText="1"/>
    </xf>
    <xf numFmtId="0" fontId="27" fillId="5" borderId="84" xfId="6" applyFont="1" applyFill="1" applyBorder="1" applyAlignment="1">
      <alignment horizontal="center" vertical="center" wrapText="1"/>
    </xf>
    <xf numFmtId="0" fontId="26" fillId="0" borderId="85" xfId="6" applyFont="1" applyBorder="1" applyAlignment="1">
      <alignment horizontal="center"/>
    </xf>
    <xf numFmtId="0" fontId="26" fillId="0" borderId="86" xfId="6" applyFont="1" applyBorder="1" applyAlignment="1">
      <alignment horizontal="center"/>
    </xf>
    <xf numFmtId="164" fontId="26" fillId="0" borderId="86" xfId="1" applyNumberFormat="1" applyFont="1" applyBorder="1" applyAlignment="1">
      <alignment horizontal="right"/>
    </xf>
    <xf numFmtId="10" fontId="27" fillId="0" borderId="86" xfId="3" applyNumberFormat="1" applyFont="1" applyBorder="1" applyAlignment="1">
      <alignment horizontal="right"/>
    </xf>
    <xf numFmtId="3" fontId="27" fillId="0" borderId="87" xfId="6" applyNumberFormat="1" applyFont="1" applyBorder="1" applyAlignment="1">
      <alignment horizontal="center"/>
    </xf>
    <xf numFmtId="43" fontId="22" fillId="0" borderId="0" xfId="1" applyFont="1"/>
    <xf numFmtId="0" fontId="26" fillId="0" borderId="85" xfId="6" applyFont="1" applyBorder="1" applyAlignment="1">
      <alignment horizontal="right"/>
    </xf>
    <xf numFmtId="0" fontId="26" fillId="0" borderId="88" xfId="6" applyFont="1" applyBorder="1" applyAlignment="1">
      <alignment horizontal="center"/>
    </xf>
    <xf numFmtId="0" fontId="26" fillId="0" borderId="89" xfId="6" applyFont="1" applyBorder="1" applyAlignment="1">
      <alignment horizontal="center"/>
    </xf>
    <xf numFmtId="164" fontId="26" fillId="0" borderId="89" xfId="1" applyNumberFormat="1" applyFont="1" applyBorder="1" applyAlignment="1">
      <alignment horizontal="right"/>
    </xf>
    <xf numFmtId="10" fontId="26" fillId="0" borderId="89" xfId="1" applyNumberFormat="1" applyFont="1" applyBorder="1" applyAlignment="1">
      <alignment horizontal="right"/>
    </xf>
    <xf numFmtId="10" fontId="27" fillId="0" borderId="89" xfId="1" applyNumberFormat="1" applyFont="1" applyBorder="1" applyAlignment="1">
      <alignment horizontal="right"/>
    </xf>
    <xf numFmtId="0" fontId="26" fillId="5" borderId="0" xfId="6" applyFont="1" applyFill="1" applyAlignment="1">
      <alignment horizontal="right"/>
    </xf>
    <xf numFmtId="0" fontId="26" fillId="5" borderId="0" xfId="6" applyFont="1" applyFill="1" applyAlignment="1">
      <alignment horizontal="center"/>
    </xf>
    <xf numFmtId="164" fontId="28" fillId="5" borderId="0" xfId="1" applyNumberFormat="1" applyFont="1" applyFill="1" applyBorder="1" applyAlignment="1">
      <alignment horizontal="center" vertical="center"/>
    </xf>
    <xf numFmtId="164" fontId="28" fillId="5" borderId="0" xfId="1" applyNumberFormat="1" applyFont="1" applyFill="1" applyBorder="1" applyAlignment="1">
      <alignment horizontal="center" vertical="center" wrapText="1"/>
    </xf>
    <xf numFmtId="164" fontId="28" fillId="5" borderId="0" xfId="1" applyNumberFormat="1" applyFont="1" applyFill="1" applyBorder="1" applyAlignment="1">
      <alignment horizontal="right"/>
    </xf>
    <xf numFmtId="3" fontId="27" fillId="5" borderId="0" xfId="6" applyNumberFormat="1" applyFont="1" applyFill="1" applyAlignment="1">
      <alignment horizontal="center"/>
    </xf>
    <xf numFmtId="0" fontId="27" fillId="5" borderId="0" xfId="6" applyFont="1" applyFill="1"/>
    <xf numFmtId="0" fontId="11" fillId="5" borderId="0" xfId="6" applyFont="1" applyFill="1" applyAlignment="1">
      <alignment horizontal="center"/>
    </xf>
    <xf numFmtId="0" fontId="11" fillId="5" borderId="0" xfId="6" applyFont="1" applyFill="1"/>
    <xf numFmtId="0" fontId="29" fillId="5" borderId="0" xfId="0" applyFont="1" applyFill="1" applyAlignment="1">
      <alignment horizontal="left" vertical="center" readingOrder="1"/>
    </xf>
    <xf numFmtId="0" fontId="31" fillId="0" borderId="0" xfId="7" applyFont="1"/>
    <xf numFmtId="0" fontId="30" fillId="0" borderId="0" xfId="7"/>
    <xf numFmtId="0" fontId="30" fillId="0" borderId="0" xfId="7" applyAlignment="1">
      <alignment vertical="top"/>
    </xf>
    <xf numFmtId="0" fontId="34" fillId="0" borderId="0" xfId="0" applyFont="1"/>
    <xf numFmtId="164" fontId="0" fillId="0" borderId="18"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35" fillId="0" borderId="0" xfId="7" applyFont="1" applyAlignment="1">
      <alignment vertical="center"/>
    </xf>
    <xf numFmtId="0" fontId="35" fillId="0" borderId="0" xfId="7" applyFont="1" applyAlignment="1">
      <alignment horizontal="center" vertical="center"/>
    </xf>
    <xf numFmtId="44" fontId="0" fillId="0" borderId="18" xfId="2" applyFont="1" applyFill="1" applyBorder="1" applyProtection="1">
      <protection hidden="1"/>
    </xf>
    <xf numFmtId="44" fontId="0" fillId="0" borderId="18" xfId="2" applyFont="1" applyFill="1" applyBorder="1" applyProtection="1">
      <protection locked="0"/>
    </xf>
    <xf numFmtId="165" fontId="3" fillId="3" borderId="22" xfId="0" applyNumberFormat="1" applyFont="1" applyFill="1" applyBorder="1" applyAlignment="1">
      <alignment horizontal="center"/>
    </xf>
    <xf numFmtId="0" fontId="11" fillId="0" borderId="14" xfId="0" applyFont="1" applyBorder="1"/>
    <xf numFmtId="164" fontId="3" fillId="3" borderId="72" xfId="0" applyNumberFormat="1" applyFont="1" applyFill="1" applyBorder="1" applyAlignment="1">
      <alignment horizontal="center"/>
    </xf>
    <xf numFmtId="165" fontId="8" fillId="3" borderId="21" xfId="0" applyNumberFormat="1" applyFont="1" applyFill="1" applyBorder="1" applyAlignment="1">
      <alignment horizontal="center"/>
    </xf>
    <xf numFmtId="164" fontId="2" fillId="0" borderId="0" xfId="0" applyNumberFormat="1" applyFont="1"/>
    <xf numFmtId="3" fontId="27" fillId="0" borderId="90" xfId="1" applyNumberFormat="1" applyFont="1" applyBorder="1" applyAlignment="1">
      <alignment horizontal="center"/>
    </xf>
    <xf numFmtId="0" fontId="40" fillId="2" borderId="21" xfId="0" applyFont="1" applyFill="1" applyBorder="1" applyAlignment="1">
      <alignment horizontal="center" vertical="center" wrapText="1"/>
    </xf>
    <xf numFmtId="0" fontId="40" fillId="2" borderId="64" xfId="0" applyFont="1" applyFill="1" applyBorder="1" applyAlignment="1">
      <alignment horizontal="center" vertical="center" wrapText="1"/>
    </xf>
    <xf numFmtId="0" fontId="41" fillId="3" borderId="58" xfId="0" applyFont="1" applyFill="1" applyBorder="1" applyAlignment="1">
      <alignment horizontal="center" vertical="center" wrapText="1"/>
    </xf>
    <xf numFmtId="0" fontId="41" fillId="3" borderId="60" xfId="0" applyFont="1" applyFill="1" applyBorder="1" applyAlignment="1">
      <alignment horizontal="center" vertical="center" wrapText="1"/>
    </xf>
    <xf numFmtId="165" fontId="0" fillId="0" borderId="55" xfId="2" applyNumberFormat="1" applyFont="1" applyBorder="1"/>
    <xf numFmtId="165" fontId="0" fillId="0" borderId="76" xfId="2" applyNumberFormat="1" applyFont="1" applyBorder="1"/>
    <xf numFmtId="165" fontId="3" fillId="0" borderId="28" xfId="0" applyNumberFormat="1" applyFont="1" applyBorder="1"/>
    <xf numFmtId="165" fontId="0" fillId="0" borderId="55" xfId="0" applyNumberFormat="1" applyBorder="1"/>
    <xf numFmtId="164" fontId="0" fillId="0" borderId="18" xfId="1" applyNumberFormat="1" applyFont="1" applyBorder="1" applyAlignment="1">
      <alignment horizontal="right"/>
    </xf>
    <xf numFmtId="0" fontId="0" fillId="0" borderId="18" xfId="1" applyNumberFormat="1" applyFont="1" applyBorder="1" applyAlignment="1">
      <alignment horizontal="right"/>
    </xf>
    <xf numFmtId="164" fontId="0" fillId="9" borderId="18" xfId="1" applyNumberFormat="1" applyFont="1" applyFill="1" applyBorder="1" applyAlignment="1">
      <alignment horizontal="right"/>
    </xf>
    <xf numFmtId="0" fontId="0" fillId="0" borderId="18" xfId="3" applyNumberFormat="1" applyFont="1" applyBorder="1" applyAlignment="1">
      <alignment horizontal="right"/>
    </xf>
    <xf numFmtId="0" fontId="7" fillId="2" borderId="31" xfId="1" applyNumberFormat="1" applyFont="1" applyFill="1" applyBorder="1" applyAlignment="1">
      <alignment horizontal="center" vertical="center" wrapText="1"/>
    </xf>
    <xf numFmtId="0" fontId="7" fillId="2" borderId="18" xfId="1" applyNumberFormat="1" applyFont="1" applyFill="1" applyBorder="1" applyAlignment="1">
      <alignment horizontal="center" vertical="center" wrapText="1"/>
    </xf>
    <xf numFmtId="0" fontId="0" fillId="0" borderId="18" xfId="0" applyBorder="1" applyAlignment="1">
      <alignment horizontal="center" wrapText="1"/>
    </xf>
    <xf numFmtId="3" fontId="0" fillId="21" borderId="18" xfId="0" applyNumberFormat="1" applyFill="1" applyBorder="1" applyAlignment="1">
      <alignment horizontal="center" vertical="center" wrapText="1"/>
    </xf>
    <xf numFmtId="0" fontId="0" fillId="0" borderId="35" xfId="0" applyBorder="1" applyAlignment="1">
      <alignment vertical="center"/>
    </xf>
    <xf numFmtId="164" fontId="3" fillId="3" borderId="38" xfId="1" applyNumberFormat="1" applyFont="1" applyFill="1" applyBorder="1" applyAlignment="1">
      <alignment horizontal="center" vertical="center"/>
    </xf>
    <xf numFmtId="0" fontId="3" fillId="3" borderId="1" xfId="0" applyFont="1" applyFill="1" applyBorder="1"/>
    <xf numFmtId="0" fontId="0" fillId="0" borderId="9" xfId="0" applyBorder="1" applyAlignment="1">
      <alignment horizontal="left" vertical="center" wrapText="1"/>
    </xf>
    <xf numFmtId="0" fontId="0" fillId="0" borderId="28" xfId="0" applyBorder="1" applyAlignment="1">
      <alignment vertical="center" wrapText="1"/>
    </xf>
    <xf numFmtId="0" fontId="0" fillId="0" borderId="69" xfId="0" applyBorder="1" applyAlignment="1">
      <alignment horizontal="left" vertical="center" wrapText="1"/>
    </xf>
    <xf numFmtId="0" fontId="0" fillId="0" borderId="28" xfId="0" applyBorder="1" applyAlignment="1">
      <alignment horizontal="left" vertical="center" wrapText="1"/>
    </xf>
    <xf numFmtId="0" fontId="3" fillId="3" borderId="3" xfId="0" applyFont="1" applyFill="1" applyBorder="1"/>
    <xf numFmtId="0" fontId="0" fillId="2" borderId="54" xfId="0" applyFill="1" applyBorder="1" applyAlignment="1">
      <alignment vertical="center" wrapText="1"/>
    </xf>
    <xf numFmtId="0" fontId="0" fillId="2" borderId="42" xfId="0" applyFill="1" applyBorder="1" applyAlignment="1">
      <alignment vertical="center" wrapText="1"/>
    </xf>
    <xf numFmtId="0" fontId="0" fillId="0" borderId="73" xfId="0" applyBorder="1"/>
    <xf numFmtId="0" fontId="3" fillId="3" borderId="12" xfId="0" applyFont="1" applyFill="1" applyBorder="1"/>
    <xf numFmtId="165" fontId="3" fillId="3" borderId="2" xfId="0" applyNumberFormat="1" applyFont="1" applyFill="1" applyBorder="1" applyAlignment="1">
      <alignment horizontal="center" vertical="center"/>
    </xf>
    <xf numFmtId="165" fontId="3" fillId="3" borderId="64" xfId="0" applyNumberFormat="1" applyFont="1" applyFill="1" applyBorder="1" applyAlignment="1">
      <alignment horizontal="center" vertical="center"/>
    </xf>
    <xf numFmtId="0" fontId="43" fillId="0" borderId="0" xfId="0" applyFont="1"/>
    <xf numFmtId="0" fontId="45" fillId="24" borderId="18" xfId="0" applyFont="1" applyFill="1" applyBorder="1" applyAlignment="1">
      <alignment horizontal="center" vertical="center"/>
    </xf>
    <xf numFmtId="0" fontId="45" fillId="24" borderId="18" xfId="0" applyFont="1" applyFill="1" applyBorder="1" applyAlignment="1">
      <alignment horizontal="center" vertical="center" wrapText="1"/>
    </xf>
    <xf numFmtId="0" fontId="46" fillId="0" borderId="18" xfId="0" applyFont="1" applyBorder="1"/>
    <xf numFmtId="10" fontId="17" fillId="0" borderId="18" xfId="0" applyNumberFormat="1" applyFont="1" applyBorder="1" applyAlignment="1">
      <alignment horizontal="center"/>
    </xf>
    <xf numFmtId="167" fontId="0" fillId="0" borderId="0" xfId="1" applyNumberFormat="1" applyFont="1"/>
    <xf numFmtId="0" fontId="0" fillId="0" borderId="93" xfId="0" applyBorder="1" applyAlignment="1">
      <alignment vertical="center" wrapText="1"/>
    </xf>
    <xf numFmtId="0" fontId="3" fillId="3" borderId="21" xfId="0" applyFont="1" applyFill="1" applyBorder="1"/>
    <xf numFmtId="0" fontId="3" fillId="3" borderId="38" xfId="0" applyFont="1" applyFill="1" applyBorder="1"/>
    <xf numFmtId="165" fontId="3" fillId="3" borderId="21" xfId="2" applyNumberFormat="1" applyFont="1" applyFill="1" applyBorder="1" applyAlignment="1">
      <alignment horizontal="center"/>
    </xf>
    <xf numFmtId="165" fontId="3" fillId="3" borderId="64" xfId="2" applyNumberFormat="1" applyFont="1" applyFill="1" applyBorder="1" applyAlignment="1">
      <alignment horizontal="center"/>
    </xf>
    <xf numFmtId="0" fontId="41" fillId="3" borderId="1" xfId="0" applyFont="1" applyFill="1" applyBorder="1" applyAlignment="1">
      <alignment horizontal="center" vertical="center" wrapText="1"/>
    </xf>
    <xf numFmtId="0" fontId="41" fillId="3" borderId="33"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1" fillId="3" borderId="65" xfId="0" applyFont="1" applyFill="1" applyBorder="1" applyAlignment="1">
      <alignment horizontal="center" vertical="center" wrapText="1"/>
    </xf>
    <xf numFmtId="0" fontId="3" fillId="3" borderId="64" xfId="0" applyFont="1" applyFill="1" applyBorder="1"/>
    <xf numFmtId="165" fontId="3" fillId="3" borderId="21" xfId="2" applyNumberFormat="1" applyFont="1" applyFill="1" applyBorder="1"/>
    <xf numFmtId="165" fontId="3" fillId="3" borderId="64" xfId="2" applyNumberFormat="1" applyFont="1" applyFill="1" applyBorder="1"/>
    <xf numFmtId="164" fontId="3" fillId="3" borderId="64" xfId="1" applyNumberFormat="1" applyFont="1" applyFill="1" applyBorder="1" applyAlignment="1"/>
    <xf numFmtId="164" fontId="3" fillId="3" borderId="38" xfId="1" applyNumberFormat="1" applyFont="1" applyFill="1" applyBorder="1" applyAlignment="1"/>
    <xf numFmtId="164" fontId="3" fillId="6" borderId="21" xfId="1" applyNumberFormat="1" applyFont="1" applyFill="1" applyBorder="1" applyAlignment="1"/>
    <xf numFmtId="164" fontId="3" fillId="6" borderId="64" xfId="1" applyNumberFormat="1" applyFont="1" applyFill="1" applyBorder="1" applyAlignment="1"/>
    <xf numFmtId="164" fontId="3" fillId="3" borderId="21" xfId="1" applyNumberFormat="1" applyFont="1" applyFill="1" applyBorder="1" applyAlignment="1">
      <alignment horizontal="center"/>
    </xf>
    <xf numFmtId="164" fontId="3" fillId="3" borderId="64" xfId="1" applyNumberFormat="1" applyFont="1" applyFill="1" applyBorder="1" applyAlignment="1">
      <alignment horizontal="center"/>
    </xf>
    <xf numFmtId="0" fontId="3" fillId="3" borderId="63" xfId="0" applyFont="1" applyFill="1" applyBorder="1"/>
    <xf numFmtId="0" fontId="7" fillId="2" borderId="29" xfId="0" applyFont="1" applyFill="1" applyBorder="1" applyAlignment="1" applyProtection="1">
      <alignment horizontal="center" vertical="center" wrapText="1"/>
      <protection locked="0"/>
    </xf>
    <xf numFmtId="165" fontId="3" fillId="0" borderId="58" xfId="2" applyNumberFormat="1" applyFont="1" applyBorder="1" applyAlignment="1">
      <alignment horizontal="center" wrapText="1"/>
    </xf>
    <xf numFmtId="165" fontId="3" fillId="0" borderId="41" xfId="2" applyNumberFormat="1" applyFont="1" applyBorder="1" applyAlignment="1">
      <alignment horizontal="center" wrapText="1"/>
    </xf>
    <xf numFmtId="165" fontId="3" fillId="0" borderId="1" xfId="2" applyNumberFormat="1" applyFont="1" applyBorder="1" applyAlignment="1">
      <alignment horizontal="center" wrapText="1"/>
    </xf>
    <xf numFmtId="165" fontId="0" fillId="0" borderId="0" xfId="0" applyNumberFormat="1"/>
    <xf numFmtId="165" fontId="0" fillId="0" borderId="76" xfId="0" applyNumberFormat="1" applyBorder="1"/>
    <xf numFmtId="165" fontId="3" fillId="0" borderId="26" xfId="2" applyNumberFormat="1" applyFont="1" applyBorder="1"/>
    <xf numFmtId="43" fontId="3" fillId="0" borderId="26" xfId="1" applyFont="1" applyBorder="1"/>
    <xf numFmtId="165" fontId="0" fillId="0" borderId="45" xfId="0" applyNumberFormat="1" applyBorder="1"/>
    <xf numFmtId="165" fontId="0" fillId="0" borderId="45" xfId="2" applyNumberFormat="1" applyFont="1" applyBorder="1"/>
    <xf numFmtId="165" fontId="0" fillId="0" borderId="74" xfId="2" applyNumberFormat="1" applyFont="1" applyBorder="1"/>
    <xf numFmtId="165" fontId="3" fillId="0" borderId="55" xfId="2" applyNumberFormat="1" applyFont="1" applyBorder="1"/>
    <xf numFmtId="165" fontId="3" fillId="0" borderId="62" xfId="2" applyNumberFormat="1" applyFont="1" applyBorder="1"/>
    <xf numFmtId="43" fontId="3" fillId="0" borderId="53" xfId="1" applyFont="1" applyBorder="1"/>
    <xf numFmtId="170" fontId="0" fillId="0" borderId="18" xfId="2" applyNumberFormat="1" applyFont="1" applyBorder="1" applyAlignment="1">
      <alignment horizontal="right"/>
    </xf>
    <xf numFmtId="170" fontId="0" fillId="0" borderId="18" xfId="3" applyNumberFormat="1" applyFont="1" applyBorder="1" applyAlignment="1">
      <alignment horizontal="right"/>
    </xf>
    <xf numFmtId="170" fontId="0" fillId="0" borderId="18" xfId="0" applyNumberFormat="1" applyBorder="1" applyAlignment="1">
      <alignment horizontal="right"/>
    </xf>
    <xf numFmtId="43" fontId="0" fillId="0" borderId="18" xfId="3" applyNumberFormat="1" applyFont="1" applyBorder="1" applyAlignment="1">
      <alignment horizontal="right"/>
    </xf>
    <xf numFmtId="0" fontId="7" fillId="2" borderId="94" xfId="0" applyFont="1" applyFill="1" applyBorder="1" applyAlignment="1">
      <alignment horizontal="center" vertical="center" wrapText="1"/>
    </xf>
    <xf numFmtId="164" fontId="17" fillId="0" borderId="95" xfId="0" applyNumberFormat="1" applyFont="1" applyBorder="1" applyAlignment="1">
      <alignment horizontal="center" vertical="center"/>
    </xf>
    <xf numFmtId="164" fontId="17" fillId="0" borderId="30" xfId="0" applyNumberFormat="1" applyFont="1" applyBorder="1" applyAlignment="1">
      <alignment horizontal="center" vertical="center"/>
    </xf>
    <xf numFmtId="164" fontId="17" fillId="25" borderId="30" xfId="0" applyNumberFormat="1" applyFont="1" applyFill="1" applyBorder="1" applyAlignment="1">
      <alignment horizontal="center" vertical="center"/>
    </xf>
    <xf numFmtId="0" fontId="17" fillId="25" borderId="30" xfId="0" applyFont="1" applyFill="1" applyBorder="1" applyAlignment="1">
      <alignment horizontal="center" vertical="center"/>
    </xf>
    <xf numFmtId="0" fontId="17" fillId="25" borderId="31" xfId="0" applyFont="1" applyFill="1" applyBorder="1" applyAlignment="1">
      <alignment horizontal="center" vertical="center"/>
    </xf>
    <xf numFmtId="0" fontId="7" fillId="2" borderId="96" xfId="0" applyFont="1" applyFill="1" applyBorder="1" applyAlignment="1">
      <alignment horizontal="center" vertical="center" wrapText="1"/>
    </xf>
    <xf numFmtId="164" fontId="1" fillId="0" borderId="97" xfId="1" applyNumberFormat="1" applyFont="1" applyBorder="1" applyAlignment="1">
      <alignment horizontal="center" vertical="center"/>
    </xf>
    <xf numFmtId="164" fontId="1" fillId="0" borderId="13" xfId="1" applyNumberFormat="1" applyFont="1" applyBorder="1" applyAlignment="1">
      <alignment horizontal="center" vertical="center"/>
    </xf>
    <xf numFmtId="10" fontId="1" fillId="0" borderId="13" xfId="0" applyNumberFormat="1" applyFont="1" applyBorder="1" applyAlignment="1">
      <alignment horizontal="center" vertical="center"/>
    </xf>
    <xf numFmtId="9" fontId="1" fillId="0" borderId="11" xfId="0" applyNumberFormat="1" applyFont="1" applyBorder="1" applyAlignment="1">
      <alignment horizontal="center" vertical="center"/>
    </xf>
    <xf numFmtId="0" fontId="36" fillId="0" borderId="0" xfId="0" applyFont="1" applyAlignment="1">
      <alignment horizontal="left" vertical="top" wrapText="1"/>
    </xf>
    <xf numFmtId="172" fontId="0" fillId="0" borderId="0" xfId="0" applyNumberFormat="1"/>
    <xf numFmtId="172" fontId="0" fillId="0" borderId="0" xfId="0" applyNumberFormat="1" applyAlignment="1">
      <alignment wrapText="1"/>
    </xf>
    <xf numFmtId="0" fontId="0" fillId="5" borderId="56" xfId="0" applyFill="1" applyBorder="1" applyAlignment="1">
      <alignment horizontal="left" vertical="center"/>
    </xf>
    <xf numFmtId="0" fontId="27" fillId="5" borderId="86" xfId="6" applyFont="1" applyFill="1" applyBorder="1" applyAlignment="1">
      <alignment horizontal="center" vertical="center" wrapText="1"/>
    </xf>
    <xf numFmtId="167" fontId="0" fillId="0" borderId="0" xfId="0" applyNumberFormat="1"/>
    <xf numFmtId="171" fontId="0" fillId="0" borderId="0" xfId="0" applyNumberFormat="1"/>
    <xf numFmtId="0" fontId="51" fillId="2" borderId="8" xfId="0" applyFont="1" applyFill="1" applyBorder="1" applyAlignment="1">
      <alignment horizontal="center" vertical="center" wrapText="1"/>
    </xf>
    <xf numFmtId="0" fontId="37" fillId="0" borderId="0" xfId="0" applyFont="1" applyAlignment="1">
      <alignment vertical="top"/>
    </xf>
    <xf numFmtId="0" fontId="0" fillId="23" borderId="37" xfId="0" applyFill="1" applyBorder="1" applyAlignment="1">
      <alignment wrapText="1"/>
    </xf>
    <xf numFmtId="164" fontId="0" fillId="0" borderId="67" xfId="1" applyNumberFormat="1" applyFont="1" applyBorder="1" applyAlignment="1">
      <alignment wrapText="1"/>
    </xf>
    <xf numFmtId="164" fontId="0" fillId="0" borderId="20" xfId="1" applyNumberFormat="1" applyFont="1" applyBorder="1" applyAlignment="1">
      <alignment wrapText="1"/>
    </xf>
    <xf numFmtId="167" fontId="0" fillId="0" borderId="20" xfId="0" applyNumberFormat="1" applyBorder="1" applyAlignment="1">
      <alignment wrapText="1"/>
    </xf>
    <xf numFmtId="164" fontId="0" fillId="0" borderId="32" xfId="1" applyNumberFormat="1" applyFont="1" applyBorder="1" applyAlignment="1">
      <alignment wrapText="1"/>
    </xf>
    <xf numFmtId="164" fontId="0" fillId="0" borderId="28" xfId="1" applyNumberFormat="1" applyFont="1" applyBorder="1" applyAlignment="1">
      <alignment wrapText="1"/>
    </xf>
    <xf numFmtId="164" fontId="0" fillId="0" borderId="91" xfId="1" applyNumberFormat="1" applyFont="1" applyBorder="1" applyAlignment="1">
      <alignment wrapText="1"/>
    </xf>
    <xf numFmtId="164" fontId="0" fillId="0" borderId="56" xfId="1" applyNumberFormat="1" applyFont="1" applyBorder="1" applyAlignment="1">
      <alignment wrapText="1"/>
    </xf>
    <xf numFmtId="164" fontId="0" fillId="23" borderId="30" xfId="1" applyNumberFormat="1" applyFont="1" applyFill="1" applyBorder="1" applyAlignment="1">
      <alignment wrapText="1"/>
    </xf>
    <xf numFmtId="0" fontId="0" fillId="23" borderId="56" xfId="0" applyFill="1" applyBorder="1" applyAlignment="1">
      <alignment wrapText="1"/>
    </xf>
    <xf numFmtId="164" fontId="0" fillId="0" borderId="68" xfId="1" applyNumberFormat="1" applyFont="1" applyBorder="1" applyAlignment="1">
      <alignment wrapText="1"/>
    </xf>
    <xf numFmtId="167" fontId="0" fillId="0" borderId="27" xfId="1" applyNumberFormat="1" applyFont="1" applyFill="1" applyBorder="1" applyAlignment="1">
      <alignment wrapText="1"/>
    </xf>
    <xf numFmtId="167" fontId="0" fillId="0" borderId="19" xfId="1" applyNumberFormat="1" applyFont="1" applyFill="1" applyBorder="1" applyAlignment="1">
      <alignment wrapText="1"/>
    </xf>
    <xf numFmtId="167" fontId="0" fillId="0" borderId="91" xfId="1" applyNumberFormat="1" applyFont="1" applyFill="1" applyBorder="1" applyAlignment="1">
      <alignment wrapText="1"/>
    </xf>
    <xf numFmtId="164" fontId="0" fillId="23" borderId="70" xfId="1" applyNumberFormat="1" applyFont="1" applyFill="1" applyBorder="1" applyAlignment="1">
      <alignment wrapText="1"/>
    </xf>
    <xf numFmtId="164" fontId="0" fillId="0" borderId="77" xfId="1" applyNumberFormat="1" applyFont="1" applyBorder="1" applyAlignment="1">
      <alignment wrapText="1"/>
    </xf>
    <xf numFmtId="164" fontId="0" fillId="0" borderId="20" xfId="1" applyNumberFormat="1" applyFont="1" applyFill="1" applyBorder="1" applyAlignment="1">
      <alignment wrapText="1"/>
    </xf>
    <xf numFmtId="0" fontId="7" fillId="2" borderId="33" xfId="0" applyFont="1" applyFill="1" applyBorder="1" applyAlignment="1">
      <alignment horizontal="center" vertical="center" wrapText="1"/>
    </xf>
    <xf numFmtId="0" fontId="7" fillId="2" borderId="58" xfId="0" applyFont="1" applyFill="1" applyBorder="1" applyAlignment="1">
      <alignment horizontal="center" vertical="center" wrapText="1"/>
    </xf>
    <xf numFmtId="164" fontId="7" fillId="2" borderId="60" xfId="1" applyNumberFormat="1" applyFont="1" applyFill="1" applyBorder="1" applyAlignment="1">
      <alignment horizontal="center" vertical="center" wrapText="1"/>
    </xf>
    <xf numFmtId="0" fontId="7" fillId="2" borderId="49" xfId="1" applyNumberFormat="1" applyFont="1" applyFill="1" applyBorder="1" applyAlignment="1">
      <alignment horizontal="center" vertical="center"/>
    </xf>
    <xf numFmtId="0" fontId="0" fillId="0" borderId="98" xfId="0" applyBorder="1" applyAlignment="1">
      <alignment wrapText="1"/>
    </xf>
    <xf numFmtId="9" fontId="0" fillId="0" borderId="31" xfId="3" applyFont="1" applyBorder="1" applyAlignment="1">
      <alignment wrapText="1"/>
    </xf>
    <xf numFmtId="9" fontId="0" fillId="23" borderId="68" xfId="3" applyFont="1" applyFill="1" applyBorder="1" applyAlignment="1">
      <alignment wrapText="1"/>
    </xf>
    <xf numFmtId="0" fontId="0" fillId="23" borderId="0" xfId="0" applyFill="1" applyAlignment="1">
      <alignment wrapText="1"/>
    </xf>
    <xf numFmtId="9" fontId="0" fillId="23" borderId="76" xfId="3" applyFont="1" applyFill="1" applyBorder="1" applyAlignment="1">
      <alignment wrapText="1"/>
    </xf>
    <xf numFmtId="0" fontId="0" fillId="0" borderId="99" xfId="0" applyBorder="1" applyAlignment="1">
      <alignment wrapText="1"/>
    </xf>
    <xf numFmtId="0" fontId="0" fillId="23" borderId="43" xfId="0" applyFill="1" applyBorder="1" applyAlignment="1">
      <alignment wrapText="1"/>
    </xf>
    <xf numFmtId="9" fontId="0" fillId="23" borderId="59" xfId="3" applyFont="1" applyFill="1" applyBorder="1" applyAlignment="1">
      <alignment wrapText="1"/>
    </xf>
    <xf numFmtId="166" fontId="3" fillId="8" borderId="39" xfId="3" applyNumberFormat="1" applyFont="1" applyFill="1" applyBorder="1" applyAlignment="1">
      <alignment horizontal="center"/>
    </xf>
    <xf numFmtId="0" fontId="14" fillId="0" borderId="0" xfId="0" applyFont="1"/>
    <xf numFmtId="0" fontId="45" fillId="26" borderId="18" xfId="0" applyFont="1" applyFill="1" applyBorder="1" applyAlignment="1">
      <alignment horizontal="center" vertical="center"/>
    </xf>
    <xf numFmtId="0" fontId="45" fillId="26" borderId="18" xfId="0" applyFont="1" applyFill="1" applyBorder="1" applyAlignment="1">
      <alignment horizontal="center" vertical="center" wrapText="1"/>
    </xf>
    <xf numFmtId="167" fontId="0" fillId="0" borderId="18" xfId="1" applyNumberFormat="1" applyFont="1" applyBorder="1"/>
    <xf numFmtId="0" fontId="50" fillId="0" borderId="0" xfId="0" applyFont="1" applyAlignment="1">
      <alignment vertical="top"/>
    </xf>
    <xf numFmtId="165" fontId="3" fillId="0" borderId="0" xfId="2" applyNumberFormat="1" applyFont="1"/>
    <xf numFmtId="0" fontId="6" fillId="7" borderId="100" xfId="0" applyFont="1" applyFill="1" applyBorder="1" applyAlignment="1">
      <alignment horizontal="center" vertical="center" wrapText="1"/>
    </xf>
    <xf numFmtId="0" fontId="6" fillId="7" borderId="101" xfId="0" applyFont="1" applyFill="1" applyBorder="1" applyAlignment="1">
      <alignment horizontal="center" vertical="center" wrapText="1"/>
    </xf>
    <xf numFmtId="0" fontId="6" fillId="7" borderId="105" xfId="0" applyFont="1" applyFill="1" applyBorder="1" applyAlignment="1">
      <alignment horizontal="center" vertical="center" wrapText="1"/>
    </xf>
    <xf numFmtId="0" fontId="7" fillId="2" borderId="106"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3" fillId="3" borderId="109" xfId="0" applyFont="1" applyFill="1" applyBorder="1"/>
    <xf numFmtId="0" fontId="3" fillId="3" borderId="110" xfId="0" applyFont="1" applyFill="1" applyBorder="1" applyAlignment="1">
      <alignment horizontal="center" vertical="center" wrapText="1"/>
    </xf>
    <xf numFmtId="0" fontId="0" fillId="0" borderId="109" xfId="0" applyBorder="1" applyAlignment="1">
      <alignment horizontal="left" vertical="center" wrapText="1"/>
    </xf>
    <xf numFmtId="0" fontId="3" fillId="3" borderId="117" xfId="0" applyFont="1" applyFill="1" applyBorder="1"/>
    <xf numFmtId="164" fontId="3" fillId="3" borderId="108" xfId="1" applyNumberFormat="1" applyFont="1" applyFill="1" applyBorder="1" applyAlignment="1">
      <alignment horizontal="center" vertical="center"/>
    </xf>
    <xf numFmtId="0" fontId="0" fillId="2" borderId="118" xfId="0" applyFill="1" applyBorder="1" applyAlignment="1">
      <alignment vertical="center" wrapText="1"/>
    </xf>
    <xf numFmtId="0" fontId="0" fillId="2" borderId="119" xfId="0" applyFill="1" applyBorder="1" applyAlignment="1">
      <alignment vertical="center" wrapText="1"/>
    </xf>
    <xf numFmtId="164" fontId="0" fillId="2" borderId="119" xfId="1" applyNumberFormat="1" applyFont="1" applyFill="1" applyBorder="1" applyAlignment="1">
      <alignment horizontal="center" vertical="center" wrapText="1"/>
    </xf>
    <xf numFmtId="0" fontId="0" fillId="0" borderId="121" xfId="0" applyBorder="1"/>
    <xf numFmtId="164" fontId="0" fillId="0" borderId="114" xfId="1" applyNumberFormat="1" applyFont="1" applyFill="1" applyBorder="1" applyAlignment="1">
      <alignment horizontal="center" vertical="center"/>
    </xf>
    <xf numFmtId="0" fontId="3" fillId="3" borderId="122" xfId="0" applyFont="1" applyFill="1" applyBorder="1"/>
    <xf numFmtId="164" fontId="3" fillId="3" borderId="116" xfId="1" applyNumberFormat="1" applyFont="1" applyFill="1" applyBorder="1" applyAlignment="1">
      <alignment horizontal="center" vertical="center"/>
    </xf>
    <xf numFmtId="0" fontId="3" fillId="3" borderId="123" xfId="0" applyFont="1" applyFill="1" applyBorder="1"/>
    <xf numFmtId="164" fontId="3" fillId="3" borderId="124" xfId="1" applyNumberFormat="1" applyFont="1" applyFill="1" applyBorder="1" applyAlignment="1"/>
    <xf numFmtId="164" fontId="3" fillId="6" borderId="125" xfId="1" applyNumberFormat="1" applyFont="1" applyFill="1" applyBorder="1" applyAlignment="1"/>
    <xf numFmtId="164" fontId="3" fillId="6" borderId="126" xfId="1" applyNumberFormat="1" applyFont="1" applyFill="1" applyBorder="1" applyAlignment="1"/>
    <xf numFmtId="165" fontId="3" fillId="3" borderId="125" xfId="2" applyNumberFormat="1" applyFont="1" applyFill="1" applyBorder="1" applyAlignment="1">
      <alignment horizontal="center"/>
    </xf>
    <xf numFmtId="165" fontId="3" fillId="3" borderId="127" xfId="2" applyNumberFormat="1" applyFont="1" applyFill="1" applyBorder="1" applyAlignment="1">
      <alignment horizontal="center"/>
    </xf>
    <xf numFmtId="164" fontId="3" fillId="6" borderId="128" xfId="1" applyNumberFormat="1" applyFont="1" applyFill="1" applyBorder="1" applyAlignment="1"/>
    <xf numFmtId="0" fontId="7" fillId="2" borderId="7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9" borderId="45" xfId="0" applyFont="1" applyFill="1" applyBorder="1" applyAlignment="1">
      <alignment vertical="center"/>
    </xf>
    <xf numFmtId="9" fontId="0" fillId="0" borderId="18" xfId="3" applyFont="1" applyBorder="1" applyAlignment="1">
      <alignment horizontal="right" vertical="center"/>
    </xf>
    <xf numFmtId="9" fontId="0" fillId="9" borderId="18" xfId="3" applyFont="1" applyFill="1" applyBorder="1" applyAlignment="1">
      <alignment horizontal="right" vertical="center"/>
    </xf>
    <xf numFmtId="166" fontId="0" fillId="0" borderId="18" xfId="3" applyNumberFormat="1" applyFont="1" applyBorder="1" applyAlignment="1">
      <alignment horizontal="right"/>
    </xf>
    <xf numFmtId="166" fontId="0" fillId="0" borderId="18" xfId="3" applyNumberFormat="1" applyFont="1" applyFill="1" applyBorder="1" applyAlignment="1">
      <alignment horizontal="right"/>
    </xf>
    <xf numFmtId="166" fontId="0" fillId="22" borderId="18" xfId="3" applyNumberFormat="1" applyFont="1" applyFill="1" applyBorder="1" applyAlignment="1">
      <alignment horizontal="center"/>
    </xf>
    <xf numFmtId="166" fontId="0" fillId="5" borderId="18" xfId="3" applyNumberFormat="1" applyFont="1" applyFill="1" applyBorder="1"/>
    <xf numFmtId="166" fontId="1" fillId="9" borderId="18" xfId="3" applyNumberFormat="1" applyFont="1" applyFill="1" applyBorder="1"/>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166" fontId="14" fillId="0" borderId="61" xfId="3" applyNumberFormat="1" applyFont="1" applyFill="1" applyBorder="1" applyAlignment="1">
      <alignment horizontal="center"/>
    </xf>
    <xf numFmtId="166" fontId="14" fillId="0" borderId="43" xfId="3" applyNumberFormat="1" applyFont="1" applyFill="1" applyBorder="1" applyAlignment="1">
      <alignment horizontal="center"/>
    </xf>
    <xf numFmtId="164" fontId="3" fillId="3" borderId="63" xfId="1" applyNumberFormat="1" applyFont="1" applyFill="1" applyBorder="1" applyAlignment="1">
      <alignment horizontal="center"/>
    </xf>
    <xf numFmtId="0" fontId="3" fillId="3" borderId="21" xfId="1" applyNumberFormat="1" applyFont="1" applyFill="1" applyBorder="1" applyAlignment="1">
      <alignment horizontal="center"/>
    </xf>
    <xf numFmtId="0" fontId="3" fillId="3" borderId="22" xfId="1" applyNumberFormat="1" applyFont="1" applyFill="1" applyBorder="1" applyAlignment="1">
      <alignment horizontal="center"/>
    </xf>
    <xf numFmtId="0" fontId="3" fillId="3" borderId="64" xfId="1" applyNumberFormat="1" applyFont="1" applyFill="1" applyBorder="1" applyAlignment="1">
      <alignment horizontal="center"/>
    </xf>
    <xf numFmtId="167" fontId="3" fillId="3" borderId="21" xfId="1" applyNumberFormat="1" applyFont="1" applyFill="1" applyBorder="1" applyAlignment="1">
      <alignment horizontal="center"/>
    </xf>
    <xf numFmtId="10" fontId="14" fillId="0" borderId="32" xfId="0" applyNumberFormat="1" applyFont="1" applyBorder="1"/>
    <xf numFmtId="164" fontId="0" fillId="0" borderId="18" xfId="0" applyNumberFormat="1" applyBorder="1" applyAlignment="1">
      <alignment horizontal="right"/>
    </xf>
    <xf numFmtId="167" fontId="3" fillId="3" borderId="40" xfId="1" applyNumberFormat="1" applyFont="1" applyFill="1" applyBorder="1" applyAlignment="1">
      <alignment horizontal="center"/>
    </xf>
    <xf numFmtId="167" fontId="3" fillId="3" borderId="68" xfId="1" applyNumberFormat="1" applyFont="1" applyFill="1" applyBorder="1" applyAlignment="1">
      <alignment horizontal="center"/>
    </xf>
    <xf numFmtId="167" fontId="8" fillId="8" borderId="77" xfId="1" applyNumberFormat="1" applyFont="1" applyFill="1" applyBorder="1" applyAlignment="1">
      <alignment horizontal="center"/>
    </xf>
    <xf numFmtId="167" fontId="3" fillId="3" borderId="3" xfId="1" applyNumberFormat="1" applyFont="1" applyFill="1" applyBorder="1" applyAlignment="1">
      <alignment horizontal="center"/>
    </xf>
    <xf numFmtId="167" fontId="0" fillId="0" borderId="9" xfId="1" applyNumberFormat="1" applyFont="1" applyFill="1" applyBorder="1" applyAlignment="1">
      <alignment horizontal="center"/>
    </xf>
    <xf numFmtId="167" fontId="3" fillId="6" borderId="59" xfId="1" applyNumberFormat="1" applyFont="1" applyFill="1" applyBorder="1" applyAlignment="1">
      <alignment horizontal="center"/>
    </xf>
    <xf numFmtId="164" fontId="14" fillId="0" borderId="6" xfId="1" applyNumberFormat="1" applyFont="1" applyFill="1" applyBorder="1" applyAlignment="1">
      <alignment horizontal="center"/>
    </xf>
    <xf numFmtId="164" fontId="14" fillId="0" borderId="23" xfId="1" applyNumberFormat="1" applyFont="1" applyFill="1" applyBorder="1" applyAlignment="1">
      <alignment horizontal="center"/>
    </xf>
    <xf numFmtId="164" fontId="14" fillId="0" borderId="36" xfId="1" applyNumberFormat="1" applyFont="1" applyFill="1" applyBorder="1" applyAlignment="1">
      <alignment horizontal="center"/>
    </xf>
    <xf numFmtId="167" fontId="14" fillId="0" borderId="3" xfId="1" applyNumberFormat="1" applyFont="1" applyFill="1" applyBorder="1" applyAlignment="1">
      <alignment horizontal="center"/>
    </xf>
    <xf numFmtId="164" fontId="17" fillId="0" borderId="24" xfId="1" applyNumberFormat="1" applyFont="1" applyFill="1" applyBorder="1" applyAlignment="1">
      <alignment horizontal="center"/>
    </xf>
    <xf numFmtId="167" fontId="17" fillId="0" borderId="69" xfId="1" applyNumberFormat="1" applyFont="1" applyFill="1" applyBorder="1" applyAlignment="1">
      <alignment horizontal="center"/>
    </xf>
    <xf numFmtId="167" fontId="14" fillId="0" borderId="28" xfId="1" applyNumberFormat="1" applyFont="1" applyFill="1" applyBorder="1" applyAlignment="1">
      <alignment horizontal="center"/>
    </xf>
    <xf numFmtId="167" fontId="14" fillId="0" borderId="77" xfId="1" applyNumberFormat="1" applyFont="1" applyFill="1" applyBorder="1" applyAlignment="1">
      <alignment horizontal="center"/>
    </xf>
    <xf numFmtId="167" fontId="0" fillId="0" borderId="28" xfId="1" applyNumberFormat="1" applyFont="1" applyFill="1" applyBorder="1" applyAlignment="1">
      <alignment horizontal="center"/>
    </xf>
    <xf numFmtId="0" fontId="1" fillId="0" borderId="64" xfId="0" applyFont="1" applyBorder="1" applyAlignment="1">
      <alignment horizontal="center" vertical="center"/>
    </xf>
    <xf numFmtId="164" fontId="3" fillId="3" borderId="38" xfId="1" applyNumberFormat="1" applyFont="1" applyFill="1" applyBorder="1" applyAlignment="1">
      <alignment horizontal="center"/>
    </xf>
    <xf numFmtId="0" fontId="1" fillId="2" borderId="33" xfId="0" applyFont="1" applyFill="1" applyBorder="1" applyAlignment="1">
      <alignment vertical="center" wrapText="1"/>
    </xf>
    <xf numFmtId="0" fontId="1" fillId="2" borderId="60" xfId="0" applyFont="1" applyFill="1" applyBorder="1" applyAlignment="1">
      <alignment vertical="center" wrapText="1"/>
    </xf>
    <xf numFmtId="165" fontId="1" fillId="2" borderId="33" xfId="2" applyNumberFormat="1" applyFont="1" applyFill="1" applyBorder="1" applyAlignment="1">
      <alignment vertical="center" wrapText="1"/>
    </xf>
    <xf numFmtId="165" fontId="1" fillId="2" borderId="60" xfId="2" applyNumberFormat="1" applyFont="1" applyFill="1" applyBorder="1" applyAlignment="1">
      <alignment vertical="center" wrapText="1"/>
    </xf>
    <xf numFmtId="164" fontId="1" fillId="2" borderId="33" xfId="1" applyNumberFormat="1" applyFont="1" applyFill="1" applyBorder="1" applyAlignment="1">
      <alignment vertical="center" wrapText="1"/>
    </xf>
    <xf numFmtId="164" fontId="1" fillId="2" borderId="65" xfId="1" applyNumberFormat="1" applyFont="1" applyFill="1" applyBorder="1" applyAlignment="1">
      <alignment vertical="center" wrapText="1"/>
    </xf>
    <xf numFmtId="164" fontId="1" fillId="2" borderId="60" xfId="1" applyNumberFormat="1" applyFont="1" applyFill="1" applyBorder="1" applyAlignment="1">
      <alignment vertical="center" wrapText="1"/>
    </xf>
    <xf numFmtId="164" fontId="1" fillId="0" borderId="6" xfId="1" applyNumberFormat="1" applyFont="1" applyBorder="1" applyAlignment="1">
      <alignment horizontal="center" vertical="center"/>
    </xf>
    <xf numFmtId="164" fontId="1" fillId="0" borderId="34" xfId="1" applyNumberFormat="1" applyFont="1" applyBorder="1" applyAlignment="1">
      <alignment horizontal="center" vertical="center"/>
    </xf>
    <xf numFmtId="165" fontId="1" fillId="0" borderId="6" xfId="2" applyNumberFormat="1" applyFont="1" applyBorder="1" applyAlignment="1">
      <alignment horizontal="center" vertical="center"/>
    </xf>
    <xf numFmtId="165" fontId="1" fillId="0" borderId="7" xfId="2" applyNumberFormat="1" applyFont="1" applyBorder="1" applyAlignment="1">
      <alignment horizontal="center" vertical="center"/>
    </xf>
    <xf numFmtId="164" fontId="1" fillId="0" borderId="7" xfId="1" applyNumberFormat="1" applyFont="1" applyBorder="1" applyAlignment="1">
      <alignment horizontal="center" vertical="center"/>
    </xf>
    <xf numFmtId="164" fontId="1" fillId="0" borderId="20" xfId="1" applyNumberFormat="1" applyFont="1" applyFill="1" applyBorder="1" applyAlignment="1">
      <alignment horizontal="center" vertical="center"/>
    </xf>
    <xf numFmtId="164" fontId="1" fillId="0" borderId="19" xfId="1" applyNumberFormat="1" applyFont="1" applyFill="1" applyBorder="1" applyAlignment="1">
      <alignment horizontal="center" vertical="center"/>
    </xf>
    <xf numFmtId="164" fontId="1" fillId="0" borderId="29" xfId="1" applyNumberFormat="1" applyFont="1" applyBorder="1" applyAlignment="1">
      <alignment horizontal="center" vertical="center"/>
    </xf>
    <xf numFmtId="164" fontId="1" fillId="0" borderId="92" xfId="1" applyNumberFormat="1" applyFont="1" applyBorder="1" applyAlignment="1">
      <alignment horizontal="center" vertical="center"/>
    </xf>
    <xf numFmtId="165" fontId="1" fillId="0" borderId="29" xfId="2" applyNumberFormat="1" applyFont="1" applyBorder="1" applyAlignment="1">
      <alignment horizontal="center" vertical="center"/>
    </xf>
    <xf numFmtId="165" fontId="1" fillId="0" borderId="31" xfId="2" applyNumberFormat="1" applyFont="1" applyBorder="1" applyAlignment="1">
      <alignment horizontal="center" vertical="center"/>
    </xf>
    <xf numFmtId="164" fontId="1" fillId="0" borderId="31" xfId="1" applyNumberFormat="1" applyFont="1" applyBorder="1" applyAlignment="1">
      <alignment horizontal="center" vertical="center"/>
    </xf>
    <xf numFmtId="164" fontId="1" fillId="0" borderId="29" xfId="1" applyNumberFormat="1" applyFont="1" applyFill="1" applyBorder="1" applyAlignment="1">
      <alignment horizontal="center" vertical="center"/>
    </xf>
    <xf numFmtId="164" fontId="1" fillId="0" borderId="31" xfId="1" applyNumberFormat="1" applyFont="1" applyFill="1" applyBorder="1" applyAlignment="1">
      <alignment horizontal="center" vertical="center"/>
    </xf>
    <xf numFmtId="164" fontId="3" fillId="3" borderId="21" xfId="1" applyNumberFormat="1" applyFont="1" applyFill="1" applyBorder="1"/>
    <xf numFmtId="0" fontId="1" fillId="0" borderId="21" xfId="0" applyFont="1" applyBorder="1" applyAlignment="1">
      <alignment horizontal="center"/>
    </xf>
    <xf numFmtId="0" fontId="1" fillId="0" borderId="64" xfId="0" applyFont="1" applyBorder="1" applyAlignment="1">
      <alignment horizontal="center"/>
    </xf>
    <xf numFmtId="165" fontId="1" fillId="0" borderId="21" xfId="2" applyNumberFormat="1" applyFont="1" applyBorder="1" applyAlignment="1">
      <alignment horizontal="center"/>
    </xf>
    <xf numFmtId="165" fontId="1" fillId="0" borderId="64" xfId="2" applyNumberFormat="1" applyFont="1" applyBorder="1" applyAlignment="1">
      <alignment horizontal="center"/>
    </xf>
    <xf numFmtId="164" fontId="1" fillId="0" borderId="64" xfId="1" applyNumberFormat="1" applyFont="1" applyFill="1" applyBorder="1" applyAlignment="1">
      <alignment horizontal="center"/>
    </xf>
    <xf numFmtId="164" fontId="1" fillId="0" borderId="21" xfId="1" applyNumberFormat="1" applyFont="1" applyBorder="1" applyAlignment="1">
      <alignment horizontal="center"/>
    </xf>
    <xf numFmtId="164" fontId="1" fillId="0" borderId="38" xfId="1" applyNumberFormat="1" applyFont="1" applyFill="1" applyBorder="1" applyAlignment="1">
      <alignment horizontal="center"/>
    </xf>
    <xf numFmtId="164" fontId="3" fillId="6" borderId="36" xfId="1" applyNumberFormat="1" applyFont="1" applyFill="1" applyBorder="1" applyAlignment="1"/>
    <xf numFmtId="164" fontId="3" fillId="6" borderId="44" xfId="1" applyNumberFormat="1" applyFont="1" applyFill="1" applyBorder="1" applyAlignment="1"/>
    <xf numFmtId="164" fontId="3" fillId="6" borderId="40" xfId="1" applyNumberFormat="1" applyFont="1" applyFill="1" applyBorder="1" applyAlignment="1"/>
    <xf numFmtId="165" fontId="0" fillId="0" borderId="21" xfId="2" applyNumberFormat="1" applyFont="1" applyFill="1" applyBorder="1" applyAlignment="1">
      <alignment horizontal="center" vertical="center" wrapText="1"/>
    </xf>
    <xf numFmtId="9" fontId="0" fillId="19" borderId="38" xfId="3"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29" xfId="0" applyBorder="1" applyAlignment="1">
      <alignment wrapText="1"/>
    </xf>
    <xf numFmtId="0" fontId="0" fillId="19" borderId="22" xfId="0" applyFill="1" applyBorder="1" applyAlignment="1">
      <alignment wrapText="1"/>
    </xf>
    <xf numFmtId="0" fontId="0" fillId="12" borderId="0" xfId="0" applyFill="1"/>
    <xf numFmtId="0" fontId="0" fillId="12" borderId="55" xfId="0" applyFill="1" applyBorder="1"/>
    <xf numFmtId="0" fontId="0" fillId="12" borderId="76" xfId="0" applyFill="1" applyBorder="1"/>
    <xf numFmtId="165" fontId="7" fillId="12" borderId="55" xfId="2" applyNumberFormat="1" applyFont="1" applyFill="1" applyBorder="1"/>
    <xf numFmtId="165" fontId="7" fillId="12" borderId="0" xfId="2" applyNumberFormat="1" applyFont="1" applyFill="1"/>
    <xf numFmtId="165" fontId="0" fillId="12" borderId="0" xfId="2" applyNumberFormat="1" applyFont="1" applyFill="1"/>
    <xf numFmtId="165" fontId="0" fillId="12" borderId="76" xfId="2" applyNumberFormat="1" applyFont="1" applyFill="1" applyBorder="1"/>
    <xf numFmtId="165" fontId="0" fillId="12" borderId="55" xfId="2" applyNumberFormat="1" applyFont="1" applyFill="1" applyBorder="1"/>
    <xf numFmtId="164" fontId="0" fillId="0" borderId="0" xfId="1" applyNumberFormat="1" applyFont="1" applyFill="1"/>
    <xf numFmtId="3" fontId="17" fillId="0" borderId="21" xfId="0" applyNumberFormat="1" applyFont="1" applyBorder="1"/>
    <xf numFmtId="3" fontId="17" fillId="0" borderId="23" xfId="0" applyNumberFormat="1" applyFont="1" applyBorder="1"/>
    <xf numFmtId="3" fontId="17" fillId="0" borderId="7" xfId="0" applyNumberFormat="1" applyFont="1" applyBorder="1"/>
    <xf numFmtId="164" fontId="1" fillId="0" borderId="10"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71" fontId="11" fillId="0" borderId="20" xfId="0" applyNumberFormat="1" applyFont="1" applyBorder="1" applyAlignment="1">
      <alignment wrapText="1"/>
    </xf>
    <xf numFmtId="167" fontId="11" fillId="0" borderId="56" xfId="1" applyNumberFormat="1" applyFont="1" applyFill="1" applyBorder="1" applyAlignment="1">
      <alignment wrapText="1"/>
    </xf>
    <xf numFmtId="167" fontId="11" fillId="0" borderId="19" xfId="1" applyNumberFormat="1" applyFont="1" applyFill="1" applyBorder="1" applyAlignment="1">
      <alignment wrapText="1"/>
    </xf>
    <xf numFmtId="167" fontId="11" fillId="0" borderId="20" xfId="1" applyNumberFormat="1" applyFont="1" applyFill="1" applyBorder="1" applyAlignment="1">
      <alignment wrapText="1"/>
    </xf>
    <xf numFmtId="167" fontId="11" fillId="0" borderId="30" xfId="1" applyNumberFormat="1" applyFont="1" applyFill="1" applyBorder="1" applyAlignment="1">
      <alignment wrapText="1"/>
    </xf>
    <xf numFmtId="165" fontId="0" fillId="2" borderId="57" xfId="0" applyNumberFormat="1" applyFill="1" applyBorder="1" applyAlignment="1">
      <alignment vertical="center" wrapText="1"/>
    </xf>
    <xf numFmtId="165" fontId="0" fillId="2" borderId="7" xfId="0" applyNumberFormat="1" applyFill="1" applyBorder="1" applyAlignment="1">
      <alignment vertical="center" wrapText="1"/>
    </xf>
    <xf numFmtId="175" fontId="0" fillId="0" borderId="0" xfId="0" applyNumberFormat="1"/>
    <xf numFmtId="0" fontId="0" fillId="0" borderId="41" xfId="0" applyBorder="1" applyAlignment="1">
      <alignment horizontal="left" vertical="center" wrapText="1"/>
    </xf>
    <xf numFmtId="164" fontId="3" fillId="3" borderId="53" xfId="0" applyNumberFormat="1" applyFont="1" applyFill="1" applyBorder="1" applyAlignment="1">
      <alignment horizontal="center" vertical="center"/>
    </xf>
    <xf numFmtId="164" fontId="3" fillId="3" borderId="44" xfId="0" applyNumberFormat="1" applyFont="1" applyFill="1" applyBorder="1" applyAlignment="1">
      <alignment horizontal="center" vertical="center"/>
    </xf>
    <xf numFmtId="165" fontId="3" fillId="3" borderId="53"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164" fontId="3" fillId="3" borderId="36" xfId="0" applyNumberFormat="1" applyFont="1" applyFill="1" applyBorder="1" applyAlignment="1">
      <alignment horizontal="center" vertical="center"/>
    </xf>
    <xf numFmtId="164" fontId="3" fillId="3" borderId="130" xfId="1" applyNumberFormat="1" applyFont="1" applyFill="1" applyBorder="1" applyAlignment="1">
      <alignment horizontal="center" vertical="center"/>
    </xf>
    <xf numFmtId="10" fontId="28" fillId="5" borderId="0" xfId="1" applyNumberFormat="1" applyFont="1" applyFill="1" applyBorder="1" applyAlignment="1">
      <alignment horizontal="right"/>
    </xf>
    <xf numFmtId="9" fontId="3" fillId="0" borderId="0" xfId="1" applyNumberFormat="1" applyFont="1"/>
    <xf numFmtId="9" fontId="0" fillId="0" borderId="0" xfId="3" applyFont="1"/>
    <xf numFmtId="0" fontId="8" fillId="0" borderId="0" xfId="0" applyFont="1"/>
    <xf numFmtId="0" fontId="3" fillId="15" borderId="18" xfId="0" applyFont="1" applyFill="1" applyBorder="1" applyAlignment="1" applyProtection="1">
      <alignment horizontal="center" vertical="center"/>
      <protection hidden="1"/>
    </xf>
    <xf numFmtId="0" fontId="3" fillId="15" borderId="18" xfId="9" applyFont="1" applyFill="1" applyBorder="1" applyAlignment="1">
      <alignment horizontal="center" vertical="center"/>
    </xf>
    <xf numFmtId="0" fontId="8" fillId="15" borderId="18" xfId="8" applyFont="1" applyFill="1" applyBorder="1" applyAlignment="1">
      <alignment horizontal="center" vertical="center" wrapText="1"/>
    </xf>
    <xf numFmtId="0" fontId="8" fillId="0" borderId="18" xfId="0" applyFont="1" applyBorder="1"/>
    <xf numFmtId="3" fontId="0" fillId="0" borderId="18" xfId="0" applyNumberFormat="1" applyBorder="1"/>
    <xf numFmtId="173" fontId="0" fillId="0" borderId="18" xfId="0" applyNumberFormat="1" applyBorder="1"/>
    <xf numFmtId="0" fontId="17" fillId="0" borderId="0" xfId="0" applyFont="1"/>
    <xf numFmtId="10" fontId="0" fillId="0" borderId="0" xfId="1" applyNumberFormat="1" applyFont="1" applyFill="1" applyBorder="1"/>
    <xf numFmtId="165" fontId="0" fillId="0" borderId="3" xfId="0" applyNumberFormat="1" applyBorder="1" applyAlignment="1">
      <alignment wrapText="1"/>
    </xf>
    <xf numFmtId="0" fontId="6" fillId="7" borderId="1" xfId="0" applyFont="1" applyFill="1" applyBorder="1" applyAlignment="1">
      <alignment horizontal="center" vertical="center" wrapText="1"/>
    </xf>
    <xf numFmtId="165" fontId="0" fillId="0" borderId="18" xfId="2" applyNumberFormat="1" applyFont="1" applyFill="1" applyBorder="1"/>
    <xf numFmtId="164" fontId="0" fillId="0" borderId="32" xfId="1" applyNumberFormat="1" applyFont="1" applyFill="1" applyBorder="1" applyAlignment="1">
      <alignment wrapText="1"/>
    </xf>
    <xf numFmtId="164" fontId="0" fillId="0" borderId="27" xfId="1" applyNumberFormat="1" applyFont="1" applyFill="1" applyBorder="1" applyAlignment="1">
      <alignment wrapText="1"/>
    </xf>
    <xf numFmtId="164" fontId="0" fillId="0" borderId="19" xfId="1" applyNumberFormat="1" applyFont="1" applyFill="1" applyBorder="1" applyAlignment="1">
      <alignment wrapText="1"/>
    </xf>
    <xf numFmtId="167" fontId="11" fillId="0" borderId="32" xfId="1" applyNumberFormat="1" applyFont="1" applyFill="1" applyBorder="1" applyAlignment="1">
      <alignment wrapText="1"/>
    </xf>
    <xf numFmtId="167" fontId="0" fillId="0" borderId="32" xfId="1" applyNumberFormat="1" applyFont="1" applyFill="1" applyBorder="1" applyAlignment="1">
      <alignment wrapText="1"/>
    </xf>
    <xf numFmtId="164" fontId="0" fillId="0" borderId="58" xfId="0" applyNumberFormat="1" applyBorder="1" applyAlignment="1">
      <alignment horizontal="center" vertical="center"/>
    </xf>
    <xf numFmtId="164" fontId="0" fillId="0" borderId="65" xfId="0" applyNumberFormat="1" applyBorder="1" applyAlignment="1">
      <alignment horizontal="center" vertical="center"/>
    </xf>
    <xf numFmtId="3" fontId="0" fillId="0" borderId="33" xfId="0" applyNumberFormat="1" applyBorder="1" applyAlignment="1">
      <alignment horizontal="right" vertical="center"/>
    </xf>
    <xf numFmtId="3" fontId="0" fillId="0" borderId="111" xfId="0" applyNumberFormat="1" applyBorder="1" applyAlignment="1">
      <alignment horizontal="right" vertical="center"/>
    </xf>
    <xf numFmtId="164" fontId="0" fillId="0" borderId="26" xfId="0" applyNumberFormat="1" applyBorder="1" applyAlignment="1">
      <alignment horizontal="center" vertical="center"/>
    </xf>
    <xf numFmtId="164" fontId="0" fillId="0" borderId="35" xfId="0" applyNumberFormat="1" applyBorder="1" applyAlignment="1">
      <alignment horizontal="center" vertical="center"/>
    </xf>
    <xf numFmtId="3" fontId="0" fillId="0" borderId="26" xfId="0" applyNumberFormat="1" applyBorder="1" applyAlignment="1">
      <alignment horizontal="right" vertical="center"/>
    </xf>
    <xf numFmtId="164" fontId="0" fillId="0" borderId="113" xfId="0" applyNumberFormat="1" applyBorder="1" applyAlignment="1">
      <alignment horizontal="right" vertical="center"/>
    </xf>
    <xf numFmtId="3" fontId="0" fillId="0" borderId="20" xfId="0" applyNumberFormat="1" applyBorder="1" applyAlignment="1">
      <alignment horizontal="right" vertical="center"/>
    </xf>
    <xf numFmtId="3" fontId="0" fillId="0" borderId="114" xfId="0" applyNumberFormat="1" applyBorder="1" applyAlignment="1">
      <alignment horizontal="right" vertical="center"/>
    </xf>
    <xf numFmtId="165" fontId="0" fillId="0" borderId="58" xfId="2" applyNumberFormat="1" applyFont="1" applyFill="1" applyBorder="1" applyAlignment="1">
      <alignment horizontal="center" vertical="center"/>
    </xf>
    <xf numFmtId="165" fontId="0" fillId="0" borderId="60" xfId="2" applyNumberFormat="1" applyFont="1" applyFill="1" applyBorder="1" applyAlignment="1">
      <alignment horizontal="center" vertical="center"/>
    </xf>
    <xf numFmtId="164" fontId="0" fillId="0" borderId="33" xfId="0" applyNumberFormat="1" applyBorder="1" applyAlignment="1">
      <alignment horizontal="center" vertical="center"/>
    </xf>
    <xf numFmtId="164" fontId="0" fillId="0" borderId="111" xfId="0" applyNumberFormat="1" applyBorder="1" applyAlignment="1">
      <alignment horizontal="center" vertical="center"/>
    </xf>
    <xf numFmtId="165" fontId="0" fillId="0" borderId="26" xfId="2" applyNumberFormat="1" applyFont="1" applyFill="1" applyBorder="1" applyAlignment="1">
      <alignment horizontal="center" vertical="center"/>
    </xf>
    <xf numFmtId="165" fontId="0" fillId="0" borderId="19" xfId="2" applyNumberFormat="1" applyFont="1" applyFill="1" applyBorder="1" applyAlignment="1">
      <alignment horizontal="center" vertical="center"/>
    </xf>
    <xf numFmtId="164" fontId="0" fillId="0" borderId="20" xfId="0" applyNumberFormat="1" applyBorder="1" applyAlignment="1">
      <alignment horizontal="center" vertical="center"/>
    </xf>
    <xf numFmtId="164" fontId="0" fillId="0" borderId="115" xfId="0" applyNumberFormat="1" applyBorder="1" applyAlignment="1">
      <alignment horizontal="center" vertical="center"/>
    </xf>
    <xf numFmtId="164" fontId="0" fillId="0" borderId="62" xfId="0" applyNumberFormat="1" applyBorder="1" applyAlignment="1">
      <alignment horizontal="center" vertical="center"/>
    </xf>
    <xf numFmtId="164" fontId="0" fillId="0" borderId="92" xfId="0" applyNumberFormat="1" applyBorder="1" applyAlignment="1">
      <alignment horizontal="center" vertical="center"/>
    </xf>
    <xf numFmtId="165" fontId="0" fillId="0" borderId="62" xfId="2" applyNumberFormat="1" applyFont="1" applyFill="1" applyBorder="1" applyAlignment="1">
      <alignment horizontal="center" vertical="center"/>
    </xf>
    <xf numFmtId="165" fontId="0" fillId="0" borderId="92" xfId="2" applyNumberFormat="1" applyFont="1" applyFill="1" applyBorder="1" applyAlignment="1">
      <alignment horizontal="center" vertical="center"/>
    </xf>
    <xf numFmtId="164" fontId="0" fillId="0" borderId="29" xfId="0" applyNumberFormat="1" applyBorder="1" applyAlignment="1">
      <alignment horizontal="center" vertical="center"/>
    </xf>
    <xf numFmtId="164" fontId="0" fillId="0" borderId="120"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64" xfId="0" applyNumberFormat="1" applyBorder="1" applyAlignment="1">
      <alignment horizontal="center" vertical="center"/>
    </xf>
    <xf numFmtId="165" fontId="0" fillId="0" borderId="21" xfId="2" applyNumberFormat="1" applyFont="1" applyFill="1" applyBorder="1" applyAlignment="1">
      <alignment horizontal="center" vertical="center"/>
    </xf>
    <xf numFmtId="165" fontId="0" fillId="0" borderId="64" xfId="2" applyNumberFormat="1" applyFont="1" applyFill="1" applyBorder="1" applyAlignment="1">
      <alignment horizontal="center" vertical="center"/>
    </xf>
    <xf numFmtId="164" fontId="0" fillId="0" borderId="60" xfId="0" applyNumberFormat="1" applyBorder="1" applyAlignment="1">
      <alignment horizontal="center" vertical="center"/>
    </xf>
    <xf numFmtId="165" fontId="0" fillId="0" borderId="33" xfId="0" applyNumberFormat="1" applyBorder="1" applyAlignment="1">
      <alignment horizontal="center" vertical="center"/>
    </xf>
    <xf numFmtId="165" fontId="0" fillId="0" borderId="60" xfId="0" applyNumberFormat="1" applyBorder="1" applyAlignment="1">
      <alignment horizontal="center" vertical="center"/>
    </xf>
    <xf numFmtId="164" fontId="0" fillId="0" borderId="31" xfId="0" applyNumberFormat="1" applyBorder="1" applyAlignment="1">
      <alignment horizontal="center" vertical="center"/>
    </xf>
    <xf numFmtId="165" fontId="0" fillId="0" borderId="29" xfId="0" applyNumberFormat="1" applyBorder="1" applyAlignment="1">
      <alignment horizontal="center" vertical="center"/>
    </xf>
    <xf numFmtId="165" fontId="0" fillId="0" borderId="31" xfId="0" applyNumberFormat="1" applyBorder="1" applyAlignment="1">
      <alignment horizontal="center" vertical="center"/>
    </xf>
    <xf numFmtId="164" fontId="0" fillId="0" borderId="18" xfId="0" applyNumberFormat="1" applyBorder="1" applyAlignment="1">
      <alignment horizontal="right" wrapText="1"/>
    </xf>
    <xf numFmtId="164" fontId="0" fillId="0" borderId="18" xfId="3" applyNumberFormat="1" applyFont="1" applyFill="1" applyBorder="1" applyAlignment="1">
      <alignment horizontal="right" wrapText="1"/>
    </xf>
    <xf numFmtId="0" fontId="0" fillId="0" borderId="18" xfId="0" applyBorder="1" applyAlignment="1">
      <alignment horizontal="right"/>
    </xf>
    <xf numFmtId="164" fontId="0" fillId="0" borderId="18" xfId="1" applyNumberFormat="1" applyFont="1" applyFill="1" applyBorder="1" applyAlignment="1">
      <alignment horizontal="right" wrapText="1"/>
    </xf>
    <xf numFmtId="3" fontId="14" fillId="0" borderId="18" xfId="0" applyNumberFormat="1" applyFont="1" applyBorder="1"/>
    <xf numFmtId="3" fontId="14" fillId="0" borderId="32" xfId="0" applyNumberFormat="1" applyFont="1" applyBorder="1" applyAlignment="1">
      <alignment wrapText="1"/>
    </xf>
    <xf numFmtId="3" fontId="14" fillId="0" borderId="0" xfId="0" applyNumberFormat="1" applyFont="1"/>
    <xf numFmtId="165" fontId="14" fillId="0" borderId="58" xfId="0" applyNumberFormat="1" applyFont="1" applyBorder="1"/>
    <xf numFmtId="165" fontId="14" fillId="0" borderId="60" xfId="0" applyNumberFormat="1" applyFont="1" applyBorder="1"/>
    <xf numFmtId="165" fontId="14" fillId="0" borderId="26" xfId="0" applyNumberFormat="1" applyFont="1" applyBorder="1"/>
    <xf numFmtId="165" fontId="14" fillId="0" borderId="19" xfId="0" applyNumberFormat="1" applyFont="1" applyBorder="1"/>
    <xf numFmtId="165" fontId="14" fillId="0" borderId="45" xfId="0" applyNumberFormat="1" applyFont="1" applyBorder="1"/>
    <xf numFmtId="165" fontId="14" fillId="0" borderId="25" xfId="0" applyNumberFormat="1" applyFont="1" applyBorder="1"/>
    <xf numFmtId="164" fontId="1" fillId="0" borderId="21" xfId="1" applyNumberFormat="1" applyFont="1" applyFill="1" applyBorder="1" applyAlignment="1">
      <alignment horizontal="center" vertical="center"/>
    </xf>
    <xf numFmtId="0" fontId="17" fillId="0" borderId="21" xfId="0" applyFont="1" applyBorder="1"/>
    <xf numFmtId="164" fontId="1" fillId="0" borderId="6" xfId="1" applyNumberFormat="1" applyFont="1" applyFill="1" applyBorder="1" applyAlignment="1">
      <alignment horizontal="center" vertical="center"/>
    </xf>
    <xf numFmtId="164" fontId="1" fillId="0" borderId="7" xfId="1" applyNumberFormat="1" applyFont="1" applyFill="1" applyBorder="1" applyAlignment="1">
      <alignment horizontal="center" vertical="center"/>
    </xf>
    <xf numFmtId="42" fontId="1" fillId="0" borderId="19" xfId="2" applyNumberFormat="1" applyFont="1" applyFill="1" applyBorder="1" applyAlignment="1">
      <alignment horizontal="right" vertical="center"/>
    </xf>
    <xf numFmtId="0" fontId="17" fillId="0" borderId="23" xfId="0" applyFont="1" applyBorder="1"/>
    <xf numFmtId="42" fontId="1" fillId="0" borderId="91" xfId="2" applyNumberFormat="1" applyFont="1" applyFill="1" applyBorder="1" applyAlignment="1">
      <alignment horizontal="center" vertical="center"/>
    </xf>
    <xf numFmtId="42" fontId="1" fillId="0" borderId="31" xfId="2" applyNumberFormat="1" applyFont="1" applyFill="1" applyBorder="1" applyAlignment="1">
      <alignment horizontal="center" vertical="center"/>
    </xf>
    <xf numFmtId="164" fontId="0" fillId="0" borderId="18" xfId="1" applyNumberFormat="1" applyFont="1" applyFill="1" applyBorder="1"/>
    <xf numFmtId="0" fontId="7" fillId="7" borderId="13" xfId="1" applyNumberFormat="1" applyFont="1" applyFill="1" applyBorder="1" applyAlignment="1">
      <alignment horizontal="center" vertical="center" wrapText="1"/>
    </xf>
    <xf numFmtId="0" fontId="11" fillId="0" borderId="0" xfId="0" applyFont="1" applyAlignment="1">
      <alignment horizontal="left"/>
    </xf>
    <xf numFmtId="165" fontId="14" fillId="0" borderId="74" xfId="2" applyNumberFormat="1" applyFont="1" applyFill="1" applyBorder="1" applyAlignment="1">
      <alignment horizontal="center"/>
    </xf>
    <xf numFmtId="165" fontId="14" fillId="0" borderId="75" xfId="0" applyNumberFormat="1" applyFont="1" applyBorder="1" applyAlignment="1">
      <alignment horizontal="center"/>
    </xf>
    <xf numFmtId="165" fontId="14" fillId="0" borderId="27" xfId="0" applyNumberFormat="1" applyFont="1" applyBorder="1" applyAlignment="1">
      <alignment horizontal="center"/>
    </xf>
    <xf numFmtId="165" fontId="14" fillId="0" borderId="18" xfId="0" applyNumberFormat="1" applyFont="1" applyBorder="1" applyAlignment="1">
      <alignment horizontal="center"/>
    </xf>
    <xf numFmtId="165" fontId="14" fillId="0" borderId="32" xfId="0" applyNumberFormat="1" applyFont="1" applyBorder="1" applyAlignment="1">
      <alignment horizontal="center"/>
    </xf>
    <xf numFmtId="165" fontId="14" fillId="0" borderId="74" xfId="0" applyNumberFormat="1" applyFont="1" applyBorder="1" applyAlignment="1">
      <alignment horizontal="center"/>
    </xf>
    <xf numFmtId="165" fontId="14" fillId="0" borderId="24" xfId="0" applyNumberFormat="1" applyFont="1" applyBorder="1" applyAlignment="1">
      <alignment horizontal="center"/>
    </xf>
    <xf numFmtId="165" fontId="14" fillId="0" borderId="73" xfId="0" applyNumberFormat="1" applyFont="1" applyBorder="1" applyAlignment="1">
      <alignment horizontal="center"/>
    </xf>
    <xf numFmtId="165" fontId="14" fillId="0" borderId="0" xfId="0" applyNumberFormat="1" applyFont="1" applyAlignment="1">
      <alignment horizontal="center"/>
    </xf>
    <xf numFmtId="165" fontId="14" fillId="0" borderId="16" xfId="0" applyNumberFormat="1" applyFont="1" applyBorder="1" applyAlignment="1">
      <alignment horizontal="center"/>
    </xf>
    <xf numFmtId="167" fontId="14" fillId="0" borderId="22" xfId="1" applyNumberFormat="1" applyFont="1" applyFill="1" applyBorder="1" applyAlignment="1">
      <alignment horizontal="center"/>
    </xf>
    <xf numFmtId="164" fontId="14" fillId="0" borderId="3" xfId="1" applyNumberFormat="1" applyFont="1" applyFill="1" applyBorder="1" applyAlignment="1">
      <alignment horizontal="center"/>
    </xf>
    <xf numFmtId="167" fontId="17" fillId="0" borderId="24" xfId="1" applyNumberFormat="1" applyFont="1" applyFill="1" applyBorder="1" applyAlignment="1">
      <alignment horizontal="center"/>
    </xf>
    <xf numFmtId="164" fontId="17" fillId="0" borderId="69" xfId="1" applyNumberFormat="1" applyFont="1" applyFill="1" applyBorder="1" applyAlignment="1">
      <alignment horizontal="center"/>
    </xf>
    <xf numFmtId="167" fontId="14" fillId="0" borderId="18" xfId="1" applyNumberFormat="1" applyFont="1" applyFill="1" applyBorder="1" applyAlignment="1">
      <alignment horizontal="center"/>
    </xf>
    <xf numFmtId="164" fontId="14" fillId="0" borderId="28" xfId="1" applyNumberFormat="1" applyFont="1" applyFill="1" applyBorder="1" applyAlignment="1">
      <alignment horizontal="center"/>
    </xf>
    <xf numFmtId="167" fontId="14" fillId="0" borderId="13" xfId="1" applyNumberFormat="1" applyFont="1" applyFill="1" applyBorder="1" applyAlignment="1">
      <alignment horizontal="center"/>
    </xf>
    <xf numFmtId="164" fontId="14" fillId="0" borderId="77" xfId="1" applyNumberFormat="1" applyFont="1" applyFill="1" applyBorder="1" applyAlignment="1">
      <alignment horizontal="center"/>
    </xf>
    <xf numFmtId="167" fontId="0" fillId="0" borderId="18" xfId="1" applyNumberFormat="1" applyFont="1" applyFill="1" applyBorder="1" applyAlignment="1">
      <alignment horizontal="center"/>
    </xf>
    <xf numFmtId="164" fontId="0" fillId="0" borderId="28" xfId="1" applyNumberFormat="1" applyFont="1" applyFill="1" applyBorder="1" applyAlignment="1">
      <alignment horizontal="center"/>
    </xf>
    <xf numFmtId="0" fontId="53" fillId="0" borderId="0" xfId="0" applyFont="1"/>
    <xf numFmtId="166" fontId="14" fillId="0" borderId="0" xfId="3" applyNumberFormat="1" applyFont="1" applyFill="1" applyBorder="1" applyAlignment="1">
      <alignment horizontal="center"/>
    </xf>
    <xf numFmtId="165" fontId="3" fillId="3" borderId="2" xfId="0" applyNumberFormat="1" applyFont="1" applyFill="1" applyBorder="1" applyAlignment="1">
      <alignment horizontal="center"/>
    </xf>
    <xf numFmtId="165" fontId="3" fillId="3" borderId="78" xfId="0" applyNumberFormat="1" applyFont="1" applyFill="1" applyBorder="1" applyAlignment="1">
      <alignment horizontal="center"/>
    </xf>
    <xf numFmtId="166" fontId="3" fillId="3" borderId="64" xfId="3" applyNumberFormat="1" applyFont="1" applyFill="1" applyBorder="1" applyAlignment="1">
      <alignment horizontal="center"/>
    </xf>
    <xf numFmtId="164" fontId="3" fillId="8" borderId="36" xfId="1" applyNumberFormat="1" applyFont="1" applyFill="1" applyBorder="1" applyAlignment="1">
      <alignment horizontal="center"/>
    </xf>
    <xf numFmtId="164" fontId="3" fillId="8" borderId="39" xfId="1" applyNumberFormat="1" applyFont="1" applyFill="1" applyBorder="1" applyAlignment="1">
      <alignment horizontal="center"/>
    </xf>
    <xf numFmtId="166" fontId="3" fillId="8" borderId="44" xfId="3" applyNumberFormat="1" applyFont="1" applyFill="1" applyBorder="1" applyAlignment="1">
      <alignment horizontal="center"/>
    </xf>
    <xf numFmtId="165" fontId="3" fillId="8" borderId="21" xfId="1" applyNumberFormat="1" applyFont="1" applyFill="1" applyBorder="1" applyAlignment="1">
      <alignment horizontal="center"/>
    </xf>
    <xf numFmtId="165" fontId="3" fillId="8" borderId="22" xfId="2" applyNumberFormat="1" applyFont="1" applyFill="1" applyBorder="1" applyAlignment="1">
      <alignment horizontal="center"/>
    </xf>
    <xf numFmtId="166" fontId="3" fillId="8" borderId="4" xfId="3" applyNumberFormat="1" applyFont="1" applyFill="1" applyBorder="1" applyAlignment="1">
      <alignment horizontal="center"/>
    </xf>
    <xf numFmtId="173" fontId="3" fillId="8" borderId="39" xfId="1" applyNumberFormat="1" applyFont="1" applyFill="1" applyBorder="1" applyAlignment="1">
      <alignment horizontal="right"/>
    </xf>
    <xf numFmtId="164" fontId="8" fillId="8" borderId="39" xfId="1" applyNumberFormat="1" applyFont="1" applyFill="1" applyBorder="1" applyAlignment="1">
      <alignment horizontal="center"/>
    </xf>
    <xf numFmtId="164" fontId="8" fillId="8" borderId="40" xfId="1" applyNumberFormat="1" applyFont="1" applyFill="1" applyBorder="1" applyAlignment="1">
      <alignment horizontal="center"/>
    </xf>
    <xf numFmtId="167" fontId="8" fillId="8" borderId="40" xfId="1" applyNumberFormat="1" applyFont="1" applyFill="1" applyBorder="1" applyAlignment="1">
      <alignment horizontal="center"/>
    </xf>
    <xf numFmtId="164" fontId="0" fillId="0" borderId="6" xfId="1" applyNumberFormat="1" applyFont="1" applyFill="1" applyBorder="1" applyAlignment="1">
      <alignment horizontal="center"/>
    </xf>
    <xf numFmtId="166" fontId="0" fillId="0" borderId="7" xfId="3" applyNumberFormat="1" applyFont="1" applyFill="1" applyBorder="1" applyAlignment="1">
      <alignment horizontal="center"/>
    </xf>
    <xf numFmtId="165" fontId="0" fillId="0" borderId="41" xfId="2" applyNumberFormat="1" applyFont="1" applyFill="1" applyBorder="1" applyAlignment="1">
      <alignment horizontal="center"/>
    </xf>
    <xf numFmtId="165" fontId="0" fillId="0" borderId="49" xfId="2" applyNumberFormat="1" applyFont="1" applyFill="1" applyBorder="1" applyAlignment="1">
      <alignment horizontal="center"/>
    </xf>
    <xf numFmtId="166" fontId="0" fillId="0" borderId="41" xfId="3" applyNumberFormat="1" applyFont="1" applyFill="1" applyBorder="1" applyAlignment="1">
      <alignment horizontal="center"/>
    </xf>
    <xf numFmtId="164" fontId="0" fillId="0" borderId="58" xfId="1" applyNumberFormat="1" applyFont="1" applyFill="1" applyBorder="1" applyAlignment="1">
      <alignment horizontal="center"/>
    </xf>
    <xf numFmtId="164" fontId="0" fillId="0" borderId="49" xfId="1" applyNumberFormat="1" applyFont="1" applyFill="1" applyBorder="1" applyAlignment="1">
      <alignment horizontal="center"/>
    </xf>
    <xf numFmtId="167" fontId="0" fillId="0" borderId="8" xfId="1" applyNumberFormat="1" applyFont="1" applyFill="1" applyBorder="1" applyAlignment="1">
      <alignment horizontal="right"/>
    </xf>
    <xf numFmtId="164" fontId="18" fillId="0" borderId="20" xfId="1" applyNumberFormat="1" applyFont="1" applyFill="1" applyBorder="1" applyAlignment="1">
      <alignment horizontal="center"/>
    </xf>
    <xf numFmtId="164" fontId="18" fillId="0" borderId="32" xfId="1" applyNumberFormat="1" applyFont="1" applyFill="1" applyBorder="1" applyAlignment="1">
      <alignment horizontal="center"/>
    </xf>
    <xf numFmtId="166" fontId="11" fillId="0" borderId="19" xfId="3" applyNumberFormat="1" applyFont="1" applyFill="1" applyBorder="1" applyAlignment="1">
      <alignment horizontal="center"/>
    </xf>
    <xf numFmtId="165" fontId="11" fillId="0" borderId="27" xfId="2" applyNumberFormat="1" applyFont="1" applyFill="1" applyBorder="1" applyAlignment="1">
      <alignment horizontal="center"/>
    </xf>
    <xf numFmtId="165" fontId="11" fillId="0" borderId="18" xfId="2" applyNumberFormat="1" applyFont="1" applyFill="1" applyBorder="1" applyAlignment="1">
      <alignment horizontal="center"/>
    </xf>
    <xf numFmtId="166" fontId="0" fillId="0" borderId="27" xfId="3" applyNumberFormat="1" applyFont="1" applyFill="1" applyBorder="1" applyAlignment="1">
      <alignment horizontal="center"/>
    </xf>
    <xf numFmtId="164" fontId="0" fillId="0" borderId="26" xfId="1" applyNumberFormat="1" applyFont="1" applyFill="1" applyBorder="1" applyAlignment="1">
      <alignment horizontal="center"/>
    </xf>
    <xf numFmtId="167" fontId="0" fillId="0" borderId="18" xfId="1" applyNumberFormat="1" applyFont="1" applyFill="1" applyBorder="1" applyAlignment="1">
      <alignment horizontal="right"/>
    </xf>
    <xf numFmtId="164" fontId="11" fillId="0" borderId="29" xfId="1" applyNumberFormat="1" applyFont="1" applyFill="1" applyBorder="1" applyAlignment="1">
      <alignment horizontal="center"/>
    </xf>
    <xf numFmtId="164" fontId="11" fillId="0" borderId="30" xfId="1" applyNumberFormat="1" applyFont="1" applyFill="1" applyBorder="1" applyAlignment="1">
      <alignment horizontal="center"/>
    </xf>
    <xf numFmtId="166" fontId="11" fillId="0" borderId="31" xfId="3" applyNumberFormat="1" applyFont="1" applyFill="1" applyBorder="1" applyAlignment="1">
      <alignment horizontal="center"/>
    </xf>
    <xf numFmtId="165" fontId="11" fillId="0" borderId="62" xfId="2" applyNumberFormat="1" applyFont="1" applyFill="1" applyBorder="1" applyAlignment="1">
      <alignment horizontal="center"/>
    </xf>
    <xf numFmtId="165" fontId="11" fillId="0" borderId="30" xfId="2" applyNumberFormat="1" applyFont="1" applyFill="1" applyBorder="1" applyAlignment="1">
      <alignment horizontal="center"/>
    </xf>
    <xf numFmtId="166" fontId="0" fillId="0" borderId="56" xfId="3" applyNumberFormat="1" applyFont="1" applyFill="1" applyBorder="1" applyAlignment="1">
      <alignment horizontal="center"/>
    </xf>
    <xf numFmtId="164" fontId="0" fillId="0" borderId="62" xfId="1" applyNumberFormat="1" applyFont="1" applyFill="1" applyBorder="1" applyAlignment="1">
      <alignment horizontal="center"/>
    </xf>
    <xf numFmtId="164" fontId="0" fillId="0" borderId="30" xfId="1" applyNumberFormat="1" applyFont="1" applyFill="1" applyBorder="1" applyAlignment="1">
      <alignment horizontal="center"/>
    </xf>
    <xf numFmtId="166" fontId="0" fillId="0" borderId="30" xfId="3" applyNumberFormat="1" applyFont="1" applyFill="1" applyBorder="1" applyAlignment="1">
      <alignment horizontal="center"/>
    </xf>
    <xf numFmtId="167" fontId="0" fillId="0" borderId="30" xfId="1" applyNumberFormat="1" applyFont="1" applyFill="1" applyBorder="1" applyAlignment="1">
      <alignment horizontal="right"/>
    </xf>
    <xf numFmtId="164" fontId="0" fillId="0" borderId="68" xfId="1" applyNumberFormat="1" applyFont="1" applyFill="1" applyBorder="1" applyAlignment="1">
      <alignment horizontal="center"/>
    </xf>
    <xf numFmtId="167" fontId="0" fillId="0" borderId="68" xfId="1" applyNumberFormat="1" applyFont="1" applyFill="1" applyBorder="1" applyAlignment="1">
      <alignment horizontal="center"/>
    </xf>
    <xf numFmtId="164" fontId="0" fillId="0" borderId="32" xfId="1" applyNumberFormat="1" applyFont="1" applyFill="1" applyBorder="1" applyAlignment="1">
      <alignment horizontal="center"/>
    </xf>
    <xf numFmtId="164" fontId="0" fillId="0" borderId="20" xfId="1" applyNumberFormat="1" applyFont="1" applyFill="1" applyBorder="1" applyAlignment="1">
      <alignment horizontal="center"/>
    </xf>
    <xf numFmtId="164" fontId="0" fillId="2" borderId="57" xfId="1" applyNumberFormat="1" applyFont="1" applyFill="1" applyBorder="1" applyAlignment="1">
      <alignment horizontal="center" wrapText="1"/>
    </xf>
    <xf numFmtId="164" fontId="0" fillId="2" borderId="8" xfId="1" applyNumberFormat="1" applyFont="1" applyFill="1" applyBorder="1" applyAlignment="1">
      <alignment horizontal="center" wrapText="1"/>
    </xf>
    <xf numFmtId="166" fontId="0" fillId="2" borderId="9" xfId="3" applyNumberFormat="1" applyFont="1" applyFill="1" applyBorder="1" applyAlignment="1">
      <alignment horizontal="center" wrapText="1"/>
    </xf>
    <xf numFmtId="165" fontId="0" fillId="2" borderId="45" xfId="0" applyNumberFormat="1" applyFill="1" applyBorder="1" applyAlignment="1">
      <alignment horizontal="center" wrapText="1"/>
    </xf>
    <xf numFmtId="165" fontId="0" fillId="2" borderId="24" xfId="0" applyNumberFormat="1" applyFill="1" applyBorder="1" applyAlignment="1">
      <alignment horizontal="center" wrapText="1"/>
    </xf>
    <xf numFmtId="166" fontId="0" fillId="2" borderId="74" xfId="3" applyNumberFormat="1" applyFont="1" applyFill="1" applyBorder="1" applyAlignment="1">
      <alignment horizontal="center" wrapText="1"/>
    </xf>
    <xf numFmtId="164" fontId="0" fillId="2" borderId="61" xfId="1" applyNumberFormat="1" applyFont="1" applyFill="1" applyBorder="1" applyAlignment="1">
      <alignment horizontal="center" wrapText="1"/>
    </xf>
    <xf numFmtId="166" fontId="0" fillId="2" borderId="8" xfId="3" applyNumberFormat="1" applyFont="1" applyFill="1" applyBorder="1" applyAlignment="1">
      <alignment horizontal="center" wrapText="1"/>
    </xf>
    <xf numFmtId="167" fontId="0" fillId="2" borderId="8" xfId="1" applyNumberFormat="1" applyFont="1" applyFill="1" applyBorder="1" applyAlignment="1">
      <alignment horizontal="center" wrapText="1"/>
    </xf>
    <xf numFmtId="164" fontId="0" fillId="2" borderId="9" xfId="1" applyNumberFormat="1" applyFont="1" applyFill="1" applyBorder="1" applyAlignment="1">
      <alignment horizontal="center" wrapText="1"/>
    </xf>
    <xf numFmtId="167" fontId="0" fillId="2" borderId="9" xfId="1" applyNumberFormat="1" applyFont="1" applyFill="1" applyBorder="1" applyAlignment="1">
      <alignment horizontal="center" wrapText="1"/>
    </xf>
    <xf numFmtId="164" fontId="0" fillId="0" borderId="21" xfId="1" applyNumberFormat="1" applyFont="1" applyFill="1" applyBorder="1" applyAlignment="1">
      <alignment horizontal="center"/>
    </xf>
    <xf numFmtId="164" fontId="0" fillId="0" borderId="22" xfId="1" applyNumberFormat="1" applyFont="1" applyFill="1" applyBorder="1" applyAlignment="1">
      <alignment horizontal="center"/>
    </xf>
    <xf numFmtId="166" fontId="0" fillId="0" borderId="64" xfId="3" applyNumberFormat="1" applyFont="1" applyFill="1" applyBorder="1" applyAlignment="1">
      <alignment horizontal="center"/>
    </xf>
    <xf numFmtId="165" fontId="0" fillId="0" borderId="21" xfId="1" applyNumberFormat="1" applyFont="1" applyFill="1" applyBorder="1" applyAlignment="1">
      <alignment horizontal="center"/>
    </xf>
    <xf numFmtId="165" fontId="0" fillId="0" borderId="22" xfId="2" applyNumberFormat="1" applyFont="1" applyFill="1" applyBorder="1" applyAlignment="1">
      <alignment horizontal="center"/>
    </xf>
    <xf numFmtId="166" fontId="0" fillId="0" borderId="38" xfId="3" applyNumberFormat="1" applyFont="1" applyFill="1" applyBorder="1" applyAlignment="1">
      <alignment horizontal="center"/>
    </xf>
    <xf numFmtId="166" fontId="14" fillId="0" borderId="22" xfId="3" applyNumberFormat="1" applyFont="1" applyFill="1" applyBorder="1" applyAlignment="1">
      <alignment horizontal="center"/>
    </xf>
    <xf numFmtId="164" fontId="17" fillId="0" borderId="23" xfId="1" applyNumberFormat="1" applyFont="1" applyFill="1" applyBorder="1" applyAlignment="1">
      <alignment horizontal="center"/>
    </xf>
    <xf numFmtId="164" fontId="0" fillId="0" borderId="24" xfId="1" applyNumberFormat="1" applyFont="1" applyFill="1" applyBorder="1" applyAlignment="1">
      <alignment horizontal="center"/>
    </xf>
    <xf numFmtId="166" fontId="0" fillId="0" borderId="66" xfId="3" applyNumberFormat="1" applyFont="1" applyFill="1" applyBorder="1" applyAlignment="1">
      <alignment horizontal="center"/>
    </xf>
    <xf numFmtId="165" fontId="0" fillId="0" borderId="23" xfId="1" applyNumberFormat="1" applyFont="1" applyFill="1" applyBorder="1" applyAlignment="1">
      <alignment horizontal="center"/>
    </xf>
    <xf numFmtId="165" fontId="0" fillId="0" borderId="24" xfId="2" applyNumberFormat="1" applyFont="1" applyFill="1" applyBorder="1" applyAlignment="1">
      <alignment horizontal="center"/>
    </xf>
    <xf numFmtId="166" fontId="14" fillId="0" borderId="24" xfId="3" applyNumberFormat="1" applyFont="1" applyFill="1" applyBorder="1" applyAlignment="1">
      <alignment horizontal="center"/>
    </xf>
    <xf numFmtId="166" fontId="0" fillId="0" borderId="35" xfId="3" applyNumberFormat="1" applyFont="1" applyFill="1" applyBorder="1" applyAlignment="1">
      <alignment horizontal="center"/>
    </xf>
    <xf numFmtId="165" fontId="0" fillId="0" borderId="20" xfId="1" applyNumberFormat="1" applyFont="1" applyFill="1" applyBorder="1" applyAlignment="1">
      <alignment horizontal="center"/>
    </xf>
    <xf numFmtId="165" fontId="0" fillId="0" borderId="18" xfId="2" applyNumberFormat="1" applyFont="1" applyFill="1" applyBorder="1" applyAlignment="1">
      <alignment horizontal="center"/>
    </xf>
    <xf numFmtId="166" fontId="14" fillId="0" borderId="18" xfId="3" applyNumberFormat="1" applyFont="1" applyFill="1" applyBorder="1" applyAlignment="1">
      <alignment horizontal="center"/>
    </xf>
    <xf numFmtId="164" fontId="0" fillId="0" borderId="10" xfId="1" applyNumberFormat="1" applyFont="1" applyFill="1" applyBorder="1" applyAlignment="1">
      <alignment horizontal="center"/>
    </xf>
    <xf numFmtId="164" fontId="0" fillId="0" borderId="13" xfId="1" applyNumberFormat="1" applyFont="1" applyFill="1" applyBorder="1" applyAlignment="1">
      <alignment horizontal="center"/>
    </xf>
    <xf numFmtId="166" fontId="0" fillId="0" borderId="37" xfId="3" applyNumberFormat="1" applyFont="1" applyFill="1" applyBorder="1" applyAlignment="1">
      <alignment horizontal="center"/>
    </xf>
    <xf numFmtId="165" fontId="0" fillId="0" borderId="10" xfId="1" applyNumberFormat="1" applyFont="1" applyFill="1" applyBorder="1" applyAlignment="1">
      <alignment horizontal="center"/>
    </xf>
    <xf numFmtId="165" fontId="0" fillId="0" borderId="13" xfId="2" applyNumberFormat="1" applyFont="1" applyFill="1" applyBorder="1" applyAlignment="1">
      <alignment horizontal="center"/>
    </xf>
    <xf numFmtId="164" fontId="0" fillId="2" borderId="33" xfId="1" applyNumberFormat="1" applyFont="1" applyFill="1" applyBorder="1" applyAlignment="1">
      <alignment horizontal="center" wrapText="1"/>
    </xf>
    <xf numFmtId="164" fontId="0" fillId="2" borderId="49" xfId="1" applyNumberFormat="1" applyFont="1" applyFill="1" applyBorder="1" applyAlignment="1">
      <alignment horizontal="center" wrapText="1"/>
    </xf>
    <xf numFmtId="166" fontId="0" fillId="2" borderId="60" xfId="3" applyNumberFormat="1" applyFont="1" applyFill="1" applyBorder="1" applyAlignment="1">
      <alignment horizontal="center" wrapText="1"/>
    </xf>
    <xf numFmtId="165" fontId="0" fillId="2" borderId="33" xfId="0" applyNumberFormat="1" applyFill="1" applyBorder="1" applyAlignment="1">
      <alignment horizontal="center" wrapText="1"/>
    </xf>
    <xf numFmtId="165" fontId="0" fillId="2" borderId="49" xfId="0" applyNumberFormat="1" applyFill="1" applyBorder="1" applyAlignment="1">
      <alignment horizontal="center" wrapText="1"/>
    </xf>
    <xf numFmtId="166" fontId="0" fillId="2" borderId="65" xfId="3" applyNumberFormat="1" applyFont="1" applyFill="1" applyBorder="1" applyAlignment="1">
      <alignment horizontal="center" wrapText="1"/>
    </xf>
    <xf numFmtId="166" fontId="0" fillId="2" borderId="49" xfId="3" applyNumberFormat="1" applyFont="1" applyFill="1" applyBorder="1" applyAlignment="1">
      <alignment horizontal="center" wrapText="1"/>
    </xf>
    <xf numFmtId="167" fontId="0" fillId="2" borderId="49" xfId="1" applyNumberFormat="1" applyFont="1" applyFill="1" applyBorder="1" applyAlignment="1">
      <alignment horizontal="center" wrapText="1"/>
    </xf>
    <xf numFmtId="164" fontId="0" fillId="2" borderId="1" xfId="1" applyNumberFormat="1" applyFont="1" applyFill="1" applyBorder="1" applyAlignment="1">
      <alignment horizontal="center" wrapText="1"/>
    </xf>
    <xf numFmtId="167" fontId="0" fillId="2" borderId="1" xfId="1" applyNumberFormat="1" applyFont="1" applyFill="1" applyBorder="1" applyAlignment="1">
      <alignment horizontal="center" wrapText="1"/>
    </xf>
    <xf numFmtId="164" fontId="0" fillId="0" borderId="42" xfId="1" applyNumberFormat="1" applyFont="1" applyFill="1" applyBorder="1" applyAlignment="1">
      <alignment horizontal="center"/>
    </xf>
    <xf numFmtId="165" fontId="0" fillId="0" borderId="42" xfId="0" applyNumberFormat="1" applyBorder="1" applyAlignment="1">
      <alignment horizontal="center"/>
    </xf>
    <xf numFmtId="165" fontId="0" fillId="0" borderId="8" xfId="2" applyNumberFormat="1" applyFont="1" applyFill="1" applyBorder="1" applyAlignment="1">
      <alignment horizontal="center"/>
    </xf>
    <xf numFmtId="166" fontId="0" fillId="0" borderId="34" xfId="3" applyNumberFormat="1" applyFont="1" applyFill="1" applyBorder="1" applyAlignment="1">
      <alignment horizontal="center"/>
    </xf>
    <xf numFmtId="166" fontId="0" fillId="0" borderId="19" xfId="3" applyNumberFormat="1" applyFont="1" applyFill="1" applyBorder="1" applyAlignment="1">
      <alignment horizontal="center"/>
    </xf>
    <xf numFmtId="165" fontId="0" fillId="0" borderId="32" xfId="0" applyNumberFormat="1" applyBorder="1" applyAlignment="1">
      <alignment horizontal="center"/>
    </xf>
    <xf numFmtId="165" fontId="0" fillId="0" borderId="18" xfId="0" applyNumberFormat="1" applyBorder="1" applyAlignment="1">
      <alignment horizontal="center"/>
    </xf>
    <xf numFmtId="164" fontId="3" fillId="8" borderId="10" xfId="1" applyNumberFormat="1" applyFont="1" applyFill="1" applyBorder="1" applyAlignment="1">
      <alignment horizontal="center"/>
    </xf>
    <xf numFmtId="166" fontId="3" fillId="8" borderId="11" xfId="3" applyNumberFormat="1" applyFont="1" applyFill="1" applyBorder="1" applyAlignment="1">
      <alignment horizontal="center"/>
    </xf>
    <xf numFmtId="165" fontId="3" fillId="8" borderId="0" xfId="2" applyNumberFormat="1" applyFont="1" applyFill="1" applyBorder="1" applyAlignment="1">
      <alignment horizontal="center"/>
    </xf>
    <xf numFmtId="165" fontId="3" fillId="8" borderId="30" xfId="2" applyNumberFormat="1" applyFont="1" applyFill="1" applyBorder="1" applyAlignment="1">
      <alignment horizontal="center"/>
    </xf>
    <xf numFmtId="166" fontId="3" fillId="8" borderId="0" xfId="3" applyNumberFormat="1" applyFont="1" applyFill="1" applyBorder="1" applyAlignment="1">
      <alignment horizontal="center"/>
    </xf>
    <xf numFmtId="165" fontId="0" fillId="2" borderId="21" xfId="0" applyNumberFormat="1" applyFill="1" applyBorder="1" applyAlignment="1">
      <alignment horizontal="center" wrapText="1"/>
    </xf>
    <xf numFmtId="165" fontId="0" fillId="2" borderId="22" xfId="0" applyNumberFormat="1" applyFill="1" applyBorder="1" applyAlignment="1">
      <alignment horizontal="center" wrapText="1"/>
    </xf>
    <xf numFmtId="166" fontId="0" fillId="2" borderId="38" xfId="3" applyNumberFormat="1" applyFont="1" applyFill="1" applyBorder="1" applyAlignment="1">
      <alignment horizontal="center" wrapText="1"/>
    </xf>
    <xf numFmtId="164" fontId="0" fillId="2" borderId="6" xfId="1" applyNumberFormat="1" applyFont="1" applyFill="1" applyBorder="1" applyAlignment="1">
      <alignment horizontal="center" wrapText="1"/>
    </xf>
    <xf numFmtId="166" fontId="0" fillId="2" borderId="7" xfId="3" applyNumberFormat="1" applyFont="1" applyFill="1" applyBorder="1" applyAlignment="1">
      <alignment horizontal="center" wrapText="1"/>
    </xf>
    <xf numFmtId="165" fontId="0" fillId="2" borderId="6" xfId="0" applyNumberFormat="1" applyFill="1" applyBorder="1" applyAlignment="1">
      <alignment horizontal="center" wrapText="1"/>
    </xf>
    <xf numFmtId="165" fontId="0" fillId="2" borderId="8" xfId="0" applyNumberFormat="1" applyFill="1" applyBorder="1" applyAlignment="1">
      <alignment horizontal="center" wrapText="1"/>
    </xf>
    <xf numFmtId="166" fontId="0" fillId="2" borderId="34" xfId="3" applyNumberFormat="1" applyFont="1" applyFill="1" applyBorder="1" applyAlignment="1">
      <alignment horizontal="center" wrapText="1"/>
    </xf>
    <xf numFmtId="164" fontId="0" fillId="2" borderId="23" xfId="1" applyNumberFormat="1" applyFont="1" applyFill="1" applyBorder="1" applyAlignment="1">
      <alignment horizontal="center" wrapText="1"/>
    </xf>
    <xf numFmtId="164" fontId="0" fillId="2" borderId="24" xfId="1" applyNumberFormat="1" applyFont="1" applyFill="1" applyBorder="1" applyAlignment="1">
      <alignment horizontal="center" wrapText="1"/>
    </xf>
    <xf numFmtId="166" fontId="0" fillId="2" borderId="24" xfId="3" applyNumberFormat="1" applyFont="1" applyFill="1" applyBorder="1" applyAlignment="1">
      <alignment horizontal="center" wrapText="1"/>
    </xf>
    <xf numFmtId="167" fontId="0" fillId="2" borderId="24" xfId="1" applyNumberFormat="1" applyFont="1" applyFill="1" applyBorder="1" applyAlignment="1">
      <alignment horizontal="center" wrapText="1"/>
    </xf>
    <xf numFmtId="164" fontId="0" fillId="2" borderId="69" xfId="1" applyNumberFormat="1" applyFont="1" applyFill="1" applyBorder="1" applyAlignment="1">
      <alignment horizontal="center" wrapText="1"/>
    </xf>
    <xf numFmtId="167" fontId="0" fillId="2" borderId="69" xfId="1" applyNumberFormat="1" applyFont="1" applyFill="1" applyBorder="1" applyAlignment="1">
      <alignment horizontal="center" wrapText="1"/>
    </xf>
    <xf numFmtId="3" fontId="18" fillId="0" borderId="21" xfId="0" applyNumberFormat="1" applyFont="1" applyBorder="1"/>
    <xf numFmtId="3" fontId="18" fillId="0" borderId="22" xfId="0" applyNumberFormat="1" applyFont="1" applyBorder="1"/>
    <xf numFmtId="0" fontId="18" fillId="0" borderId="64" xfId="0" applyFont="1" applyBorder="1" applyAlignment="1">
      <alignment horizontal="center"/>
    </xf>
    <xf numFmtId="165" fontId="18" fillId="0" borderId="21" xfId="2" applyNumberFormat="1" applyFont="1" applyFill="1" applyBorder="1" applyAlignment="1"/>
    <xf numFmtId="165" fontId="18" fillId="0" borderId="22" xfId="0" applyNumberFormat="1" applyFont="1" applyBorder="1"/>
    <xf numFmtId="0" fontId="14" fillId="0" borderId="64" xfId="0" applyFont="1" applyBorder="1" applyAlignment="1">
      <alignment horizontal="center"/>
    </xf>
    <xf numFmtId="37" fontId="14" fillId="0" borderId="21" xfId="0" applyNumberFormat="1" applyFont="1" applyBorder="1"/>
    <xf numFmtId="3" fontId="14" fillId="0" borderId="22" xfId="0" applyNumberFormat="1" applyFont="1" applyBorder="1"/>
    <xf numFmtId="0" fontId="14" fillId="0" borderId="22" xfId="0" applyFont="1" applyBorder="1" applyAlignment="1">
      <alignment horizontal="center"/>
    </xf>
    <xf numFmtId="0" fontId="14" fillId="0" borderId="22" xfId="0" applyFont="1" applyBorder="1"/>
    <xf numFmtId="37" fontId="14" fillId="0" borderId="22" xfId="0" applyNumberFormat="1" applyFont="1" applyBorder="1"/>
    <xf numFmtId="3" fontId="14" fillId="0" borderId="64" xfId="0" applyNumberFormat="1" applyFont="1" applyBorder="1"/>
    <xf numFmtId="174" fontId="14" fillId="0" borderId="21" xfId="0" applyNumberFormat="1" applyFont="1" applyBorder="1"/>
    <xf numFmtId="167" fontId="14" fillId="0" borderId="64" xfId="0" applyNumberFormat="1" applyFont="1" applyBorder="1"/>
    <xf numFmtId="164" fontId="14" fillId="0" borderId="34" xfId="1" applyNumberFormat="1" applyFont="1" applyFill="1" applyBorder="1" applyAlignment="1">
      <alignment horizontal="center"/>
    </xf>
    <xf numFmtId="164" fontId="14" fillId="0" borderId="66" xfId="1" applyNumberFormat="1" applyFont="1" applyFill="1" applyBorder="1" applyAlignment="1">
      <alignment horizontal="center"/>
    </xf>
    <xf numFmtId="164" fontId="14" fillId="0" borderId="35" xfId="1" applyNumberFormat="1" applyFont="1" applyFill="1" applyBorder="1" applyAlignment="1">
      <alignment horizontal="center"/>
    </xf>
    <xf numFmtId="164" fontId="14" fillId="0" borderId="37" xfId="1" applyNumberFormat="1" applyFont="1" applyFill="1" applyBorder="1" applyAlignment="1">
      <alignment horizontal="center"/>
    </xf>
    <xf numFmtId="164" fontId="14" fillId="0" borderId="131" xfId="1" applyNumberFormat="1" applyFont="1" applyFill="1" applyBorder="1" applyAlignment="1">
      <alignment horizontal="center"/>
    </xf>
    <xf numFmtId="164" fontId="14" fillId="0" borderId="39" xfId="1" applyNumberFormat="1" applyFont="1" applyFill="1" applyBorder="1" applyAlignment="1">
      <alignment horizontal="center"/>
    </xf>
    <xf numFmtId="164" fontId="14" fillId="0" borderId="61" xfId="1" applyNumberFormat="1" applyFont="1" applyFill="1" applyBorder="1" applyAlignment="1">
      <alignment horizontal="center"/>
    </xf>
    <xf numFmtId="164" fontId="14" fillId="0" borderId="74" xfId="1" applyNumberFormat="1" applyFont="1" applyFill="1" applyBorder="1" applyAlignment="1">
      <alignment horizontal="center"/>
    </xf>
    <xf numFmtId="164" fontId="14" fillId="0" borderId="43" xfId="1" applyNumberFormat="1" applyFont="1" applyFill="1" applyBorder="1" applyAlignment="1">
      <alignment horizontal="center"/>
    </xf>
    <xf numFmtId="171" fontId="14" fillId="0" borderId="61" xfId="1" applyNumberFormat="1" applyFont="1" applyFill="1" applyBorder="1" applyAlignment="1">
      <alignment horizontal="right"/>
    </xf>
    <xf numFmtId="171" fontId="14" fillId="0" borderId="74" xfId="1" applyNumberFormat="1" applyFont="1" applyFill="1" applyBorder="1" applyAlignment="1">
      <alignment horizontal="right"/>
    </xf>
    <xf numFmtId="171" fontId="14" fillId="0" borderId="74" xfId="1" applyNumberFormat="1" applyFont="1" applyFill="1" applyBorder="1" applyAlignment="1">
      <alignment horizontal="right" wrapText="1"/>
    </xf>
    <xf numFmtId="171" fontId="14" fillId="0" borderId="43" xfId="1" applyNumberFormat="1" applyFont="1" applyFill="1" applyBorder="1" applyAlignment="1">
      <alignment horizontal="right"/>
    </xf>
    <xf numFmtId="164" fontId="14" fillId="0" borderId="7" xfId="1" applyNumberFormat="1" applyFont="1" applyFill="1" applyBorder="1" applyAlignment="1">
      <alignment horizontal="center"/>
    </xf>
    <xf numFmtId="164" fontId="14" fillId="0" borderId="25" xfId="1" applyNumberFormat="1" applyFont="1" applyFill="1" applyBorder="1" applyAlignment="1">
      <alignment horizontal="center"/>
    </xf>
    <xf numFmtId="164" fontId="14" fillId="0" borderId="40" xfId="1" applyNumberFormat="1" applyFont="1" applyFill="1" applyBorder="1" applyAlignment="1">
      <alignment horizontal="center"/>
    </xf>
    <xf numFmtId="164" fontId="14" fillId="0" borderId="44" xfId="1" applyNumberFormat="1" applyFont="1" applyFill="1" applyBorder="1" applyAlignment="1">
      <alignment horizontal="center"/>
    </xf>
    <xf numFmtId="167" fontId="14" fillId="0" borderId="7" xfId="1" applyNumberFormat="1" applyFont="1" applyFill="1" applyBorder="1" applyAlignment="1">
      <alignment horizontal="center"/>
    </xf>
    <xf numFmtId="167" fontId="14" fillId="0" borderId="25" xfId="1" applyNumberFormat="1" applyFont="1" applyFill="1" applyBorder="1" applyAlignment="1">
      <alignment horizontal="center"/>
    </xf>
    <xf numFmtId="167" fontId="14" fillId="0" borderId="40" xfId="1" applyNumberFormat="1" applyFont="1" applyFill="1" applyBorder="1" applyAlignment="1">
      <alignment horizontal="center"/>
    </xf>
    <xf numFmtId="0" fontId="11" fillId="0" borderId="2" xfId="0" applyFont="1" applyBorder="1" applyAlignment="1">
      <alignment horizontal="left" wrapText="1"/>
    </xf>
    <xf numFmtId="165" fontId="11" fillId="0" borderId="55" xfId="2" applyNumberFormat="1" applyFont="1" applyBorder="1"/>
    <xf numFmtId="165" fontId="11" fillId="0" borderId="0" xfId="2" applyNumberFormat="1" applyFont="1"/>
    <xf numFmtId="165" fontId="11" fillId="0" borderId="76" xfId="2" applyNumberFormat="1" applyFont="1" applyBorder="1"/>
    <xf numFmtId="165" fontId="3" fillId="0" borderId="51" xfId="2" applyNumberFormat="1" applyFont="1" applyBorder="1"/>
    <xf numFmtId="43" fontId="3" fillId="0" borderId="19" xfId="1" applyFont="1" applyBorder="1"/>
    <xf numFmtId="165" fontId="11" fillId="0" borderId="76" xfId="0" applyNumberFormat="1" applyFont="1" applyBorder="1"/>
    <xf numFmtId="43" fontId="3" fillId="0" borderId="51" xfId="1" applyFont="1" applyBorder="1"/>
    <xf numFmtId="165" fontId="0" fillId="0" borderId="68" xfId="2" applyNumberFormat="1" applyFont="1" applyBorder="1"/>
    <xf numFmtId="43" fontId="3" fillId="0" borderId="55" xfId="1" applyFont="1" applyBorder="1"/>
    <xf numFmtId="43" fontId="3" fillId="0" borderId="0" xfId="1" applyFont="1"/>
    <xf numFmtId="43" fontId="3" fillId="0" borderId="76" xfId="1" applyFont="1" applyBorder="1"/>
    <xf numFmtId="165" fontId="3" fillId="0" borderId="93" xfId="2" applyNumberFormat="1" applyFont="1" applyBorder="1"/>
    <xf numFmtId="43" fontId="3" fillId="0" borderId="48" xfId="1" applyFont="1" applyBorder="1"/>
    <xf numFmtId="43" fontId="0" fillId="0" borderId="0" xfId="0" applyNumberFormat="1"/>
    <xf numFmtId="164" fontId="0" fillId="0" borderId="0" xfId="1" applyNumberFormat="1" applyFont="1" applyBorder="1"/>
    <xf numFmtId="9" fontId="0" fillId="0" borderId="18" xfId="3" applyFont="1" applyFill="1" applyBorder="1"/>
    <xf numFmtId="164" fontId="0" fillId="0" borderId="18" xfId="1" applyNumberFormat="1" applyFont="1" applyFill="1" applyBorder="1" applyAlignment="1">
      <alignment horizontal="center" vertical="center"/>
    </xf>
    <xf numFmtId="0" fontId="30" fillId="0" borderId="35" xfId="0" applyFont="1" applyBorder="1" applyAlignment="1">
      <alignment vertical="center" wrapText="1"/>
    </xf>
    <xf numFmtId="0" fontId="25" fillId="2" borderId="2" xfId="6" applyFont="1" applyFill="1" applyBorder="1" applyAlignment="1">
      <alignment horizontal="center" vertical="center" wrapText="1"/>
    </xf>
    <xf numFmtId="0" fontId="30" fillId="0" borderId="66" xfId="0" applyFont="1" applyBorder="1" applyAlignment="1">
      <alignment vertical="center" wrapText="1"/>
    </xf>
    <xf numFmtId="0" fontId="25" fillId="2" borderId="50" xfId="6" applyFont="1" applyFill="1" applyBorder="1" applyAlignment="1">
      <alignment horizontal="center" vertical="center" wrapText="1"/>
    </xf>
    <xf numFmtId="0" fontId="35" fillId="9" borderId="18" xfId="7" applyFont="1" applyFill="1" applyBorder="1"/>
    <xf numFmtId="164" fontId="30" fillId="9" borderId="18" xfId="7" applyNumberFormat="1" applyFill="1" applyBorder="1"/>
    <xf numFmtId="0" fontId="0" fillId="0" borderId="58" xfId="0" applyBorder="1"/>
    <xf numFmtId="0" fontId="48" fillId="5" borderId="1" xfId="6" applyFont="1" applyFill="1" applyBorder="1"/>
    <xf numFmtId="0" fontId="3" fillId="12" borderId="55" xfId="0" applyFont="1" applyFill="1" applyBorder="1"/>
    <xf numFmtId="0" fontId="0" fillId="0" borderId="53" xfId="0" applyBorder="1"/>
    <xf numFmtId="167" fontId="11" fillId="0" borderId="28" xfId="1" applyNumberFormat="1" applyFont="1" applyFill="1" applyBorder="1" applyAlignment="1">
      <alignment wrapText="1"/>
    </xf>
    <xf numFmtId="167" fontId="0" fillId="0" borderId="28" xfId="1" applyNumberFormat="1" applyFont="1" applyBorder="1" applyAlignment="1">
      <alignment wrapText="1"/>
    </xf>
    <xf numFmtId="0" fontId="0" fillId="11" borderId="32" xfId="0" applyFill="1" applyBorder="1" applyAlignment="1" applyProtection="1">
      <alignment horizontal="center" vertical="center"/>
      <protection hidden="1"/>
    </xf>
    <xf numFmtId="44" fontId="0" fillId="0" borderId="0" xfId="2" applyFont="1"/>
    <xf numFmtId="3" fontId="0" fillId="0" borderId="32" xfId="0" applyNumberFormat="1" applyBorder="1" applyProtection="1">
      <protection hidden="1"/>
    </xf>
    <xf numFmtId="6" fontId="0" fillId="0" borderId="18" xfId="2" applyNumberFormat="1" applyFont="1" applyFill="1" applyBorder="1" applyProtection="1">
      <protection locked="0"/>
    </xf>
    <xf numFmtId="165" fontId="17" fillId="0" borderId="7" xfId="2" applyNumberFormat="1" applyFont="1" applyFill="1" applyBorder="1" applyAlignment="1">
      <alignment horizontal="right" vertical="center"/>
    </xf>
    <xf numFmtId="165" fontId="17" fillId="0" borderId="2" xfId="2" applyNumberFormat="1" applyFont="1" applyFill="1" applyBorder="1"/>
    <xf numFmtId="42" fontId="1" fillId="0" borderId="50" xfId="0" applyNumberFormat="1" applyFont="1" applyFill="1" applyBorder="1" applyAlignment="1">
      <alignment horizontal="center" vertical="center"/>
    </xf>
    <xf numFmtId="165" fontId="17" fillId="0" borderId="25" xfId="2" applyNumberFormat="1" applyFont="1" applyFill="1" applyBorder="1"/>
    <xf numFmtId="165" fontId="17" fillId="0" borderId="23" xfId="2" applyNumberFormat="1" applyFont="1" applyFill="1" applyBorder="1"/>
    <xf numFmtId="0" fontId="0" fillId="11" borderId="27" xfId="0" applyFill="1" applyBorder="1" applyAlignment="1" applyProtection="1">
      <alignment horizontal="center" vertical="center"/>
      <protection hidden="1"/>
    </xf>
    <xf numFmtId="0" fontId="0" fillId="11" borderId="32" xfId="0" applyFill="1" applyBorder="1" applyAlignment="1" applyProtection="1">
      <alignment horizontal="center" vertical="center"/>
      <protection hidden="1"/>
    </xf>
    <xf numFmtId="0" fontId="0" fillId="13" borderId="35" xfId="0" applyFill="1" applyBorder="1" applyAlignment="1" applyProtection="1">
      <alignment horizontal="center" vertical="center"/>
      <protection hidden="1"/>
    </xf>
    <xf numFmtId="0" fontId="0" fillId="13" borderId="27" xfId="0" applyFill="1" applyBorder="1" applyAlignment="1" applyProtection="1">
      <alignment horizontal="center" vertical="center"/>
      <protection hidden="1"/>
    </xf>
    <xf numFmtId="0" fontId="0" fillId="13" borderId="32" xfId="0" applyFill="1" applyBorder="1" applyAlignment="1" applyProtection="1">
      <alignment horizontal="center" vertical="center"/>
      <protection hidden="1"/>
    </xf>
    <xf numFmtId="0" fontId="0" fillId="14" borderId="35" xfId="0" applyFill="1" applyBorder="1" applyAlignment="1" applyProtection="1">
      <alignment horizontal="center" vertical="center" wrapText="1"/>
      <protection hidden="1"/>
    </xf>
    <xf numFmtId="0" fontId="0" fillId="14" borderId="27" xfId="0" applyFill="1" applyBorder="1" applyAlignment="1" applyProtection="1">
      <alignment horizontal="center" vertical="center" wrapText="1"/>
      <protection hidden="1"/>
    </xf>
    <xf numFmtId="0" fontId="0" fillId="14" borderId="32" xfId="0" applyFill="1" applyBorder="1" applyAlignment="1" applyProtection="1">
      <alignment horizontal="center" vertical="center" wrapText="1"/>
      <protection hidden="1"/>
    </xf>
    <xf numFmtId="0" fontId="37" fillId="0" borderId="41" xfId="0" applyFont="1" applyBorder="1" applyAlignment="1">
      <alignment vertical="top" wrapText="1"/>
    </xf>
    <xf numFmtId="0" fontId="39" fillId="0" borderId="41" xfId="0" applyFont="1" applyBorder="1" applyAlignment="1">
      <alignment vertical="top"/>
    </xf>
    <xf numFmtId="0" fontId="50" fillId="0" borderId="41" xfId="0" applyFont="1" applyBorder="1" applyAlignment="1">
      <alignment horizontal="left" vertical="top" wrapText="1"/>
    </xf>
    <xf numFmtId="0" fontId="0" fillId="0" borderId="41" xfId="0" applyBorder="1" applyAlignment="1">
      <alignment horizontal="left" vertical="top" wrapText="1"/>
    </xf>
    <xf numFmtId="0" fontId="11" fillId="0" borderId="41" xfId="0" applyFont="1" applyBorder="1" applyAlignment="1">
      <alignment horizontal="left" vertical="top" wrapText="1"/>
    </xf>
    <xf numFmtId="0" fontId="0" fillId="11" borderId="58" xfId="0" applyFill="1" applyBorder="1" applyAlignment="1">
      <alignment horizontal="center"/>
    </xf>
    <xf numFmtId="0" fontId="0" fillId="11" borderId="41" xfId="0" applyFill="1" applyBorder="1" applyAlignment="1">
      <alignment horizontal="center"/>
    </xf>
    <xf numFmtId="0" fontId="0" fillId="11" borderId="1" xfId="0" applyFill="1" applyBorder="1" applyAlignment="1">
      <alignment horizontal="center"/>
    </xf>
    <xf numFmtId="0" fontId="37" fillId="0" borderId="41" xfId="0" applyFont="1" applyBorder="1" applyAlignment="1">
      <alignment horizontal="left" vertical="top" wrapText="1"/>
    </xf>
    <xf numFmtId="0" fontId="36" fillId="0" borderId="41" xfId="0" applyFont="1" applyBorder="1" applyAlignment="1">
      <alignment horizontal="left" vertical="top" wrapText="1"/>
    </xf>
    <xf numFmtId="0" fontId="0" fillId="0" borderId="30" xfId="0" applyBorder="1" applyAlignment="1">
      <alignment horizontal="center" vertical="center" wrapText="1"/>
    </xf>
    <xf numFmtId="0" fontId="0" fillId="0" borderId="16" xfId="0" applyBorder="1" applyAlignment="1">
      <alignment horizontal="center" vertical="center" wrapText="1"/>
    </xf>
    <xf numFmtId="0" fontId="0" fillId="0" borderId="24" xfId="0" applyBorder="1" applyAlignment="1">
      <alignment horizontal="center" vertical="center" wrapText="1"/>
    </xf>
    <xf numFmtId="0" fontId="8" fillId="23" borderId="18" xfId="0" applyFont="1" applyFill="1" applyBorder="1" applyAlignment="1">
      <alignment horizontal="left" vertical="center" wrapText="1"/>
    </xf>
    <xf numFmtId="0" fontId="8" fillId="23" borderId="56" xfId="0" applyFont="1" applyFill="1" applyBorder="1" applyAlignment="1">
      <alignment horizontal="left" vertical="center" wrapText="1"/>
    </xf>
    <xf numFmtId="0" fontId="0" fillId="0" borderId="27" xfId="0" applyBorder="1" applyAlignment="1">
      <alignment horizontal="right"/>
    </xf>
    <xf numFmtId="0" fontId="0" fillId="0" borderId="32" xfId="0" applyBorder="1" applyAlignment="1">
      <alignment horizontal="right"/>
    </xf>
    <xf numFmtId="0" fontId="37" fillId="0" borderId="18" xfId="0" applyFont="1" applyBorder="1" applyAlignment="1">
      <alignment horizontal="left" vertical="top" wrapText="1"/>
    </xf>
    <xf numFmtId="0" fontId="0" fillId="0" borderId="18" xfId="0" applyBorder="1" applyAlignment="1">
      <alignment horizontal="left" vertical="top" wrapText="1"/>
    </xf>
    <xf numFmtId="0" fontId="7" fillId="2" borderId="6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28" borderId="18" xfId="8" applyFont="1" applyFill="1" applyBorder="1" applyAlignment="1">
      <alignment horizontal="center" vertical="center"/>
    </xf>
    <xf numFmtId="0" fontId="8" fillId="28" borderId="35" xfId="8" applyFont="1" applyFill="1" applyBorder="1" applyAlignment="1">
      <alignment horizontal="center" vertical="center"/>
    </xf>
    <xf numFmtId="0" fontId="8" fillId="28" borderId="32" xfId="8" applyFont="1" applyFill="1" applyBorder="1" applyAlignment="1">
      <alignment horizontal="center" vertical="center"/>
    </xf>
    <xf numFmtId="0" fontId="0" fillId="0" borderId="0" xfId="0" applyAlignment="1">
      <alignment horizontal="left" wrapText="1"/>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165" fontId="0" fillId="27" borderId="27" xfId="2" applyNumberFormat="1" applyFont="1" applyFill="1" applyBorder="1" applyAlignment="1">
      <alignment horizontal="center"/>
    </xf>
    <xf numFmtId="165" fontId="0" fillId="27" borderId="32" xfId="2" applyNumberFormat="1"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14" xfId="0"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0" fillId="5" borderId="109" xfId="0" applyFill="1" applyBorder="1" applyAlignment="1">
      <alignment horizontal="left" vertical="center"/>
    </xf>
    <xf numFmtId="0" fontId="0" fillId="5" borderId="112" xfId="0" applyFill="1" applyBorder="1" applyAlignment="1">
      <alignment horizontal="left" vertical="center"/>
    </xf>
    <xf numFmtId="164" fontId="7" fillId="2" borderId="43" xfId="1" applyNumberFormat="1" applyFont="1" applyFill="1" applyBorder="1" applyAlignment="1">
      <alignment horizontal="center" vertical="center" wrapText="1"/>
    </xf>
    <xf numFmtId="164" fontId="7" fillId="7" borderId="53" xfId="1" applyNumberFormat="1" applyFont="1" applyFill="1" applyBorder="1" applyAlignment="1">
      <alignment horizontal="center" vertical="center" wrapText="1"/>
    </xf>
    <xf numFmtId="164" fontId="7" fillId="7" borderId="59"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6" fillId="2" borderId="102" xfId="0" applyFont="1" applyFill="1" applyBorder="1" applyAlignment="1">
      <alignment horizontal="center" vertical="center" wrapText="1"/>
    </xf>
    <xf numFmtId="0" fontId="6" fillId="7" borderId="103" xfId="0" applyFont="1" applyFill="1" applyBorder="1" applyAlignment="1">
      <alignment horizontal="center" vertical="center" wrapText="1"/>
    </xf>
    <xf numFmtId="0" fontId="6" fillId="7" borderId="101" xfId="0" applyFont="1" applyFill="1" applyBorder="1" applyAlignment="1">
      <alignment horizontal="center" vertical="center" wrapText="1"/>
    </xf>
    <xf numFmtId="0" fontId="6" fillId="2" borderId="103" xfId="0" applyFont="1" applyFill="1" applyBorder="1" applyAlignment="1">
      <alignment horizontal="center" vertical="center"/>
    </xf>
    <xf numFmtId="0" fontId="6" fillId="2" borderId="104" xfId="0" applyFont="1" applyFill="1" applyBorder="1" applyAlignment="1">
      <alignment horizontal="center" vertical="center"/>
    </xf>
    <xf numFmtId="0" fontId="0" fillId="0" borderId="109" xfId="0" applyBorder="1" applyAlignment="1">
      <alignment horizontal="left" vertical="center" wrapText="1"/>
    </xf>
    <xf numFmtId="0" fontId="0" fillId="0" borderId="112" xfId="0" applyBorder="1" applyAlignment="1">
      <alignment horizontal="left" vertical="center" wrapText="1"/>
    </xf>
    <xf numFmtId="0" fontId="6" fillId="2" borderId="5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8"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53" xfId="1" applyNumberFormat="1" applyFont="1" applyFill="1" applyBorder="1" applyAlignment="1">
      <alignment horizontal="center" vertical="center" wrapText="1"/>
    </xf>
    <xf numFmtId="164" fontId="7" fillId="2" borderId="59"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57" xfId="0" applyBorder="1" applyAlignment="1">
      <alignment horizontal="left" vertical="center" wrapText="1"/>
    </xf>
    <xf numFmtId="0" fontId="0" fillId="0" borderId="26" xfId="0" applyBorder="1" applyAlignment="1">
      <alignment horizontal="left" vertical="center" wrapText="1"/>
    </xf>
    <xf numFmtId="0" fontId="0" fillId="0" borderId="62" xfId="0" applyBorder="1" applyAlignment="1">
      <alignment horizontal="left" vertical="center" wrapText="1"/>
    </xf>
    <xf numFmtId="0" fontId="0" fillId="5" borderId="46" xfId="0" applyFill="1" applyBorder="1" applyAlignment="1">
      <alignment horizontal="left" vertical="center"/>
    </xf>
    <xf numFmtId="0" fontId="0" fillId="5" borderId="47" xfId="0" applyFill="1" applyBorder="1" applyAlignment="1">
      <alignment horizontal="left" vertical="center"/>
    </xf>
    <xf numFmtId="0" fontId="25" fillId="2" borderId="58" xfId="6" applyFont="1" applyFill="1" applyBorder="1" applyAlignment="1">
      <alignment horizontal="center" vertical="center" wrapText="1"/>
    </xf>
    <xf numFmtId="0" fontId="1" fillId="2" borderId="41" xfId="0" applyFont="1" applyFill="1" applyBorder="1" applyAlignment="1">
      <alignment wrapText="1"/>
    </xf>
    <xf numFmtId="0" fontId="1" fillId="2" borderId="1" xfId="0" applyFont="1" applyFill="1" applyBorder="1" applyAlignment="1">
      <alignment wrapText="1"/>
    </xf>
    <xf numFmtId="0" fontId="1" fillId="2" borderId="53" xfId="0" applyFont="1" applyFill="1" applyBorder="1" applyAlignment="1">
      <alignment wrapText="1"/>
    </xf>
    <xf numFmtId="0" fontId="1" fillId="2" borderId="43" xfId="0" applyFont="1" applyFill="1" applyBorder="1" applyAlignment="1">
      <alignment wrapText="1"/>
    </xf>
    <xf numFmtId="0" fontId="1" fillId="2" borderId="59" xfId="0" applyFont="1" applyFill="1" applyBorder="1" applyAlignment="1">
      <alignment wrapText="1"/>
    </xf>
    <xf numFmtId="0" fontId="33" fillId="0" borderId="0" xfId="7" applyFont="1" applyAlignment="1">
      <alignment horizontal="left" vertical="center" wrapText="1"/>
    </xf>
    <xf numFmtId="0" fontId="42" fillId="0" borderId="0" xfId="7" applyFont="1" applyAlignment="1">
      <alignment horizontal="left" vertical="top" wrapText="1"/>
    </xf>
    <xf numFmtId="0" fontId="56" fillId="0" borderId="74" xfId="0" applyFont="1" applyBorder="1" applyAlignment="1">
      <alignment horizontal="center" vertical="center"/>
    </xf>
    <xf numFmtId="0" fontId="30" fillId="0" borderId="0" xfId="7" applyAlignment="1">
      <alignment horizontal="left" wrapText="1"/>
    </xf>
    <xf numFmtId="0" fontId="25" fillId="2" borderId="2" xfId="6" applyFont="1" applyFill="1" applyBorder="1" applyAlignment="1">
      <alignment horizontal="center" vertical="center" wrapText="1"/>
    </xf>
    <xf numFmtId="0" fontId="25" fillId="2" borderId="3" xfId="6" applyFont="1" applyFill="1" applyBorder="1" applyAlignment="1">
      <alignment horizontal="center" vertical="center" wrapText="1"/>
    </xf>
  </cellXfs>
  <cellStyles count="10">
    <cellStyle name="Comma" xfId="1" builtinId="3"/>
    <cellStyle name="Currency" xfId="2" builtinId="4"/>
    <cellStyle name="Good" xfId="5" builtinId="26"/>
    <cellStyle name="Normal" xfId="0" builtinId="0"/>
    <cellStyle name="Normal 10 2" xfId="4"/>
    <cellStyle name="Normal 2" xfId="7"/>
    <cellStyle name="Normal 4 2" xfId="9"/>
    <cellStyle name="Normal 5" xfId="8"/>
    <cellStyle name="Normal_Revised Exhibit 1_021810_Eberts" xfId="6"/>
    <cellStyle name="Percent" xfId="3" builtinId="5"/>
  </cellStyles>
  <dxfs count="1">
    <dxf>
      <fill>
        <patternFill>
          <bgColor theme="7"/>
        </patternFill>
      </fill>
    </dxf>
  </dxfs>
  <tableStyles count="0" defaultTableStyle="TableStyleMedium2" defaultPivotStyle="PivotStyleLight16"/>
  <colors>
    <mruColors>
      <color rgb="FF934BC9"/>
      <color rgb="FFD4A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externalLink" Target="externalLinks/externalLink51.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2-6'!$M$1:$N$1</c:f>
              <c:strCache>
                <c:ptCount val="2"/>
                <c:pt idx="0">
                  <c:v>Annual Energy Savings</c:v>
                </c:pt>
                <c:pt idx="1">
                  <c:v>Expenditures</c:v>
                </c:pt>
              </c:strCache>
            </c:strRef>
          </c:cat>
          <c:val>
            <c:numRef>
              <c:f>'Tables 2-6'!$M$3:$N$3</c:f>
              <c:numCache>
                <c:formatCode>0%</c:formatCode>
                <c:ptCount val="2"/>
                <c:pt idx="0">
                  <c:v>1.1756298786114594</c:v>
                </c:pt>
                <c:pt idx="1">
                  <c:v>0.54035077872057702</c:v>
                </c:pt>
              </c:numCache>
            </c:numRef>
          </c:val>
          <c:extLst>
            <c:ext xmlns:c16="http://schemas.microsoft.com/office/drawing/2014/chart" uri="{C3380CC4-5D6E-409C-BE32-E72D297353CC}">
              <c16:uniqueId val="{00000000-3354-445B-B2E5-F8F3DDA801A2}"/>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 F - Secondary Metrics'!$H$5:$I$5</c:f>
              <c:strCache>
                <c:ptCount val="2"/>
                <c:pt idx="0">
                  <c:v>Primary Metrics - 2020/21  TRM</c:v>
                </c:pt>
                <c:pt idx="1">
                  <c:v>Secondary Metrics - 2022 TRM</c:v>
                </c:pt>
              </c:strCache>
            </c:strRef>
          </c:cat>
          <c:val>
            <c:numRef>
              <c:f>'AP F - Secondary Metrics'!$H$6:$I$6</c:f>
              <c:numCache>
                <c:formatCode>_(* #,##0_);_(* \(#,##0\);_(* "-"??_);_(@_)</c:formatCode>
                <c:ptCount val="2"/>
                <c:pt idx="0">
                  <c:v>68765.679899999988</c:v>
                </c:pt>
                <c:pt idx="1">
                  <c:v>54839.80298</c:v>
                </c:pt>
              </c:numCache>
            </c:numRef>
          </c:val>
          <c:extLst>
            <c:ext xmlns:c16="http://schemas.microsoft.com/office/drawing/2014/chart" uri="{C3380CC4-5D6E-409C-BE32-E72D297353CC}">
              <c16:uniqueId val="{00000000-332D-4433-B141-5880F37E1C68}"/>
            </c:ext>
          </c:extLst>
        </c:ser>
        <c:dLbls>
          <c:dLblPos val="outEnd"/>
          <c:showLegendKey val="0"/>
          <c:showVal val="1"/>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717549</xdr:colOff>
      <xdr:row>5</xdr:row>
      <xdr:rowOff>224897</xdr:rowOff>
    </xdr:from>
    <xdr:to>
      <xdr:col>19</xdr:col>
      <xdr:colOff>375707</xdr:colOff>
      <xdr:row>21</xdr:row>
      <xdr:rowOff>296333</xdr:rowOff>
    </xdr:to>
    <xdr:graphicFrame macro="">
      <xdr:nvGraphicFramePr>
        <xdr:cNvPr id="3"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609599</xdr:colOff>
      <xdr:row>8</xdr:row>
      <xdr:rowOff>161926</xdr:rowOff>
    </xdr:from>
    <xdr:to>
      <xdr:col>15</xdr:col>
      <xdr:colOff>285750</xdr:colOff>
      <xdr:row>22</xdr:row>
      <xdr:rowOff>152401</xdr:rowOff>
    </xdr:to>
    <xdr:graphicFrame macro="">
      <xdr:nvGraphicFramePr>
        <xdr:cNvPr id="5"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xeloncorp.sharepoint.com/2005%20Reporting%20Requirements/Apr/MFR%20_%20Leadership%20Deck/MFR%20Views%20-%20EED%20O&amp;M%20(BSC-TFP-Passthru)%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eloncorp.sharepoint.com/Documents%20and%20Settings/kosoffr/My%20Documents/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xeloncorp.sharepoint.com/PDelivery/NCRO/Regiondata1/0888_revaccount/Revenue%20Accounting/2020/01%20January/ACE/SSL/eSSL%20v7.3.0%200120%20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xeloncorp.sharepoint.com/Documents%20and%20Settings/MOORBP/Local%20Settings/Temporary%20Internet%20Files/OLKC4D/Consolidatd%202007%20-2011%20LRP%20Impact%20Analysis%20_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eloncorp.sharepoint.com/cp-wpp-fp13/ud3/JJanocha/2004%20TUB%20Budget/2004%20Financial%20Reporting/September/2004%20TUB%20Forecast%209&amp;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xeloncorp.sharepoint.com/Shared/NEW%20JERSEY%20DEFERRAL%20RECOVERY%20CASE%202002/DEFERRAL%20CASE/Work%20Papers/Janocha%20Work%20Papers/2002-2006%20TUB%20Forecast%20Deferral%20Case%20v0501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xeloncorp.sharepoint.com/FNBNW301/VOL5/74639/98Comp/Adam/Top%20Exec%20Pricing%20-%20Gen%20I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xeloncorp.sharepoint.com/cp-wpp-fp13/ud3/JJanocha/August%202003%20Rate%20Change/BPU%20Deferral%20Order/2003-2007%20TUB%20Forecast%20Deferral%20Case%20v08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xeloncorp.sharepoint.com/JJanocha/2004%20May%20Board%20Retreat/2004-2008%20TUB%20Forecast%20MBR%20v04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VPS%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xeloncorp.sharepoint.com/74639/06RET/(751)%20BU%20Allocations/Inactive%20BU%20Allocation%20Codes/Assignment%20of%20Inactive%20BU%20Codes/Active%20and%20Inactive%20Percentages%20-%20Pens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xeloncorp.sharepoint.com/Pepcoholdings.biz/corpdata/Users/dclemente/Documents/My_Files/Projects/03.Exelon_ESI_Finance/Role_Assignments/BPC_Users_to_Roles_v01-JW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xeloncorp.sharepoint.com/Shared/NewJerseyDeferrals/1999%20Deferrals/oct99/OctoberTariff(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xeloncorp.sharepoint.com/Chmclstr2_vol3_server/VOL3/DATA/CORP/CA_CCC/Spreadsheet%20Inventory/Spreadsheet%20Inventory%20Template%20-%20May%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eloncorp.sharepoint.com/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xeloncorp.sharepoint.com/Distribution%20Rate%20Cases/2014%20Formula%20Rate/Data%20Requests/Final/Staff/TEE%207.01/ComEd%202012%20Depr%20Schedules,%2012%202%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xeloncorp.sharepoint.com/74639/07/RET/(850,851,855)%20Combined%20Results/Disclosures/Year%20End%20Disclosure/Templates/Exelon%20FAS%20158%2012.31.2007%20-%20Pensio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xeloncorp.sharepoint.com/CCCCLSTR2_VOL7_SERVER/VOL7/CA_CCC/Stock%20Options%20-%20FAS%20123R/Budget/2008%20Forecast/FAS%20123R%20Option%20Model%202008%20w_2009%20Forecast.0914vS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xeloncorp.sharepoint.com/CCCCLSTR2_VOL7_SERVER/VOL7/win32/TEMP/insid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xeloncorp.sharepoint.com/cp-wpp-fp13/ud3/JJanocha/JJanocha/NJ%20Restructuring/2000%20Rates/Rate%20Design/2000%20Rat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xeloncorp.sharepoint.com/G035/REPORTNG/REPORTS/TOTALKW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eloncorp.sharepoint.com/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xeloncorp.sharepoint.com/DOCUME~1/ALEMRX/LOCALS~1/TEMP/wz08b9/PECO%20PJM%20Bill%20Analysis%2010%20October%202013%20Actu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exeloncorp.sharepoint.com/Documents%20and%20Settings/alemrx/Local%20Settings/Temporary%20Internet%20Files/Content.Outlook/NEVXPJG3/PJM%20Bill%20Analysis%20March%202014%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xeloncorp.sharepoint.com/Users/bednmx/AppData/Local/Microsoft/Windows/Temporary%20Internet%20Files/Content.Outlook/PF2G4DO7/Pgs%20328-330%20PJM%20Bill%20Analysis%20June%202016%20Estim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xeloncorp.sharepoint.com/DOCUME~1/ALEMRX/LOCALS~1/TEMP/wzc5d8/PECO%20PJM%20Bill%20Analysis%2012%20December%202013%20Actu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exeloncorp.sharepoint.com/Corporate/2134_10q/Pepco%20Control%20Sheets/Control%20Sheets/control%20sheet%2001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xeloncorp.sharepoint.com/cp-wpp-fp13/ud3/Documents%20and%20Settings/jjanocha/August%202003%20Rate%20Change/Distribution%20Rates/Discovery/NJBPU-S-RD-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xeloncorp.sharepoint.com/FNBNW301/VOL5/STAFF/jdm/misc/2001%202Q/MERGE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xeloncorp.sharepoint.com/Corp1/DATA1/Share/nVision/Pedistr/Balance%20Sheet/2001-8/10200-Balance%20Sheet-Aug-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xeloncorp.sharepoint.com/CHMCLSTR2_VOL3_SERVER/VOL3/COMP_PLN/Annual%20Incentive/2002%20AIP/AIP%20and%20Merit%20Planning%20for%20band%207%20and%20above%20Enterpris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exeloncorp.sharepoint.com/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xeloncorp.sharepoint.com/Lc3msfs01/lc3nwclstr1_vol16/TEMP/6-09-02SAMPLE%20EXTRAPOL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exeloncorp.sharepoint.com/cp-wpp-fp13/ud3/JJanocha/2004%20May%20Board%20Retreat/2004-2008%20TUB%20Forecast%20MBR%20v0420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xeloncorp.sharepoint.com/74639/07/RET/(751)%20BU%20Allocations/5.%202007%20BU%20Allocation%20Percentages/Allocation%20of%20Forecasted%20Pension%20Costs%202007-2016%20-%20With%20Asset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xeloncorp.sharepoint.com/2005%20Budgets/2005%20Khalix%20Budget%20Reports/2005%20CapEx%20(By%20VP%20By%20Dept)%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90" zoomScaleNormal="90" workbookViewId="0">
      <selection activeCell="N23" sqref="N23"/>
    </sheetView>
  </sheetViews>
  <sheetFormatPr defaultRowHeight="14.5"/>
  <cols>
    <col min="1" max="1" width="16.54296875" customWidth="1"/>
    <col min="2" max="2" width="16.1796875" customWidth="1"/>
    <col min="3" max="3" width="34.81640625" bestFit="1"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7265625" customWidth="1"/>
  </cols>
  <sheetData>
    <row r="1" spans="1:13" ht="23.15" customHeight="1">
      <c r="A1" t="s">
        <v>0</v>
      </c>
      <c r="B1" s="9" t="s">
        <v>1</v>
      </c>
    </row>
    <row r="2" spans="1:13">
      <c r="A2" s="863" t="s">
        <v>2</v>
      </c>
      <c r="B2" s="863"/>
      <c r="C2" s="864"/>
      <c r="D2" s="854"/>
      <c r="E2" s="151" t="s">
        <v>3</v>
      </c>
      <c r="F2" s="865" t="s">
        <v>4</v>
      </c>
      <c r="G2" s="866"/>
      <c r="H2" s="867"/>
      <c r="I2" s="868" t="s">
        <v>5</v>
      </c>
      <c r="J2" s="869"/>
      <c r="K2" s="869"/>
      <c r="L2" s="869"/>
      <c r="M2" s="870"/>
    </row>
    <row r="3" spans="1:13" ht="72.5">
      <c r="A3" s="152" t="s">
        <v>6</v>
      </c>
      <c r="B3" s="153" t="s">
        <v>7</v>
      </c>
      <c r="C3" s="154" t="s">
        <v>8</v>
      </c>
      <c r="D3" s="154" t="s">
        <v>9</v>
      </c>
      <c r="E3" s="155" t="s">
        <v>10</v>
      </c>
      <c r="F3" s="156" t="s">
        <v>11</v>
      </c>
      <c r="G3" s="156" t="s">
        <v>12</v>
      </c>
      <c r="H3" s="156" t="s">
        <v>13</v>
      </c>
      <c r="I3" s="157" t="s">
        <v>14</v>
      </c>
      <c r="J3" s="157" t="s">
        <v>15</v>
      </c>
      <c r="K3" s="158" t="s">
        <v>16</v>
      </c>
      <c r="L3" s="158" t="s">
        <v>17</v>
      </c>
      <c r="M3" s="158" t="s">
        <v>18</v>
      </c>
    </row>
    <row r="4" spans="1:13">
      <c r="A4" s="159" t="s">
        <v>19</v>
      </c>
      <c r="B4" s="160" t="s">
        <v>20</v>
      </c>
      <c r="C4" s="159" t="s">
        <v>21</v>
      </c>
      <c r="D4" s="161" t="s">
        <v>22</v>
      </c>
      <c r="E4" s="159">
        <f>'Ap B - Qtr Electric Master'!$F$8</f>
        <v>1635</v>
      </c>
      <c r="F4" s="163"/>
      <c r="G4" s="164">
        <f>SUM(' Ap C - Qtr Electric LMI'!$F$8:$G$8)</f>
        <v>409.75299999999999</v>
      </c>
      <c r="H4" s="164">
        <f>'Ap B - Qtr Electric Master'!$J$8</f>
        <v>2209.2157500000003</v>
      </c>
      <c r="I4" s="165">
        <f>'Ap B - Qtr Electric Master'!$N$8</f>
        <v>778.22423570000001</v>
      </c>
      <c r="J4" s="165">
        <f>'Ap B - Qtr Electric Master'!$S$8</f>
        <v>12310.982684899998</v>
      </c>
      <c r="K4" s="231">
        <f>'Ap B - Qtr Electric Master'!$Q$8</f>
        <v>0.32473688499999998</v>
      </c>
      <c r="L4" s="13"/>
      <c r="M4" s="13"/>
    </row>
    <row r="5" spans="1:13">
      <c r="A5" s="159" t="s">
        <v>19</v>
      </c>
      <c r="B5" s="160" t="s">
        <v>20</v>
      </c>
      <c r="C5" s="159" t="s">
        <v>21</v>
      </c>
      <c r="D5" s="161" t="s">
        <v>23</v>
      </c>
      <c r="E5" s="159">
        <f>'Ap B - Qtr Electric Master'!$F$9</f>
        <v>3370</v>
      </c>
      <c r="F5" s="163"/>
      <c r="G5" s="164"/>
      <c r="H5" s="164">
        <f>'Ap B - Qtr Electric Master'!$J$9</f>
        <v>1667.4507599999999</v>
      </c>
      <c r="I5" s="165">
        <f>'Ap B - Qtr Electric Master'!$N$9</f>
        <v>397.4117</v>
      </c>
      <c r="J5" s="165">
        <f>'Ap B - Qtr Electric Master'!$S$9</f>
        <v>4463.6868000000004</v>
      </c>
      <c r="K5" s="231">
        <f>'Ap B - Qtr Electric Master'!$Q$9</f>
        <v>4.6920999999999997E-2</v>
      </c>
      <c r="L5" s="13"/>
      <c r="M5" s="13"/>
    </row>
    <row r="6" spans="1:13">
      <c r="A6" s="159" t="s">
        <v>19</v>
      </c>
      <c r="B6" s="160" t="s">
        <v>20</v>
      </c>
      <c r="C6" s="159" t="s">
        <v>21</v>
      </c>
      <c r="D6" s="161" t="s">
        <v>24</v>
      </c>
      <c r="E6" s="159">
        <f>'Ap B - Qtr Electric Master'!$F$10</f>
        <v>1815</v>
      </c>
      <c r="F6" s="163"/>
      <c r="G6" s="164"/>
      <c r="H6" s="164">
        <f>'Ap B - Qtr Electric Master'!$J$10</f>
        <v>766.37630999999999</v>
      </c>
      <c r="I6" s="165">
        <f>'Ap B - Qtr Electric Master'!$N$10</f>
        <v>2010.6659999999999</v>
      </c>
      <c r="J6" s="165">
        <f>'Ap B - Qtr Electric Master'!$S$10</f>
        <v>9782.9770000000008</v>
      </c>
      <c r="K6" s="231">
        <f>'Ap B - Qtr Electric Master'!$Q$10</f>
        <v>0.32160499999999997</v>
      </c>
      <c r="L6" s="13"/>
      <c r="M6" s="13"/>
    </row>
    <row r="7" spans="1:13">
      <c r="A7" s="159" t="s">
        <v>19</v>
      </c>
      <c r="B7" s="160" t="s">
        <v>20</v>
      </c>
      <c r="C7" s="159" t="s">
        <v>21</v>
      </c>
      <c r="D7" s="161" t="s">
        <v>25</v>
      </c>
      <c r="E7" s="159">
        <f>'Ap B - Qtr Electric Master'!$F$11</f>
        <v>3757</v>
      </c>
      <c r="F7" s="163"/>
      <c r="G7" s="164"/>
      <c r="H7" s="164">
        <f>'Ap B - Qtr Electric Master'!$J$11</f>
        <v>449.50813000000005</v>
      </c>
      <c r="I7" s="165"/>
      <c r="J7" s="165"/>
      <c r="K7" s="231"/>
      <c r="L7" s="13"/>
      <c r="M7" s="13"/>
    </row>
    <row r="8" spans="1:13">
      <c r="A8" s="159" t="s">
        <v>19</v>
      </c>
      <c r="B8" s="160" t="s">
        <v>20</v>
      </c>
      <c r="C8" s="159" t="s">
        <v>21</v>
      </c>
      <c r="D8" s="161" t="s">
        <v>26</v>
      </c>
      <c r="E8" s="159">
        <f>'Ap B - Qtr Electric Master'!$F$12</f>
        <v>26502</v>
      </c>
      <c r="F8" s="163"/>
      <c r="G8" s="164">
        <f>SUM(' Ap C - Qtr Electric LMI'!$F$9:$G$9)</f>
        <v>734.26700000000005</v>
      </c>
      <c r="H8" s="164">
        <f>'Ap B - Qtr Electric Master'!$J$12</f>
        <v>0</v>
      </c>
      <c r="I8" s="165">
        <f>'Ap B - Qtr Electric Master'!$N$12</f>
        <v>7199.8902173000006</v>
      </c>
      <c r="J8" s="165">
        <f>'Ap B - Qtr Electric Master'!$S$12</f>
        <v>88927.514059499998</v>
      </c>
      <c r="K8" s="231">
        <f>'Ap B - Qtr Electric Master'!$Q$12</f>
        <v>0.655449116</v>
      </c>
      <c r="L8" s="13"/>
      <c r="M8" s="13"/>
    </row>
    <row r="9" spans="1:13">
      <c r="A9" s="159" t="s">
        <v>19</v>
      </c>
      <c r="B9" s="160" t="s">
        <v>20</v>
      </c>
      <c r="C9" s="159" t="s">
        <v>21</v>
      </c>
      <c r="D9" s="166" t="s">
        <v>27</v>
      </c>
      <c r="E9" s="167">
        <f>'Ap B - Qtr Electric Master'!$F$13</f>
        <v>165239</v>
      </c>
      <c r="F9" s="163"/>
      <c r="G9" s="164">
        <f>SUM(' Ap C - Qtr Electric LMI'!$F$10:$G$10)</f>
        <v>860.71100000000001</v>
      </c>
      <c r="H9" s="164">
        <f>'Ap B - Qtr Electric Master'!$J$13</f>
        <v>897.26441999999997</v>
      </c>
      <c r="I9" s="165">
        <f>'Ap B - Qtr Electric Master'!$N$13</f>
        <v>25374.545900000001</v>
      </c>
      <c r="J9" s="165">
        <f>'Ap B - Qtr Electric Master'!$S$13</f>
        <v>380618.18900000001</v>
      </c>
      <c r="K9" s="231">
        <f>'Ap B - Qtr Electric Master'!$Q$13</f>
        <v>1.9019870000000001</v>
      </c>
      <c r="L9" s="13"/>
      <c r="M9" s="13"/>
    </row>
    <row r="10" spans="1:13">
      <c r="A10" s="159" t="s">
        <v>19</v>
      </c>
      <c r="B10" s="160" t="s">
        <v>20</v>
      </c>
      <c r="C10" s="159" t="s">
        <v>21</v>
      </c>
      <c r="D10" s="161"/>
      <c r="E10" s="162"/>
      <c r="F10" s="310">
        <f>'Ap B - Qtr Electric Master'!$I$14</f>
        <v>5012.5690000000004</v>
      </c>
      <c r="G10" s="311"/>
      <c r="H10" s="311"/>
      <c r="I10" s="165"/>
      <c r="J10" s="165"/>
      <c r="K10" s="231"/>
      <c r="L10" s="13"/>
      <c r="M10" s="13"/>
    </row>
    <row r="11" spans="1:13">
      <c r="A11" s="159" t="s">
        <v>19</v>
      </c>
      <c r="B11" s="160" t="s">
        <v>20</v>
      </c>
      <c r="C11" s="159" t="s">
        <v>28</v>
      </c>
      <c r="D11" s="161" t="s">
        <v>29</v>
      </c>
      <c r="E11" s="162">
        <f>'Ap B - Qtr Electric Master'!$F$15</f>
        <v>99</v>
      </c>
      <c r="F11" s="310">
        <f>'Ap B - Qtr Electric Master'!$I$15</f>
        <v>2943.2649999999999</v>
      </c>
      <c r="G11" s="311">
        <f>SUM(' Ap C - Qtr Electric LMI'!$F$11:$G$11)</f>
        <v>389.572</v>
      </c>
      <c r="H11" s="311">
        <f>'Ap B - Qtr Electric Master'!$J$15</f>
        <v>1412.91956</v>
      </c>
      <c r="I11" s="165">
        <f>'Ap B - Qtr Electric Master'!$N$15</f>
        <v>72.181799999999996</v>
      </c>
      <c r="J11" s="165">
        <f>'Ap B - Qtr Electric Master'!$S$15</f>
        <v>1819.6721</v>
      </c>
      <c r="K11" s="231">
        <f>'Ap B - Qtr Electric Master'!$Q$15</f>
        <v>0</v>
      </c>
      <c r="L11" s="13"/>
      <c r="M11" s="13"/>
    </row>
    <row r="12" spans="1:13">
      <c r="A12" s="159" t="s">
        <v>19</v>
      </c>
      <c r="B12" s="160" t="s">
        <v>20</v>
      </c>
      <c r="C12" s="159" t="s">
        <v>28</v>
      </c>
      <c r="D12" s="161" t="s">
        <v>30</v>
      </c>
      <c r="E12" s="162">
        <f>'Ap B - Qtr Electric Master'!$F$16</f>
        <v>4108</v>
      </c>
      <c r="F12" s="310">
        <f>'Ap B - Qtr Electric Master'!$I$16</f>
        <v>3681.07</v>
      </c>
      <c r="G12" s="311">
        <f>SUM(' Ap C - Qtr Electric LMI'!$F$12:$G$12)</f>
        <v>941.78800000000001</v>
      </c>
      <c r="H12" s="311">
        <f>'Ap B - Qtr Electric Master'!$J$16</f>
        <v>711.73099999999999</v>
      </c>
      <c r="I12" s="165">
        <f>'Ap B - Qtr Electric Master'!$N$16</f>
        <v>2035.2485999999999</v>
      </c>
      <c r="J12" s="165">
        <f>'Ap B - Qtr Electric Master'!$S$16</f>
        <v>27334.491000000002</v>
      </c>
      <c r="K12" s="231">
        <f>'Ap B - Qtr Electric Master'!$Q$16</f>
        <v>0.14109099999999999</v>
      </c>
      <c r="L12" s="13"/>
      <c r="M12" s="13"/>
    </row>
    <row r="13" spans="1:13">
      <c r="A13" s="159" t="s">
        <v>19</v>
      </c>
      <c r="B13" s="160" t="s">
        <v>20</v>
      </c>
      <c r="C13" s="159" t="s">
        <v>28</v>
      </c>
      <c r="D13" s="161" t="s">
        <v>31</v>
      </c>
      <c r="E13" s="162">
        <f>'Ap B - Qtr Electric Master'!$F$17</f>
        <v>212</v>
      </c>
      <c r="F13" s="310">
        <f>'Ap B - Qtr Electric Master'!$I$17</f>
        <v>4214.8360000000002</v>
      </c>
      <c r="G13" s="311">
        <f>SUM(' Ap C - Qtr Electric LMI'!$F$13:$G$13)</f>
        <v>128</v>
      </c>
      <c r="H13" s="311">
        <f>'Ap B - Qtr Electric Master'!$J$17</f>
        <v>924.50788999999997</v>
      </c>
      <c r="I13" s="165">
        <f>'Ap B - Qtr Electric Master'!$N$17</f>
        <v>281.21839999999997</v>
      </c>
      <c r="J13" s="165">
        <f>'Ap B - Qtr Electric Master'!$S$17</f>
        <v>3649.3631999999998</v>
      </c>
      <c r="K13" s="231">
        <f>'Ap B - Qtr Electric Master'!$Q$17</f>
        <v>1.6879000000000002E-2</v>
      </c>
      <c r="L13" s="13"/>
      <c r="M13" s="13"/>
    </row>
    <row r="14" spans="1:13">
      <c r="A14" s="159" t="s">
        <v>19</v>
      </c>
      <c r="B14" s="160" t="s">
        <v>20</v>
      </c>
      <c r="C14" s="159" t="s">
        <v>32</v>
      </c>
      <c r="D14" s="161" t="s">
        <v>33</v>
      </c>
      <c r="E14" s="856">
        <f>'Ap B - Qtr Electric Master'!$F$18</f>
        <v>223011</v>
      </c>
      <c r="F14" s="310">
        <f>'Ap B - Qtr Electric Master'!$I$18</f>
        <v>0</v>
      </c>
      <c r="G14" s="311">
        <f>SUM(' Ap C - Qtr Electric LMI'!$F$14:$G$14)</f>
        <v>0</v>
      </c>
      <c r="H14" s="311">
        <f>'Ap B - Qtr Electric Master'!$J$18</f>
        <v>286.07578000000001</v>
      </c>
      <c r="I14" s="165">
        <f>'Ap B - Qtr Electric Master'!$N$18</f>
        <v>8623</v>
      </c>
      <c r="J14" s="165">
        <f>'Ap B - Qtr Electric Master'!$S$18</f>
        <v>8623</v>
      </c>
      <c r="K14" s="231">
        <f>'Ap B - Qtr Electric Master'!$Q$18</f>
        <v>2.2930000000000001</v>
      </c>
      <c r="L14" s="13"/>
      <c r="M14" s="13"/>
    </row>
    <row r="15" spans="1:13">
      <c r="A15" s="159" t="s">
        <v>19</v>
      </c>
      <c r="B15" s="160" t="s">
        <v>34</v>
      </c>
      <c r="C15" s="159" t="s">
        <v>35</v>
      </c>
      <c r="D15" s="161" t="s">
        <v>35</v>
      </c>
      <c r="E15" s="162">
        <f>'Ap B - Qtr Electric Master'!$F$22</f>
        <v>25</v>
      </c>
      <c r="F15" s="310">
        <f>'Ap B - Qtr Electric Master'!$I$22</f>
        <v>8648.4900000000016</v>
      </c>
      <c r="G15" s="311"/>
      <c r="H15" s="311">
        <f>'Ap B - Qtr Electric Master'!$J$22</f>
        <v>2013.53027</v>
      </c>
      <c r="I15" s="165">
        <f>'Ap B - Qtr Electric Master'!$N$22</f>
        <v>377.76420000000002</v>
      </c>
      <c r="J15" s="165">
        <f>'Ap B - Qtr Electric Master'!$S$22</f>
        <v>5615.2767000000003</v>
      </c>
      <c r="K15" s="231">
        <f>'Ap B - Qtr Electric Master'!$Q$22</f>
        <v>4.3411999999999999E-2</v>
      </c>
      <c r="L15" s="13"/>
      <c r="M15" s="13"/>
    </row>
    <row r="16" spans="1:13">
      <c r="A16" s="159" t="s">
        <v>19</v>
      </c>
      <c r="B16" s="160" t="s">
        <v>34</v>
      </c>
      <c r="C16" s="159" t="s">
        <v>36</v>
      </c>
      <c r="D16" s="161" t="s">
        <v>37</v>
      </c>
      <c r="E16" s="162">
        <f>'Ap B - Qtr Electric Master'!$F$23</f>
        <v>290</v>
      </c>
      <c r="F16" s="310">
        <f>'Ap B - Qtr Electric Master'!$I$23</f>
        <v>7783.433</v>
      </c>
      <c r="G16" s="857">
        <f>SUM(' Ap D - Qtr Electric Business'!$F$9:$G$9)</f>
        <v>3865.5877599999999</v>
      </c>
      <c r="H16" s="311">
        <f>'Ap B - Qtr Electric Master'!$J$23</f>
        <v>5408.0384300000005</v>
      </c>
      <c r="I16" s="165">
        <f>'Ap B - Qtr Electric Master'!$N$23</f>
        <v>20686.080999999998</v>
      </c>
      <c r="J16" s="165">
        <f>'Ap B - Qtr Electric Master'!$S$23</f>
        <v>296445.1067</v>
      </c>
      <c r="K16" s="231">
        <f>'Ap B - Qtr Electric Master'!$Q$23</f>
        <v>3.1167760000000002</v>
      </c>
      <c r="L16" s="13"/>
      <c r="M16" s="13"/>
    </row>
    <row r="17" spans="1:13">
      <c r="A17" s="159" t="s">
        <v>19</v>
      </c>
      <c r="B17" s="160" t="s">
        <v>34</v>
      </c>
      <c r="C17" s="159" t="s">
        <v>36</v>
      </c>
      <c r="D17" s="161" t="s">
        <v>38</v>
      </c>
      <c r="E17" s="162">
        <f>'Ap B - Qtr Electric Master'!$F$24</f>
        <v>2</v>
      </c>
      <c r="F17" s="310">
        <f>'Ap B - Qtr Electric Master'!$I$24</f>
        <v>279.64699999999999</v>
      </c>
      <c r="G17" s="857">
        <f>SUM(' Ap D - Qtr Electric Business'!$F$10:$G$10)</f>
        <v>2</v>
      </c>
      <c r="H17" s="311">
        <f>'Ap B - Qtr Electric Master'!$J$24</f>
        <v>560.18682999999999</v>
      </c>
      <c r="I17" s="165">
        <f>'Ap B - Qtr Electric Master'!$N$24</f>
        <v>482</v>
      </c>
      <c r="J17" s="165">
        <f>'Ap B - Qtr Electric Master'!$S$24</f>
        <v>4434.3999999999996</v>
      </c>
      <c r="K17" s="231">
        <f>'Ap B - Qtr Electric Master'!$Q$24</f>
        <v>3.3000000000000002E-2</v>
      </c>
      <c r="L17" s="13"/>
      <c r="M17" s="13"/>
    </row>
    <row r="18" spans="1:13">
      <c r="A18" s="159" t="s">
        <v>19</v>
      </c>
      <c r="B18" s="160" t="s">
        <v>34</v>
      </c>
      <c r="C18" s="159" t="s">
        <v>36</v>
      </c>
      <c r="D18" s="161" t="s">
        <v>39</v>
      </c>
      <c r="E18" s="162">
        <f>'Ap B - Qtr Electric Master'!$F$25</f>
        <v>0</v>
      </c>
      <c r="F18" s="310">
        <f>'Ap B - Qtr Electric Master'!$I$25</f>
        <v>1146.1969999999999</v>
      </c>
      <c r="G18" s="311">
        <f>SUM(' Ap D - Qtr Electric Business'!$F$11:$G$11)</f>
        <v>0</v>
      </c>
      <c r="H18" s="311">
        <f>'Ap B - Qtr Electric Master'!$J$25</f>
        <v>889.54555000000005</v>
      </c>
      <c r="I18" s="165">
        <f>'Ap B - Qtr Electric Master'!$N$25</f>
        <v>0</v>
      </c>
      <c r="J18" s="165">
        <f>'Ap B - Qtr Electric Master'!$S$25</f>
        <v>0</v>
      </c>
      <c r="K18" s="231">
        <f>'Ap B - Qtr Electric Master'!$Q$25</f>
        <v>0</v>
      </c>
      <c r="L18" s="13"/>
      <c r="M18" s="13"/>
    </row>
    <row r="19" spans="1:13">
      <c r="A19" s="159" t="s">
        <v>19</v>
      </c>
      <c r="B19" s="160" t="s">
        <v>40</v>
      </c>
      <c r="C19" s="159" t="s">
        <v>40</v>
      </c>
      <c r="D19" s="161" t="s">
        <v>29</v>
      </c>
      <c r="E19" s="162">
        <f>'Ap B - Qtr Electric Master'!$F$28</f>
        <v>3</v>
      </c>
      <c r="F19" s="310"/>
      <c r="G19" s="311">
        <f>SUM(' Ap C - Qtr Electric LMI'!$F$17:$G$17)</f>
        <v>156</v>
      </c>
      <c r="H19" s="311"/>
      <c r="I19" s="165">
        <f>'Ap B - Qtr Electric Master'!$N$28</f>
        <v>0</v>
      </c>
      <c r="J19" s="165">
        <f>'Ap B - Qtr Electric Master'!$S$28</f>
        <v>0</v>
      </c>
      <c r="K19" s="231">
        <f>'Ap B - Qtr Electric Master'!$Q$28</f>
        <v>0</v>
      </c>
      <c r="L19" s="13"/>
      <c r="M19" s="13"/>
    </row>
    <row r="20" spans="1:13">
      <c r="A20" s="159" t="s">
        <v>19</v>
      </c>
      <c r="B20" s="160" t="s">
        <v>40</v>
      </c>
      <c r="C20" s="159" t="s">
        <v>40</v>
      </c>
      <c r="D20" s="161" t="s">
        <v>35</v>
      </c>
      <c r="E20" s="162">
        <f>'Ap B - Qtr Electric Master'!$F$29</f>
        <v>1374</v>
      </c>
      <c r="F20" s="310"/>
      <c r="G20" s="311">
        <f>SUM(' Ap C - Qtr Electric LMI'!$F$18:$G$18)</f>
        <v>204.30600000000001</v>
      </c>
      <c r="H20" s="311"/>
      <c r="I20" s="165">
        <f>'Ap B - Qtr Electric Master'!$N$29</f>
        <v>735.91510000000005</v>
      </c>
      <c r="J20" s="165">
        <f>'Ap B - Qtr Electric Master'!$S$29</f>
        <v>8521.7417000000005</v>
      </c>
      <c r="K20" s="231">
        <f>'Ap B - Qtr Electric Master'!$Q$29</f>
        <v>3.3218999999999999E-2</v>
      </c>
      <c r="L20" s="13"/>
      <c r="M20" s="13"/>
    </row>
    <row r="21" spans="1:13">
      <c r="A21" s="159" t="s">
        <v>19</v>
      </c>
      <c r="B21" s="160" t="s">
        <v>40</v>
      </c>
      <c r="C21" s="159" t="s">
        <v>40</v>
      </c>
      <c r="D21" s="161" t="s">
        <v>37</v>
      </c>
      <c r="E21" s="162">
        <f>'Ap B - Qtr Electric Master'!$F$30</f>
        <v>0</v>
      </c>
      <c r="F21" s="310"/>
      <c r="G21" s="311">
        <f>SUM(' Ap D - Qtr Electric Business'!$F$14:$G$14)</f>
        <v>0</v>
      </c>
      <c r="H21" s="311"/>
      <c r="I21" s="165">
        <f>'Ap B - Qtr Electric Master'!$N$30</f>
        <v>0</v>
      </c>
      <c r="J21" s="165">
        <f>'Ap B - Qtr Electric Master'!$S$30</f>
        <v>0</v>
      </c>
      <c r="K21" s="231">
        <f>'Ap B - Qtr Electric Master'!$Q$30</f>
        <v>0</v>
      </c>
      <c r="L21" s="13"/>
      <c r="M21" s="13"/>
    </row>
    <row r="22" spans="1:13">
      <c r="A22" s="159" t="s">
        <v>19</v>
      </c>
      <c r="B22" s="160" t="s">
        <v>40</v>
      </c>
      <c r="C22" s="159" t="s">
        <v>40</v>
      </c>
      <c r="D22" s="161" t="s">
        <v>39</v>
      </c>
      <c r="E22" s="162">
        <f>'Ap B - Qtr Electric Master'!$F$31</f>
        <v>0</v>
      </c>
      <c r="F22" s="310"/>
      <c r="G22" s="311">
        <f>SUM(' Ap D - Qtr Electric Business'!$F$15:$G$15)</f>
        <v>0</v>
      </c>
      <c r="H22" s="311"/>
      <c r="I22" s="165">
        <f>'Ap B - Qtr Electric Master'!$N$31</f>
        <v>0</v>
      </c>
      <c r="J22" s="165">
        <f>'Ap B - Qtr Electric Master'!$S$31</f>
        <v>0</v>
      </c>
      <c r="K22" s="231">
        <f>'Ap B - Qtr Electric Master'!$Q$31</f>
        <v>0</v>
      </c>
      <c r="L22" s="13"/>
      <c r="M22" s="13"/>
    </row>
    <row r="23" spans="1:13">
      <c r="A23" s="159" t="s">
        <v>19</v>
      </c>
      <c r="B23" s="160" t="s">
        <v>40</v>
      </c>
      <c r="C23" s="159" t="s">
        <v>40</v>
      </c>
      <c r="D23" s="161"/>
      <c r="E23" s="162"/>
      <c r="F23" s="310">
        <f>'Ap B - Qtr Electric Master'!$I$32</f>
        <v>1364.884</v>
      </c>
      <c r="G23" s="311"/>
      <c r="H23" s="311">
        <f>'Ap B - Qtr Electric Master'!$J$32</f>
        <v>756.12381000000005</v>
      </c>
      <c r="I23" s="165"/>
      <c r="J23" s="165"/>
      <c r="K23" s="165"/>
      <c r="L23" s="13"/>
      <c r="M23" s="13"/>
    </row>
    <row r="24" spans="1:13">
      <c r="A24" s="159" t="s">
        <v>19</v>
      </c>
      <c r="B24" s="159" t="s">
        <v>41</v>
      </c>
      <c r="C24" s="159" t="s">
        <v>41</v>
      </c>
      <c r="D24" s="159" t="s">
        <v>41</v>
      </c>
      <c r="E24" s="162">
        <f>'Tables 2-6'!$C$21</f>
        <v>431949</v>
      </c>
      <c r="F24" s="310">
        <f>'Tables 2-6'!$D$32</f>
        <v>0</v>
      </c>
      <c r="G24" s="311"/>
      <c r="H24" s="311">
        <f>'Tables 2-6'!$C$32</f>
        <v>0</v>
      </c>
      <c r="I24" s="165">
        <f>'Tables 2-6'!$C$42</f>
        <v>0</v>
      </c>
      <c r="J24" s="165"/>
      <c r="K24" s="165"/>
      <c r="L24" s="13"/>
      <c r="M24" s="13"/>
    </row>
    <row r="25" spans="1:13">
      <c r="A25" s="159" t="s">
        <v>19</v>
      </c>
      <c r="B25" s="159" t="s">
        <v>42</v>
      </c>
      <c r="C25" s="159" t="s">
        <v>42</v>
      </c>
      <c r="D25" s="161"/>
      <c r="E25" s="162"/>
      <c r="F25" s="310">
        <f>'Ap B - Qtr Electric Master'!I38</f>
        <v>950</v>
      </c>
      <c r="G25" s="311"/>
      <c r="H25" s="311">
        <f>'Ap B - Qtr Electric Master'!J38</f>
        <v>890.28000000000009</v>
      </c>
      <c r="I25" s="165"/>
      <c r="J25" s="165"/>
      <c r="K25" s="165"/>
      <c r="L25" s="13"/>
      <c r="M25" s="13"/>
    </row>
    <row r="26" spans="1:13">
      <c r="A26" s="159"/>
      <c r="B26" s="160"/>
      <c r="C26" s="159"/>
      <c r="D26" s="161"/>
      <c r="E26" s="162"/>
      <c r="F26" s="163"/>
      <c r="G26" s="164"/>
      <c r="H26" s="164"/>
      <c r="I26" s="165"/>
      <c r="J26" s="165"/>
      <c r="K26" s="165"/>
      <c r="L26" s="13"/>
      <c r="M26" s="13"/>
    </row>
    <row r="27" spans="1:13">
      <c r="A27" s="159"/>
      <c r="B27" s="160"/>
      <c r="C27" s="159"/>
      <c r="D27" s="161"/>
      <c r="E27" s="162"/>
      <c r="F27" s="163"/>
      <c r="G27" s="164"/>
      <c r="H27" s="164"/>
      <c r="I27" s="165"/>
      <c r="J27" s="165"/>
      <c r="K27" s="165"/>
      <c r="L27" s="13"/>
      <c r="M27" s="13"/>
    </row>
    <row r="28" spans="1:13">
      <c r="A28" s="159"/>
      <c r="B28" s="160"/>
      <c r="C28" s="159"/>
      <c r="D28" s="161"/>
      <c r="E28" s="162"/>
      <c r="F28" s="163"/>
      <c r="G28" s="164"/>
      <c r="H28" s="164"/>
      <c r="I28" s="165"/>
      <c r="J28" s="165"/>
      <c r="K28" s="165"/>
      <c r="L28" s="13"/>
      <c r="M28" s="13"/>
    </row>
    <row r="29" spans="1:13">
      <c r="A29" s="159"/>
      <c r="B29" s="160"/>
      <c r="C29" s="159"/>
      <c r="D29" s="161"/>
      <c r="E29" s="162"/>
      <c r="F29" s="163"/>
      <c r="G29" s="164"/>
      <c r="H29" s="164"/>
      <c r="I29" s="165"/>
      <c r="J29" s="165"/>
      <c r="K29" s="165"/>
      <c r="L29" s="13"/>
      <c r="M29" s="13"/>
    </row>
    <row r="30" spans="1:13">
      <c r="A30" s="159"/>
      <c r="B30" s="160"/>
      <c r="C30" s="159"/>
      <c r="D30" s="161"/>
      <c r="E30" s="162"/>
      <c r="F30" s="163"/>
      <c r="G30" s="164"/>
      <c r="H30" s="164"/>
      <c r="I30" s="165"/>
      <c r="J30" s="165"/>
      <c r="K30" s="165"/>
      <c r="L30" s="13"/>
      <c r="M30" s="13"/>
    </row>
    <row r="31" spans="1:13">
      <c r="A31" s="159"/>
      <c r="B31" s="160"/>
      <c r="C31" s="159"/>
      <c r="D31" s="161"/>
      <c r="E31" s="162"/>
      <c r="F31" s="163"/>
      <c r="G31" s="164"/>
      <c r="H31" s="164"/>
      <c r="I31" s="165"/>
      <c r="J31" s="165"/>
      <c r="K31" s="165"/>
      <c r="L31" s="13"/>
      <c r="M31" s="13"/>
    </row>
  </sheetData>
  <mergeCells count="3">
    <mergeCell ref="A2:C2"/>
    <mergeCell ref="F2:H2"/>
    <mergeCell ref="I2:M2"/>
  </mergeCells>
  <conditionalFormatting sqref="G4:H31">
    <cfRule type="expression" dxfId="0" priority="1">
      <formula>IF(#REF!&gt;1,TRUE,FALSE)</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23"/>
  <sheetViews>
    <sheetView showGridLines="0" tabSelected="1" zoomScaleNormal="100" zoomScaleSheetLayoutView="100" workbookViewId="0">
      <selection activeCell="M2" sqref="M2"/>
    </sheetView>
  </sheetViews>
  <sheetFormatPr defaultColWidth="9.26953125" defaultRowHeight="14.5"/>
  <cols>
    <col min="1" max="1" width="4.26953125" customWidth="1"/>
    <col min="2" max="2" width="22.1796875" customWidth="1"/>
    <col min="3" max="3" width="35" customWidth="1"/>
    <col min="4" max="4" width="16.26953125" customWidth="1"/>
    <col min="5" max="5" width="15.54296875" customWidth="1"/>
    <col min="6" max="6" width="17.453125" customWidth="1"/>
    <col min="7" max="7" width="17.26953125" customWidth="1"/>
    <col min="8" max="8" width="16.81640625" customWidth="1"/>
    <col min="9" max="9" width="17" customWidth="1"/>
    <col min="10" max="15" width="16.26953125" customWidth="1"/>
    <col min="20" max="20" width="9.26953125" hidden="1" customWidth="1"/>
    <col min="21" max="21" width="8.81640625" hidden="1" customWidth="1"/>
    <col min="22" max="22" width="50.7265625" hidden="1" customWidth="1"/>
    <col min="23" max="24" width="13.7265625" hidden="1" customWidth="1"/>
    <col min="25" max="25" width="10.453125" hidden="1" customWidth="1"/>
    <col min="26" max="27" width="13.7265625" hidden="1" customWidth="1"/>
    <col min="28" max="28" width="10.453125" hidden="1" customWidth="1"/>
  </cols>
  <sheetData>
    <row r="1" spans="1:28" ht="23.5">
      <c r="A1" s="1" t="s">
        <v>184</v>
      </c>
    </row>
    <row r="3" spans="1:28" ht="19" thickBot="1">
      <c r="A3" s="5"/>
      <c r="B3" s="5" t="s">
        <v>185</v>
      </c>
      <c r="C3" s="5"/>
      <c r="D3" s="5"/>
      <c r="E3" s="5"/>
      <c r="F3" s="5"/>
      <c r="G3" s="5"/>
      <c r="H3" s="5"/>
    </row>
    <row r="4" spans="1:28" ht="43.15" customHeight="1" thickBot="1">
      <c r="A4" t="s">
        <v>148</v>
      </c>
      <c r="B4" s="56"/>
      <c r="C4" s="28"/>
      <c r="D4" s="932" t="s">
        <v>186</v>
      </c>
      <c r="E4" s="933"/>
      <c r="F4" s="934" t="s">
        <v>250</v>
      </c>
      <c r="G4" s="935"/>
      <c r="H4" s="936" t="s">
        <v>188</v>
      </c>
      <c r="I4" s="937"/>
    </row>
    <row r="5" spans="1:28" ht="21" customHeight="1" thickBot="1">
      <c r="B5" s="71"/>
      <c r="C5" s="30"/>
      <c r="D5" s="57" t="s">
        <v>190</v>
      </c>
      <c r="E5" s="59" t="s">
        <v>191</v>
      </c>
      <c r="F5" s="65" t="s">
        <v>192</v>
      </c>
      <c r="G5" s="66" t="s">
        <v>251</v>
      </c>
      <c r="H5" s="58" t="s">
        <v>194</v>
      </c>
      <c r="I5" s="61" t="s">
        <v>195</v>
      </c>
      <c r="J5" s="318" t="s">
        <v>196</v>
      </c>
      <c r="K5" s="361" t="s">
        <v>264</v>
      </c>
      <c r="L5" s="318" t="s">
        <v>198</v>
      </c>
      <c r="M5" s="319" t="s">
        <v>199</v>
      </c>
      <c r="N5" s="318" t="s">
        <v>200</v>
      </c>
      <c r="O5" s="319" t="s">
        <v>265</v>
      </c>
    </row>
    <row r="6" spans="1:28" ht="52.5" customHeight="1" thickBot="1">
      <c r="B6" s="72"/>
      <c r="C6" s="29"/>
      <c r="D6" s="938" t="s">
        <v>10</v>
      </c>
      <c r="E6" s="939"/>
      <c r="F6" s="921" t="s">
        <v>252</v>
      </c>
      <c r="G6" s="922"/>
      <c r="H6" s="923" t="s">
        <v>217</v>
      </c>
      <c r="I6" s="940"/>
      <c r="J6" s="923" t="s">
        <v>266</v>
      </c>
      <c r="K6" s="940"/>
      <c r="L6" s="923" t="s">
        <v>267</v>
      </c>
      <c r="M6" s="940"/>
      <c r="N6" s="923" t="s">
        <v>268</v>
      </c>
      <c r="O6" s="940"/>
      <c r="T6" s="349"/>
      <c r="U6" s="349"/>
      <c r="V6" s="349"/>
      <c r="W6" s="350"/>
      <c r="X6" s="350"/>
      <c r="Y6" s="350"/>
      <c r="Z6" s="350"/>
      <c r="AA6" s="350"/>
      <c r="AB6" s="350"/>
    </row>
    <row r="7" spans="1:28" ht="29.5" thickBot="1">
      <c r="B7" s="53" t="s">
        <v>236</v>
      </c>
      <c r="C7" s="48" t="s">
        <v>9</v>
      </c>
      <c r="D7" s="69" t="s">
        <v>269</v>
      </c>
      <c r="E7" s="70" t="s">
        <v>270</v>
      </c>
      <c r="F7" s="69" t="s">
        <v>269</v>
      </c>
      <c r="G7" s="70" t="s">
        <v>270</v>
      </c>
      <c r="H7" s="69" t="s">
        <v>269</v>
      </c>
      <c r="I7" s="70" t="s">
        <v>270</v>
      </c>
      <c r="J7" s="320" t="s">
        <v>269</v>
      </c>
      <c r="K7" s="362" t="s">
        <v>270</v>
      </c>
      <c r="L7" s="320" t="s">
        <v>269</v>
      </c>
      <c r="M7" s="321" t="s">
        <v>270</v>
      </c>
      <c r="N7" s="360" t="s">
        <v>269</v>
      </c>
      <c r="O7" s="359" t="s">
        <v>270</v>
      </c>
      <c r="T7" s="351"/>
      <c r="U7" s="351"/>
      <c r="V7" s="351"/>
      <c r="W7" s="352"/>
      <c r="X7" s="352"/>
      <c r="Y7" s="352"/>
      <c r="Z7" s="353"/>
      <c r="AA7" s="353"/>
      <c r="AB7" s="353"/>
    </row>
    <row r="8" spans="1:28" ht="15" thickBot="1">
      <c r="B8" s="47" t="s">
        <v>149</v>
      </c>
      <c r="C8" s="32" t="s">
        <v>35</v>
      </c>
      <c r="D8" s="645">
        <v>25</v>
      </c>
      <c r="E8" s="509" t="s">
        <v>109</v>
      </c>
      <c r="F8" s="859">
        <v>211.86414000000002</v>
      </c>
      <c r="G8" s="860" t="s">
        <v>109</v>
      </c>
      <c r="H8" s="646">
        <v>378</v>
      </c>
      <c r="I8" s="509" t="s">
        <v>109</v>
      </c>
      <c r="J8" s="558">
        <v>5318</v>
      </c>
      <c r="K8" s="509" t="s">
        <v>109</v>
      </c>
      <c r="L8" s="558">
        <v>5615</v>
      </c>
      <c r="M8" s="509" t="s">
        <v>109</v>
      </c>
      <c r="N8" s="558">
        <v>5845</v>
      </c>
      <c r="O8" s="509" t="s">
        <v>109</v>
      </c>
      <c r="T8" s="351"/>
      <c r="U8" s="351"/>
      <c r="V8" s="351"/>
      <c r="W8" s="352"/>
      <c r="X8" s="352"/>
      <c r="Y8" s="352"/>
      <c r="Z8" s="353"/>
      <c r="AA8" s="353"/>
      <c r="AB8" s="353"/>
    </row>
    <row r="9" spans="1:28">
      <c r="B9" s="941" t="s">
        <v>36</v>
      </c>
      <c r="C9" s="46" t="s">
        <v>37</v>
      </c>
      <c r="D9" s="647">
        <v>203</v>
      </c>
      <c r="E9" s="648">
        <v>87</v>
      </c>
      <c r="F9" s="861">
        <v>1584.0097599999999</v>
      </c>
      <c r="G9" s="858">
        <v>2281.578</v>
      </c>
      <c r="H9" s="559">
        <v>8249</v>
      </c>
      <c r="I9" s="648">
        <v>12437</v>
      </c>
      <c r="J9" s="559">
        <v>46730</v>
      </c>
      <c r="K9" s="648">
        <v>42722</v>
      </c>
      <c r="L9" s="559">
        <v>122068</v>
      </c>
      <c r="M9" s="560">
        <v>174378</v>
      </c>
      <c r="N9" s="559">
        <f>J9*$Z$8</f>
        <v>50982.43</v>
      </c>
      <c r="O9" s="560">
        <f>K9*$Z$8</f>
        <v>46609.701999999997</v>
      </c>
      <c r="T9" s="351"/>
      <c r="U9" s="351"/>
      <c r="V9" s="351"/>
      <c r="W9" s="352"/>
      <c r="X9" s="352"/>
      <c r="Y9" s="352"/>
      <c r="Z9" s="353"/>
      <c r="AA9" s="353"/>
      <c r="AB9" s="353"/>
    </row>
    <row r="10" spans="1:28">
      <c r="B10" s="942"/>
      <c r="C10" s="45" t="s">
        <v>38</v>
      </c>
      <c r="D10" s="523">
        <v>2</v>
      </c>
      <c r="E10" s="524">
        <v>0</v>
      </c>
      <c r="F10" s="862">
        <v>2</v>
      </c>
      <c r="G10" s="649">
        <v>0</v>
      </c>
      <c r="H10" s="650">
        <v>482</v>
      </c>
      <c r="I10" s="524">
        <v>0</v>
      </c>
      <c r="J10" s="559">
        <v>2217.1999999999998</v>
      </c>
      <c r="K10" s="524">
        <v>0</v>
      </c>
      <c r="L10" s="559">
        <v>4434.3999999999996</v>
      </c>
      <c r="M10" s="524">
        <v>0</v>
      </c>
      <c r="N10" s="559">
        <f>J10*$Z$11</f>
        <v>2387.9243999999999</v>
      </c>
      <c r="O10" s="524">
        <f>K10*$Z$11</f>
        <v>0</v>
      </c>
      <c r="T10" s="351"/>
      <c r="U10" s="351"/>
      <c r="V10" s="351"/>
      <c r="W10" s="352"/>
      <c r="X10" s="352"/>
      <c r="Y10" s="352"/>
      <c r="Z10" s="353"/>
      <c r="AA10" s="353"/>
      <c r="AB10" s="353"/>
    </row>
    <row r="11" spans="1:28" ht="15" thickBot="1">
      <c r="B11" s="943"/>
      <c r="C11" s="354" t="s">
        <v>39</v>
      </c>
      <c r="D11" s="561">
        <v>0</v>
      </c>
      <c r="E11" s="562">
        <v>0</v>
      </c>
      <c r="F11" s="651">
        <v>0</v>
      </c>
      <c r="G11" s="652">
        <v>0</v>
      </c>
      <c r="H11" s="561">
        <v>0</v>
      </c>
      <c r="I11" s="562">
        <v>0</v>
      </c>
      <c r="J11" s="561">
        <v>0</v>
      </c>
      <c r="K11" s="562">
        <v>0</v>
      </c>
      <c r="L11" s="561">
        <v>0</v>
      </c>
      <c r="M11" s="562">
        <v>0</v>
      </c>
      <c r="N11" s="561">
        <f>J11*$Z$9</f>
        <v>0</v>
      </c>
      <c r="O11" s="562">
        <f>K11*$Z$9</f>
        <v>0</v>
      </c>
      <c r="T11" s="351"/>
      <c r="U11" s="351"/>
      <c r="V11" s="351"/>
      <c r="W11" s="352"/>
      <c r="X11" s="352"/>
      <c r="Y11" s="352"/>
      <c r="Z11" s="353"/>
      <c r="AA11" s="353"/>
      <c r="AB11" s="353"/>
    </row>
    <row r="12" spans="1:28" s="9" customFormat="1" ht="15" thickBot="1">
      <c r="B12" s="355" t="s">
        <v>239</v>
      </c>
      <c r="C12" s="356"/>
      <c r="D12" s="370">
        <f>SUM(D8:D11)</f>
        <v>230</v>
      </c>
      <c r="E12" s="510">
        <f t="shared" ref="E12:I12" si="0">SUM(E8:E11)</f>
        <v>87</v>
      </c>
      <c r="F12" s="357">
        <f t="shared" si="0"/>
        <v>1797.8739</v>
      </c>
      <c r="G12" s="358">
        <f>SUM(G8:G11)</f>
        <v>2281.578</v>
      </c>
      <c r="H12" s="370">
        <f t="shared" si="0"/>
        <v>9109</v>
      </c>
      <c r="I12" s="510">
        <f t="shared" si="0"/>
        <v>12437</v>
      </c>
      <c r="J12" s="370">
        <f t="shared" ref="J12:M12" si="1">SUM(J8:J11)</f>
        <v>54265.2</v>
      </c>
      <c r="K12" s="510">
        <f t="shared" si="1"/>
        <v>42722</v>
      </c>
      <c r="L12" s="370">
        <f t="shared" si="1"/>
        <v>132117.4</v>
      </c>
      <c r="M12" s="371">
        <f t="shared" si="1"/>
        <v>174378</v>
      </c>
      <c r="N12" s="370">
        <f>SUM(N8:N11)</f>
        <v>59215.354399999997</v>
      </c>
      <c r="O12" s="371">
        <f>SUM(O8:O11)</f>
        <v>46609.701999999997</v>
      </c>
      <c r="P12"/>
      <c r="Q12"/>
      <c r="R12"/>
      <c r="S12"/>
      <c r="T12" s="351"/>
      <c r="U12" s="351"/>
      <c r="V12" s="351"/>
      <c r="W12" s="352"/>
      <c r="X12" s="352"/>
      <c r="Y12" s="352"/>
      <c r="Z12" s="353"/>
      <c r="AA12" s="353"/>
      <c r="AB12" s="353"/>
    </row>
    <row r="13" spans="1:28" ht="15" thickBot="1">
      <c r="B13" s="55"/>
      <c r="C13" s="64"/>
      <c r="D13" s="511"/>
      <c r="E13" s="512"/>
      <c r="F13" s="513"/>
      <c r="G13" s="514"/>
      <c r="H13" s="511"/>
      <c r="I13" s="512"/>
      <c r="J13" s="515"/>
      <c r="K13" s="516"/>
      <c r="L13" s="515"/>
      <c r="M13" s="517"/>
      <c r="N13" s="515"/>
      <c r="O13" s="517"/>
    </row>
    <row r="14" spans="1:28">
      <c r="B14" s="944" t="s">
        <v>40</v>
      </c>
      <c r="C14" s="68" t="s">
        <v>37</v>
      </c>
      <c r="D14" s="518">
        <v>0</v>
      </c>
      <c r="E14" s="519">
        <v>0</v>
      </c>
      <c r="F14" s="520">
        <v>0</v>
      </c>
      <c r="G14" s="521">
        <v>0</v>
      </c>
      <c r="H14" s="518">
        <v>0</v>
      </c>
      <c r="I14" s="519">
        <v>0</v>
      </c>
      <c r="J14" s="518">
        <v>0</v>
      </c>
      <c r="K14" s="519">
        <v>0</v>
      </c>
      <c r="L14" s="518">
        <v>0</v>
      </c>
      <c r="M14" s="522">
        <v>0</v>
      </c>
      <c r="N14" s="523">
        <f>J14*$Z$7</f>
        <v>0</v>
      </c>
      <c r="O14" s="524">
        <f>K14*$Z$7</f>
        <v>0</v>
      </c>
    </row>
    <row r="15" spans="1:28" ht="15.75" customHeight="1" thickBot="1">
      <c r="B15" s="945"/>
      <c r="C15" s="67" t="s">
        <v>39</v>
      </c>
      <c r="D15" s="525">
        <v>0</v>
      </c>
      <c r="E15" s="526">
        <v>0</v>
      </c>
      <c r="F15" s="527">
        <v>0</v>
      </c>
      <c r="G15" s="528">
        <v>0</v>
      </c>
      <c r="H15" s="525">
        <v>0</v>
      </c>
      <c r="I15" s="526">
        <v>0</v>
      </c>
      <c r="J15" s="525">
        <v>0</v>
      </c>
      <c r="K15" s="526">
        <v>0</v>
      </c>
      <c r="L15" s="525">
        <v>0</v>
      </c>
      <c r="M15" s="529">
        <v>0</v>
      </c>
      <c r="N15" s="530">
        <f>J15*$Z$7</f>
        <v>0</v>
      </c>
      <c r="O15" s="531">
        <f>K15*$Z$7</f>
        <v>0</v>
      </c>
    </row>
    <row r="16" spans="1:28" ht="15" thickBot="1">
      <c r="B16" s="355" t="s">
        <v>171</v>
      </c>
      <c r="C16" s="356"/>
      <c r="D16" s="355"/>
      <c r="E16" s="363"/>
      <c r="F16" s="364"/>
      <c r="G16" s="365"/>
      <c r="H16" s="355"/>
      <c r="I16" s="366"/>
      <c r="J16" s="532"/>
      <c r="K16" s="367"/>
      <c r="L16" s="532"/>
      <c r="M16" s="366"/>
      <c r="N16" s="532"/>
      <c r="O16" s="366"/>
    </row>
    <row r="17" spans="2:15" ht="15" thickBot="1">
      <c r="B17" s="75" t="s">
        <v>271</v>
      </c>
      <c r="C17" s="76"/>
      <c r="D17" s="533" t="s">
        <v>109</v>
      </c>
      <c r="E17" s="534" t="s">
        <v>109</v>
      </c>
      <c r="F17" s="535" t="s">
        <v>109</v>
      </c>
      <c r="G17" s="536" t="s">
        <v>109</v>
      </c>
      <c r="H17" s="533" t="s">
        <v>109</v>
      </c>
      <c r="I17" s="537" t="s">
        <v>109</v>
      </c>
      <c r="J17" s="538" t="s">
        <v>109</v>
      </c>
      <c r="K17" s="539" t="s">
        <v>109</v>
      </c>
      <c r="L17" s="538" t="s">
        <v>109</v>
      </c>
      <c r="M17" s="537" t="s">
        <v>109</v>
      </c>
      <c r="N17" s="538" t="s">
        <v>109</v>
      </c>
      <c r="O17" s="537" t="s">
        <v>109</v>
      </c>
    </row>
    <row r="18" spans="2:15" ht="15" thickBot="1">
      <c r="B18" s="18" t="s">
        <v>262</v>
      </c>
      <c r="C18" s="62"/>
      <c r="D18" s="133" t="s">
        <v>109</v>
      </c>
      <c r="E18" s="134" t="s">
        <v>109</v>
      </c>
      <c r="F18" s="122" t="s">
        <v>109</v>
      </c>
      <c r="G18" s="146" t="s">
        <v>109</v>
      </c>
      <c r="H18" s="133" t="s">
        <v>109</v>
      </c>
      <c r="I18" s="132" t="s">
        <v>109</v>
      </c>
      <c r="J18" s="102">
        <f>SUM(J17)</f>
        <v>0</v>
      </c>
      <c r="K18" s="121">
        <f t="shared" ref="K18:O18" si="2">SUM(K17)</f>
        <v>0</v>
      </c>
      <c r="L18" s="102">
        <f t="shared" si="2"/>
        <v>0</v>
      </c>
      <c r="M18" s="132">
        <f t="shared" si="2"/>
        <v>0</v>
      </c>
      <c r="N18" s="102">
        <f t="shared" si="2"/>
        <v>0</v>
      </c>
      <c r="O18" s="132">
        <f t="shared" si="2"/>
        <v>0</v>
      </c>
    </row>
    <row r="19" spans="2:15" ht="15" thickBot="1">
      <c r="B19" s="55"/>
      <c r="C19" s="64"/>
      <c r="D19" s="511"/>
      <c r="E19" s="512"/>
      <c r="F19" s="513"/>
      <c r="G19" s="514"/>
      <c r="H19" s="511"/>
      <c r="I19" s="512"/>
      <c r="J19" s="515"/>
      <c r="K19" s="516"/>
      <c r="L19" s="515"/>
      <c r="M19" s="517"/>
      <c r="N19" s="515"/>
      <c r="O19" s="517"/>
    </row>
    <row r="20" spans="2:15" ht="15" thickBot="1">
      <c r="B20" s="355" t="s">
        <v>243</v>
      </c>
      <c r="C20" s="367"/>
      <c r="D20" s="368"/>
      <c r="E20" s="369"/>
      <c r="F20" s="147">
        <v>0</v>
      </c>
      <c r="G20" s="148">
        <v>0</v>
      </c>
      <c r="H20" s="368"/>
      <c r="I20" s="369"/>
      <c r="J20" s="370">
        <f t="shared" ref="J20:O20" si="3">SUM(J18,J14:J15,J12)</f>
        <v>54265.2</v>
      </c>
      <c r="K20" s="510">
        <f t="shared" si="3"/>
        <v>42722</v>
      </c>
      <c r="L20" s="370">
        <f t="shared" si="3"/>
        <v>132117.4</v>
      </c>
      <c r="M20" s="371">
        <f t="shared" si="3"/>
        <v>174378</v>
      </c>
      <c r="N20" s="370">
        <f t="shared" si="3"/>
        <v>59215.354399999997</v>
      </c>
      <c r="O20" s="371">
        <f t="shared" si="3"/>
        <v>46609.701999999997</v>
      </c>
    </row>
    <row r="21" spans="2:15" ht="15" thickBot="1">
      <c r="B21" s="222" t="s">
        <v>170</v>
      </c>
      <c r="C21" s="372"/>
      <c r="D21" s="370">
        <f t="shared" ref="D21:I21" si="4">SUM(D18,D14:D15,D12)</f>
        <v>230</v>
      </c>
      <c r="E21" s="510">
        <f t="shared" si="4"/>
        <v>87</v>
      </c>
      <c r="F21" s="147">
        <f t="shared" si="4"/>
        <v>1797.8739</v>
      </c>
      <c r="G21" s="148">
        <f t="shared" si="4"/>
        <v>2281.578</v>
      </c>
      <c r="H21" s="370">
        <f t="shared" si="4"/>
        <v>9109</v>
      </c>
      <c r="I21" s="510">
        <f t="shared" si="4"/>
        <v>12437</v>
      </c>
      <c r="J21" s="540"/>
      <c r="K21" s="541"/>
      <c r="L21" s="540"/>
      <c r="M21" s="542"/>
      <c r="N21" s="540"/>
      <c r="O21" s="542"/>
    </row>
    <row r="23" spans="2:15">
      <c r="E23" s="245"/>
    </row>
  </sheetData>
  <mergeCells count="11">
    <mergeCell ref="J6:K6"/>
    <mergeCell ref="L6:M6"/>
    <mergeCell ref="N6:O6"/>
    <mergeCell ref="B9:B11"/>
    <mergeCell ref="B14:B15"/>
    <mergeCell ref="D4:E4"/>
    <mergeCell ref="F4:G4"/>
    <mergeCell ref="H4:I4"/>
    <mergeCell ref="D6:E6"/>
    <mergeCell ref="F6:G6"/>
    <mergeCell ref="H6:I6"/>
  </mergeCells>
  <pageMargins left="0.25" right="0.25" top="0.75" bottom="0.75" header="0.3" footer="0.3"/>
  <pageSetup scale="82" fitToHeight="0" orientation="landscape" r:id="rId1"/>
  <headerFooter>
    <oddHeader>&amp;CACE Q2 of Program Year 2022 Small Business Reporting Table</oddHeader>
    <oddFooter>&amp;C&amp;N&amp;R&amp;D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18"/>
  <sheetViews>
    <sheetView showGridLines="0" zoomScaleNormal="100" zoomScaleSheetLayoutView="70" workbookViewId="0">
      <selection activeCell="F39" sqref="F39"/>
    </sheetView>
  </sheetViews>
  <sheetFormatPr defaultRowHeight="14.5"/>
  <cols>
    <col min="1" max="1" width="4.453125" customWidth="1"/>
    <col min="2" max="2" width="14.26953125" customWidth="1"/>
    <col min="3" max="3" width="16.1796875" customWidth="1"/>
    <col min="4" max="4" width="18.81640625" customWidth="1"/>
    <col min="5" max="5" width="14.453125" customWidth="1"/>
    <col min="6" max="6" width="17.7265625" customWidth="1"/>
    <col min="7" max="7" width="18.81640625" customWidth="1"/>
    <col min="8" max="10" width="18.54296875" customWidth="1"/>
    <col min="11" max="12" width="21" customWidth="1"/>
    <col min="13" max="14" width="20.7265625" customWidth="1"/>
    <col min="16" max="16" width="21.7265625" customWidth="1"/>
    <col min="17" max="17" width="16.54296875" customWidth="1"/>
  </cols>
  <sheetData>
    <row r="1" spans="1:17" ht="24.5">
      <c r="A1" s="255"/>
      <c r="B1" s="256"/>
      <c r="C1" s="257"/>
      <c r="D1" s="257"/>
      <c r="E1" s="256"/>
      <c r="F1" s="256"/>
      <c r="G1" s="256"/>
      <c r="H1" s="256"/>
      <c r="I1" s="256"/>
      <c r="J1" s="256"/>
      <c r="K1" s="256"/>
      <c r="L1" s="256"/>
      <c r="M1" s="256"/>
      <c r="N1" s="256"/>
      <c r="O1" s="258"/>
      <c r="P1" s="259"/>
    </row>
    <row r="2" spans="1:17" ht="17">
      <c r="A2" s="256"/>
      <c r="B2" s="260" t="s">
        <v>272</v>
      </c>
      <c r="C2" s="261"/>
      <c r="D2" s="261"/>
      <c r="E2" s="256"/>
      <c r="F2" s="256"/>
      <c r="G2" s="256"/>
      <c r="H2" s="256"/>
      <c r="I2" s="256"/>
      <c r="J2" s="256"/>
      <c r="K2" s="256"/>
      <c r="L2" s="256"/>
      <c r="M2" s="256"/>
      <c r="N2" s="256"/>
      <c r="O2" s="258"/>
      <c r="P2" s="259"/>
    </row>
    <row r="3" spans="1:17" ht="17.5" thickBot="1">
      <c r="A3" s="256"/>
      <c r="B3" s="260" t="s">
        <v>185</v>
      </c>
      <c r="C3" s="260"/>
      <c r="D3" s="257"/>
      <c r="E3" s="256"/>
      <c r="F3" s="256"/>
      <c r="G3" s="256"/>
      <c r="H3" s="256"/>
      <c r="I3" s="256"/>
      <c r="J3" s="256"/>
      <c r="K3" s="256"/>
      <c r="L3" s="256"/>
      <c r="M3" s="256"/>
      <c r="N3" s="256"/>
      <c r="O3" s="258"/>
      <c r="P3" s="259"/>
    </row>
    <row r="4" spans="1:17" ht="18.75" customHeight="1">
      <c r="A4" s="256"/>
      <c r="B4" s="946" t="s">
        <v>273</v>
      </c>
      <c r="C4" s="947"/>
      <c r="D4" s="947"/>
      <c r="E4" s="947"/>
      <c r="F4" s="947"/>
      <c r="G4" s="947"/>
      <c r="H4" s="947"/>
      <c r="I4" s="947"/>
      <c r="J4" s="947"/>
      <c r="K4" s="947"/>
      <c r="L4" s="947"/>
      <c r="M4" s="947"/>
      <c r="N4" s="948"/>
      <c r="O4" s="258"/>
      <c r="P4" s="259"/>
    </row>
    <row r="5" spans="1:17" ht="17.5" thickBot="1">
      <c r="A5" s="256"/>
      <c r="B5" s="949"/>
      <c r="C5" s="950"/>
      <c r="D5" s="950"/>
      <c r="E5" s="950"/>
      <c r="F5" s="950"/>
      <c r="G5" s="950"/>
      <c r="H5" s="950"/>
      <c r="I5" s="950"/>
      <c r="J5" s="950"/>
      <c r="K5" s="950"/>
      <c r="L5" s="950"/>
      <c r="M5" s="950"/>
      <c r="N5" s="951"/>
      <c r="O5" s="258"/>
      <c r="P5" s="259"/>
    </row>
    <row r="6" spans="1:17" ht="62">
      <c r="A6" s="262"/>
      <c r="B6" s="263" t="s">
        <v>274</v>
      </c>
      <c r="C6" s="264" t="s">
        <v>275</v>
      </c>
      <c r="D6" s="264" t="s">
        <v>276</v>
      </c>
      <c r="E6" s="264" t="s">
        <v>277</v>
      </c>
      <c r="F6" s="265" t="s">
        <v>278</v>
      </c>
      <c r="G6" s="264" t="s">
        <v>279</v>
      </c>
      <c r="H6" s="266" t="s">
        <v>280</v>
      </c>
      <c r="I6" s="267" t="s">
        <v>281</v>
      </c>
      <c r="J6" s="267" t="s">
        <v>282</v>
      </c>
      <c r="K6" s="267" t="s">
        <v>283</v>
      </c>
      <c r="L6" s="267" t="s">
        <v>284</v>
      </c>
      <c r="M6" s="268" t="s">
        <v>285</v>
      </c>
      <c r="N6" s="269" t="s">
        <v>286</v>
      </c>
      <c r="O6" s="258"/>
      <c r="P6" s="270"/>
    </row>
    <row r="7" spans="1:17" ht="30.75" customHeight="1">
      <c r="A7" s="262"/>
      <c r="B7" s="271"/>
      <c r="C7" s="272"/>
      <c r="D7" s="272"/>
      <c r="E7" s="273" t="s">
        <v>51</v>
      </c>
      <c r="F7" s="273" t="s">
        <v>52</v>
      </c>
      <c r="G7" s="273" t="s">
        <v>287</v>
      </c>
      <c r="H7" s="274" t="s">
        <v>288</v>
      </c>
      <c r="I7" s="274" t="s">
        <v>55</v>
      </c>
      <c r="J7" s="274" t="s">
        <v>289</v>
      </c>
      <c r="K7" s="274" t="s">
        <v>290</v>
      </c>
      <c r="L7" s="274" t="s">
        <v>291</v>
      </c>
      <c r="M7" s="274" t="s">
        <v>292</v>
      </c>
      <c r="N7" s="275" t="s">
        <v>293</v>
      </c>
      <c r="O7" s="258"/>
      <c r="P7" s="270"/>
    </row>
    <row r="8" spans="1:17" ht="17">
      <c r="A8" s="262"/>
      <c r="B8" s="276"/>
      <c r="C8" s="277"/>
      <c r="D8" s="277"/>
      <c r="E8" s="277"/>
      <c r="F8" s="277"/>
      <c r="G8" s="277"/>
      <c r="H8" s="277"/>
      <c r="I8" s="277"/>
      <c r="J8" s="277"/>
      <c r="K8" s="277"/>
      <c r="L8" s="277"/>
      <c r="M8" s="406"/>
      <c r="N8" s="278"/>
      <c r="O8" s="258"/>
      <c r="P8" s="245"/>
    </row>
    <row r="9" spans="1:17" ht="17">
      <c r="A9" s="256"/>
      <c r="B9" s="279" t="s">
        <v>19</v>
      </c>
      <c r="C9" s="280">
        <v>2020</v>
      </c>
      <c r="D9" s="280" t="s">
        <v>294</v>
      </c>
      <c r="E9" s="281">
        <v>9434778.5099999998</v>
      </c>
      <c r="F9" s="281">
        <f>543481+435595</f>
        <v>979076</v>
      </c>
      <c r="G9" s="281">
        <f>E9-F9</f>
        <v>8455702.5099999998</v>
      </c>
      <c r="H9" s="281"/>
      <c r="I9" s="281"/>
      <c r="J9" s="281"/>
      <c r="K9" s="281"/>
      <c r="L9" s="281"/>
      <c r="M9" s="282"/>
      <c r="N9" s="283"/>
      <c r="O9" s="258"/>
      <c r="P9" s="284"/>
      <c r="Q9" s="245"/>
    </row>
    <row r="10" spans="1:17" ht="17">
      <c r="A10" s="256"/>
      <c r="B10" s="285"/>
      <c r="C10" s="280">
        <v>2021</v>
      </c>
      <c r="D10" s="280" t="s">
        <v>295</v>
      </c>
      <c r="E10" s="281">
        <v>9725504.6995833125</v>
      </c>
      <c r="F10" s="281">
        <f>467346+487282</f>
        <v>954628</v>
      </c>
      <c r="G10" s="281">
        <f>E10-F10</f>
        <v>8770876.6995833125</v>
      </c>
      <c r="H10" s="281"/>
      <c r="I10" s="281"/>
      <c r="J10" s="281"/>
      <c r="K10" s="281"/>
      <c r="L10" s="281"/>
      <c r="M10" s="282"/>
      <c r="N10" s="283"/>
      <c r="O10" s="258"/>
      <c r="P10" s="284"/>
    </row>
    <row r="11" spans="1:17" ht="17">
      <c r="A11" s="256"/>
      <c r="B11" s="279"/>
      <c r="C11" s="280">
        <v>2022</v>
      </c>
      <c r="D11" s="280" t="s">
        <v>296</v>
      </c>
      <c r="E11" s="281">
        <v>10200284</v>
      </c>
      <c r="F11" s="281">
        <f>743583+663446</f>
        <v>1407029</v>
      </c>
      <c r="G11" s="281">
        <f>E11-F11</f>
        <v>8793255</v>
      </c>
      <c r="H11" s="281"/>
      <c r="I11" s="281"/>
      <c r="J11" s="281"/>
      <c r="K11" s="281"/>
      <c r="L11" s="281"/>
      <c r="M11" s="282"/>
      <c r="N11" s="283"/>
      <c r="O11" s="258"/>
      <c r="P11" s="259"/>
    </row>
    <row r="12" spans="1:17" ht="17.5" thickBot="1">
      <c r="A12" s="259"/>
      <c r="B12" s="286"/>
      <c r="C12" s="287" t="s">
        <v>297</v>
      </c>
      <c r="D12" s="287" t="s">
        <v>298</v>
      </c>
      <c r="E12" s="288"/>
      <c r="F12" s="288">
        <v>0</v>
      </c>
      <c r="G12" s="288">
        <f>E12-F12</f>
        <v>0</v>
      </c>
      <c r="H12" s="288">
        <f>AVERAGE(G9:G11)</f>
        <v>8673278.0698611047</v>
      </c>
      <c r="I12" s="289">
        <v>1.0999999999999999E-2</v>
      </c>
      <c r="J12" s="288">
        <f>I12*H12</f>
        <v>95406.058768472139</v>
      </c>
      <c r="K12" s="289">
        <v>3.5999999999999999E-3</v>
      </c>
      <c r="L12" s="288">
        <f>K12*H12</f>
        <v>31223.801051499977</v>
      </c>
      <c r="M12" s="290">
        <v>7.4000000000000003E-3</v>
      </c>
      <c r="N12" s="317">
        <f>M12*H12</f>
        <v>64182.257716972177</v>
      </c>
      <c r="O12" s="258"/>
      <c r="P12" s="259"/>
    </row>
    <row r="13" spans="1:17" ht="17">
      <c r="A13" s="256"/>
      <c r="B13" s="291"/>
      <c r="C13" s="292"/>
      <c r="D13" s="292"/>
      <c r="E13" s="293"/>
      <c r="F13" s="294"/>
      <c r="G13" s="294"/>
      <c r="H13" s="295"/>
      <c r="I13" s="578"/>
      <c r="J13" s="295"/>
      <c r="K13" s="295"/>
      <c r="L13" s="295"/>
      <c r="M13" s="294"/>
      <c r="N13" s="296"/>
      <c r="O13" s="258"/>
      <c r="P13" s="259"/>
    </row>
    <row r="14" spans="1:17" ht="17">
      <c r="A14" s="256"/>
      <c r="B14" s="297" t="s">
        <v>299</v>
      </c>
      <c r="C14" s="298"/>
      <c r="D14" s="298"/>
      <c r="E14" s="299"/>
      <c r="F14" s="299"/>
      <c r="G14" s="299"/>
      <c r="H14" s="299"/>
      <c r="I14" s="299"/>
      <c r="J14" s="299"/>
      <c r="K14" s="299"/>
      <c r="L14" s="299"/>
      <c r="M14" s="299"/>
      <c r="N14" s="299"/>
      <c r="O14" s="258"/>
      <c r="P14" s="259"/>
    </row>
    <row r="15" spans="1:17" ht="17">
      <c r="A15" s="256"/>
      <c r="B15" s="300" t="s">
        <v>300</v>
      </c>
      <c r="C15" s="298"/>
      <c r="D15" s="298"/>
      <c r="E15" s="299"/>
      <c r="F15" s="299"/>
      <c r="G15" s="299"/>
      <c r="H15" s="299"/>
      <c r="I15" s="299"/>
      <c r="J15" s="299"/>
      <c r="K15" s="299"/>
      <c r="L15" s="299"/>
      <c r="M15" s="299"/>
      <c r="N15" s="299"/>
      <c r="O15" s="258"/>
      <c r="P15" s="259"/>
    </row>
    <row r="16" spans="1:17" ht="17">
      <c r="A16" s="256"/>
      <c r="B16" s="300" t="s">
        <v>301</v>
      </c>
      <c r="C16" s="298"/>
      <c r="D16" s="298"/>
      <c r="E16" s="299"/>
      <c r="F16" s="299"/>
      <c r="G16" s="299"/>
      <c r="H16" s="299"/>
      <c r="I16" s="299"/>
      <c r="J16" s="299"/>
      <c r="K16" s="299"/>
      <c r="L16" s="299"/>
      <c r="M16" s="299"/>
      <c r="N16" s="299"/>
      <c r="O16" s="258"/>
      <c r="P16" s="259"/>
    </row>
    <row r="17" spans="1:15" ht="17">
      <c r="A17" s="256"/>
      <c r="B17" s="300" t="s">
        <v>302</v>
      </c>
      <c r="C17" s="298"/>
      <c r="D17" s="298"/>
      <c r="E17" s="299"/>
      <c r="F17" s="299"/>
      <c r="G17" s="299"/>
      <c r="H17" s="299"/>
      <c r="I17" s="299"/>
      <c r="J17" s="299"/>
      <c r="K17" s="299"/>
      <c r="L17" s="299"/>
      <c r="M17" s="299"/>
      <c r="N17" s="299"/>
      <c r="O17" s="258"/>
    </row>
    <row r="18" spans="1:15" ht="17">
      <c r="A18" s="256"/>
      <c r="B18" s="299"/>
      <c r="C18" s="298"/>
      <c r="D18" s="298"/>
      <c r="E18" s="299"/>
      <c r="F18" s="299"/>
      <c r="G18" s="299"/>
      <c r="H18" s="299"/>
      <c r="I18" s="299"/>
      <c r="J18" s="299"/>
      <c r="K18" s="299"/>
      <c r="L18" s="299"/>
      <c r="M18" s="299"/>
      <c r="N18" s="299"/>
      <c r="O18" s="258"/>
    </row>
  </sheetData>
  <mergeCells count="1">
    <mergeCell ref="B4:N5"/>
  </mergeCells>
  <pageMargins left="0.6" right="0.21" top="0.77" bottom="0.74" header="0.5" footer="0.5"/>
  <pageSetup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29"/>
  <sheetViews>
    <sheetView showGridLines="0" topLeftCell="A2" zoomScaleNormal="100" workbookViewId="0">
      <selection activeCell="J28" sqref="J28"/>
    </sheetView>
  </sheetViews>
  <sheetFormatPr defaultColWidth="9.1796875" defaultRowHeight="14"/>
  <cols>
    <col min="1" max="1" width="4.81640625" style="302" customWidth="1"/>
    <col min="2" max="2" width="31.26953125" style="302" customWidth="1"/>
    <col min="3" max="3" width="18" style="302" bestFit="1" customWidth="1"/>
    <col min="4" max="4" width="18.1796875" style="302" bestFit="1" customWidth="1"/>
    <col min="5" max="5" width="20.7265625" style="302" bestFit="1" customWidth="1"/>
    <col min="6" max="6" width="9.1796875" style="302"/>
    <col min="7" max="7" width="16.81640625" style="302" customWidth="1"/>
    <col min="8" max="16384" width="9.1796875" style="302"/>
  </cols>
  <sheetData>
    <row r="1" spans="2:19" ht="18">
      <c r="B1" s="301" t="s">
        <v>303</v>
      </c>
    </row>
    <row r="2" spans="2:19" ht="157.5" customHeight="1">
      <c r="B2" s="952" t="s">
        <v>304</v>
      </c>
      <c r="C2" s="952"/>
      <c r="D2" s="952"/>
      <c r="E2" s="952"/>
      <c r="G2" s="303"/>
      <c r="H2" s="303"/>
      <c r="I2" s="303"/>
      <c r="J2" s="303"/>
      <c r="K2" s="303"/>
      <c r="L2" s="303"/>
      <c r="M2" s="303"/>
      <c r="N2" s="303"/>
      <c r="O2" s="303"/>
      <c r="P2" s="303"/>
      <c r="Q2" s="303"/>
      <c r="R2" s="303"/>
      <c r="S2" s="303"/>
    </row>
    <row r="3" spans="2:19" ht="15.5">
      <c r="B3" s="304"/>
    </row>
    <row r="4" spans="2:19" customFormat="1" ht="26.25" customHeight="1">
      <c r="B4" s="954" t="s">
        <v>305</v>
      </c>
      <c r="C4" s="954"/>
      <c r="D4" s="954"/>
      <c r="E4" s="954"/>
    </row>
    <row r="5" spans="2:19" customFormat="1" ht="48">
      <c r="B5" s="373" t="s">
        <v>306</v>
      </c>
      <c r="C5" s="31" t="s">
        <v>307</v>
      </c>
      <c r="D5" s="31" t="s">
        <v>107</v>
      </c>
      <c r="E5" s="188" t="s">
        <v>108</v>
      </c>
      <c r="H5" s="180" t="s">
        <v>308</v>
      </c>
      <c r="I5" s="180" t="s">
        <v>309</v>
      </c>
    </row>
    <row r="6" spans="2:19" customFormat="1" ht="14.5">
      <c r="B6" s="194" t="s">
        <v>20</v>
      </c>
      <c r="C6" s="653">
        <v>46473.782099999997</v>
      </c>
      <c r="D6" s="653">
        <f>'Ap B - Qtr Electric Master'!M19</f>
        <v>19881.583999999999</v>
      </c>
      <c r="E6" s="840">
        <f>C6/D6</f>
        <v>2.3375291475769737</v>
      </c>
      <c r="G6" s="13" t="s">
        <v>310</v>
      </c>
      <c r="H6" s="305">
        <f>$C$9</f>
        <v>68765.679899999988</v>
      </c>
      <c r="I6" s="305">
        <f>$C$16</f>
        <v>54839.80298</v>
      </c>
    </row>
    <row r="7" spans="2:19" customFormat="1" ht="14.5">
      <c r="B7" s="194" t="s">
        <v>89</v>
      </c>
      <c r="C7" s="653">
        <v>745.07029999999997</v>
      </c>
      <c r="D7" s="653">
        <f>'Ap B - Qtr Electric Master'!M32</f>
        <v>2298.1190000000001</v>
      </c>
      <c r="E7" s="840">
        <f>C7/D7</f>
        <v>0.32420875507317071</v>
      </c>
      <c r="H7" s="839"/>
      <c r="I7" s="246"/>
    </row>
    <row r="8" spans="2:19" customFormat="1" ht="14.5">
      <c r="B8" s="194" t="s">
        <v>101</v>
      </c>
      <c r="C8" s="653">
        <v>21546.827499999999</v>
      </c>
      <c r="D8" s="653">
        <f>'Ap B - Qtr Electric Master'!M26</f>
        <v>37376.024832112467</v>
      </c>
      <c r="E8" s="840">
        <f>C8/D8</f>
        <v>0.57648793837186108</v>
      </c>
      <c r="G8" t="s">
        <v>311</v>
      </c>
    </row>
    <row r="9" spans="2:19" customFormat="1" ht="29">
      <c r="B9" s="187" t="s">
        <v>91</v>
      </c>
      <c r="C9" s="191">
        <f>SUM(C6:C8)</f>
        <v>68765.679899999988</v>
      </c>
      <c r="D9" s="191">
        <f>SUM(D6:D8)</f>
        <v>59555.727832112461</v>
      </c>
      <c r="E9" s="190">
        <f>C9/D9</f>
        <v>1.1546442702178097</v>
      </c>
    </row>
    <row r="10" spans="2:19" customFormat="1" ht="14.5"/>
    <row r="11" spans="2:19" customFormat="1" ht="27" customHeight="1">
      <c r="B11" s="954" t="s">
        <v>312</v>
      </c>
      <c r="C11" s="954"/>
      <c r="D11" s="954"/>
      <c r="E11" s="954"/>
    </row>
    <row r="12" spans="2:19" customFormat="1" ht="24">
      <c r="B12" s="373" t="s">
        <v>306</v>
      </c>
      <c r="C12" s="31" t="s">
        <v>307</v>
      </c>
      <c r="D12" s="31" t="s">
        <v>107</v>
      </c>
      <c r="E12" s="188" t="s">
        <v>108</v>
      </c>
    </row>
    <row r="13" spans="2:19" customFormat="1" ht="14.5">
      <c r="B13" s="194" t="s">
        <v>20</v>
      </c>
      <c r="C13" s="653">
        <v>32681.444100000001</v>
      </c>
      <c r="D13" s="653">
        <f>'Ap B - Qtr Electric Master'!M19</f>
        <v>19881.583999999999</v>
      </c>
      <c r="E13" s="840">
        <f>C13/D13</f>
        <v>1.6438048447246458</v>
      </c>
    </row>
    <row r="14" spans="2:19" customFormat="1" ht="14.5">
      <c r="B14" s="194" t="s">
        <v>89</v>
      </c>
      <c r="C14" s="653">
        <v>619.04237999999998</v>
      </c>
      <c r="D14" s="653">
        <f>'Ap B - Qtr Electric Master'!M32</f>
        <v>2298.1190000000001</v>
      </c>
      <c r="E14" s="840">
        <f>C14/D14</f>
        <v>0.26936915799399419</v>
      </c>
    </row>
    <row r="15" spans="2:19" customFormat="1" ht="14.5">
      <c r="B15" s="194" t="s">
        <v>101</v>
      </c>
      <c r="C15" s="653">
        <v>21539.316500000001</v>
      </c>
      <c r="D15" s="653">
        <f>'Ap B - Qtr Electric Master'!M26</f>
        <v>37376.024832112467</v>
      </c>
      <c r="E15" s="840">
        <f>C15/D15</f>
        <v>0.57628698067147055</v>
      </c>
    </row>
    <row r="16" spans="2:19" customFormat="1" ht="29">
      <c r="B16" s="187" t="s">
        <v>91</v>
      </c>
      <c r="C16" s="191">
        <f>SUM(C13:C15)</f>
        <v>54839.80298</v>
      </c>
      <c r="D16" s="191">
        <f>SUM(D13:D15)</f>
        <v>59555.727832112461</v>
      </c>
      <c r="E16" s="190">
        <f>C16/D16</f>
        <v>0.92081492370630336</v>
      </c>
    </row>
    <row r="17" spans="2:7" customFormat="1" ht="15" customHeight="1">
      <c r="B17" s="953" t="s">
        <v>313</v>
      </c>
      <c r="C17" s="953"/>
      <c r="D17" s="953"/>
      <c r="G17" s="302"/>
    </row>
    <row r="18" spans="2:7" customFormat="1" ht="51.75" customHeight="1">
      <c r="B18" s="953"/>
      <c r="C18" s="953"/>
      <c r="D18" s="953"/>
    </row>
    <row r="19" spans="2:7" customFormat="1" ht="14.5">
      <c r="B19" s="306"/>
      <c r="C19" s="239"/>
      <c r="D19" s="239"/>
      <c r="E19" s="239"/>
    </row>
    <row r="20" spans="2:7" customFormat="1" ht="14.5">
      <c r="B20" s="243"/>
      <c r="C20" s="34"/>
      <c r="D20" s="34"/>
      <c r="E20" s="307"/>
    </row>
    <row r="21" spans="2:7" customFormat="1" ht="14.5">
      <c r="B21" s="243"/>
      <c r="C21" s="34"/>
      <c r="D21" s="34"/>
      <c r="E21" s="307"/>
    </row>
    <row r="22" spans="2:7" customFormat="1" ht="14.5">
      <c r="B22" s="243"/>
      <c r="C22" s="34"/>
      <c r="D22" s="34"/>
      <c r="E22" s="307"/>
    </row>
    <row r="23" spans="2:7" customFormat="1" ht="14.5">
      <c r="B23" s="243"/>
      <c r="C23" s="34"/>
      <c r="D23" s="34"/>
      <c r="E23" s="307"/>
    </row>
    <row r="24" spans="2:7" customFormat="1" ht="14.5">
      <c r="B24" s="243"/>
      <c r="C24" s="34"/>
      <c r="D24" s="34"/>
      <c r="E24" s="307"/>
    </row>
    <row r="25" spans="2:7" customFormat="1" ht="14.5">
      <c r="B25" s="243"/>
      <c r="C25" s="34"/>
      <c r="D25" s="34"/>
      <c r="E25" s="307"/>
    </row>
    <row r="26" spans="2:7" customFormat="1" ht="14.5">
      <c r="B26" s="243"/>
      <c r="C26" s="34"/>
      <c r="D26" s="34"/>
      <c r="E26" s="307"/>
    </row>
    <row r="27" spans="2:7" customFormat="1" ht="14.5">
      <c r="B27" s="243"/>
      <c r="C27" s="34"/>
      <c r="D27" s="34"/>
      <c r="E27" s="307"/>
    </row>
    <row r="28" spans="2:7" customFormat="1" ht="14.5"/>
    <row r="29" spans="2:7" customFormat="1" ht="14.5"/>
  </sheetData>
  <mergeCells count="4">
    <mergeCell ref="B2:E2"/>
    <mergeCell ref="B17:D18"/>
    <mergeCell ref="B11:E11"/>
    <mergeCell ref="B4:E4"/>
  </mergeCells>
  <pageMargins left="0.45" right="0.45"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5"/>
  <sheetViews>
    <sheetView showGridLines="0" zoomScaleNormal="100" workbookViewId="0">
      <selection activeCell="L14" sqref="L14"/>
    </sheetView>
  </sheetViews>
  <sheetFormatPr defaultColWidth="9.1796875" defaultRowHeight="14"/>
  <cols>
    <col min="1" max="1" width="4.1796875" style="302" customWidth="1"/>
    <col min="2" max="2" width="33.453125" style="302" customWidth="1"/>
    <col min="3" max="3" width="36.453125" style="302" customWidth="1"/>
    <col min="4" max="4" width="28" style="302" customWidth="1"/>
    <col min="5" max="16384" width="9.1796875" style="302"/>
  </cols>
  <sheetData>
    <row r="1" spans="2:4" ht="18">
      <c r="B1" s="301" t="s">
        <v>314</v>
      </c>
    </row>
    <row r="2" spans="2:4" ht="85.5" customHeight="1">
      <c r="B2" s="955" t="s">
        <v>315</v>
      </c>
      <c r="C2" s="955"/>
      <c r="D2" s="955"/>
    </row>
    <row r="3" spans="2:4" ht="14.5" thickBot="1"/>
    <row r="4" spans="2:4" ht="21" customHeight="1" thickBot="1">
      <c r="B4" s="956" t="s">
        <v>316</v>
      </c>
      <c r="C4" s="957"/>
      <c r="D4" s="308"/>
    </row>
    <row r="5" spans="2:4" ht="18" customHeight="1" thickBot="1">
      <c r="B5" s="843" t="s">
        <v>8</v>
      </c>
      <c r="C5" s="845" t="s">
        <v>317</v>
      </c>
      <c r="D5" s="309"/>
    </row>
    <row r="6" spans="2:4" ht="30" customHeight="1">
      <c r="B6" s="844" t="s">
        <v>318</v>
      </c>
      <c r="C6" s="127">
        <f>774.18+2349.58179+6523.79200000018</f>
        <v>9647.55379000018</v>
      </c>
    </row>
    <row r="7" spans="2:4" ht="30" customHeight="1">
      <c r="B7" s="842" t="s">
        <v>145</v>
      </c>
      <c r="C7" s="841">
        <v>1682.9780000000001</v>
      </c>
    </row>
    <row r="8" spans="2:4" ht="30" customHeight="1">
      <c r="B8" s="842" t="s">
        <v>30</v>
      </c>
      <c r="C8" s="841">
        <v>3796.529</v>
      </c>
    </row>
    <row r="9" spans="2:4" ht="30" customHeight="1">
      <c r="B9" s="842" t="s">
        <v>31</v>
      </c>
      <c r="C9" s="841">
        <v>1459.4280000000001</v>
      </c>
    </row>
    <row r="10" spans="2:4" ht="30" customHeight="1">
      <c r="B10" s="842" t="s">
        <v>40</v>
      </c>
      <c r="C10" s="841">
        <v>4333</v>
      </c>
    </row>
    <row r="11" spans="2:4" ht="30" customHeight="1">
      <c r="B11" s="842" t="s">
        <v>319</v>
      </c>
      <c r="C11" s="841">
        <v>2078</v>
      </c>
    </row>
    <row r="12" spans="2:4" ht="30" customHeight="1">
      <c r="B12" s="842" t="s">
        <v>320</v>
      </c>
      <c r="C12" s="841">
        <v>0</v>
      </c>
    </row>
    <row r="13" spans="2:4" ht="30" customHeight="1">
      <c r="B13" s="842" t="s">
        <v>321</v>
      </c>
      <c r="C13" s="841">
        <v>1440</v>
      </c>
    </row>
    <row r="14" spans="2:4" ht="30" customHeight="1">
      <c r="B14" s="842" t="s">
        <v>322</v>
      </c>
      <c r="C14" s="841">
        <v>0</v>
      </c>
    </row>
    <row r="15" spans="2:4">
      <c r="B15" s="846" t="s">
        <v>323</v>
      </c>
      <c r="C15" s="847">
        <f>SUM(C6:C14)</f>
        <v>24437.488790000181</v>
      </c>
    </row>
  </sheetData>
  <mergeCells count="2">
    <mergeCell ref="B2:D2"/>
    <mergeCell ref="B4:C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M61"/>
  <sheetViews>
    <sheetView showGridLines="0" topLeftCell="A9" workbookViewId="0">
      <selection activeCell="G1" sqref="G1"/>
    </sheetView>
  </sheetViews>
  <sheetFormatPr defaultRowHeight="14.5"/>
  <cols>
    <col min="1" max="1" width="8.81640625" customWidth="1"/>
    <col min="2" max="2" width="60.81640625" customWidth="1"/>
    <col min="3" max="3" width="13.453125" bestFit="1" customWidth="1"/>
    <col min="4" max="4" width="13.7265625" customWidth="1"/>
    <col min="5" max="5" width="15.453125" customWidth="1"/>
    <col min="6" max="6" width="12" bestFit="1" customWidth="1"/>
    <col min="7" max="7" width="19.1796875" bestFit="1" customWidth="1"/>
    <col min="8" max="8" width="20.54296875" style="4" bestFit="1" customWidth="1"/>
    <col min="9" max="9" width="17.54296875" style="4" bestFit="1" customWidth="1"/>
    <col min="10" max="10" width="21" style="4" bestFit="1" customWidth="1"/>
    <col min="11" max="11" width="23.54296875" style="4" bestFit="1" customWidth="1"/>
    <col min="12" max="12" width="11.54296875" style="4" bestFit="1" customWidth="1"/>
    <col min="13" max="13" width="12.81640625" style="4" bestFit="1" customWidth="1"/>
    <col min="14" max="14" width="14.1796875" customWidth="1"/>
  </cols>
  <sheetData>
    <row r="2" spans="1:13" ht="18.5" thickBot="1">
      <c r="B2" s="301" t="s">
        <v>324</v>
      </c>
    </row>
    <row r="3" spans="1:13" ht="29">
      <c r="A3" s="848"/>
      <c r="B3" s="849"/>
      <c r="C3" s="204" t="s">
        <v>20</v>
      </c>
      <c r="D3" s="203" t="s">
        <v>325</v>
      </c>
      <c r="E3" s="203" t="s">
        <v>326</v>
      </c>
      <c r="F3" s="203" t="s">
        <v>327</v>
      </c>
      <c r="G3" s="202" t="s">
        <v>328</v>
      </c>
      <c r="H3" s="374" t="s">
        <v>21</v>
      </c>
      <c r="I3" s="375" t="s">
        <v>149</v>
      </c>
      <c r="J3" s="375" t="s">
        <v>36</v>
      </c>
      <c r="K3" s="375" t="s">
        <v>28</v>
      </c>
      <c r="L3" s="375" t="s">
        <v>171</v>
      </c>
      <c r="M3" s="376" t="s">
        <v>40</v>
      </c>
    </row>
    <row r="4" spans="1:13">
      <c r="A4" s="850" t="s">
        <v>329</v>
      </c>
      <c r="B4" s="551"/>
      <c r="C4" s="550"/>
      <c r="D4" s="549"/>
      <c r="E4" s="549"/>
      <c r="F4" s="549"/>
      <c r="G4" s="551"/>
      <c r="H4" s="552" t="s">
        <v>330</v>
      </c>
      <c r="I4" s="553" t="s">
        <v>331</v>
      </c>
      <c r="J4" s="553" t="s">
        <v>332</v>
      </c>
      <c r="K4" s="553" t="s">
        <v>333</v>
      </c>
      <c r="L4" s="554"/>
      <c r="M4" s="555"/>
    </row>
    <row r="5" spans="1:13">
      <c r="A5" s="199">
        <v>1</v>
      </c>
      <c r="B5" s="198" t="s">
        <v>334</v>
      </c>
      <c r="C5" s="325">
        <f>SUM(H5,K5)</f>
        <v>0</v>
      </c>
      <c r="D5" s="377">
        <f t="shared" ref="D5:D12" si="0">SUM(I5,J5)</f>
        <v>0</v>
      </c>
      <c r="E5" s="377">
        <f t="shared" ref="E5:E12" si="1">M5</f>
        <v>0</v>
      </c>
      <c r="F5" s="377"/>
      <c r="G5" s="378">
        <f t="shared" ref="G5:G12" si="2">SUM(C5:F5)</f>
        <v>0</v>
      </c>
      <c r="H5" s="322">
        <v>0</v>
      </c>
      <c r="I5" s="4">
        <v>0</v>
      </c>
      <c r="J5" s="4">
        <v>0</v>
      </c>
      <c r="K5" s="4">
        <v>0</v>
      </c>
      <c r="L5" s="4">
        <v>0</v>
      </c>
      <c r="M5" s="323">
        <v>0</v>
      </c>
    </row>
    <row r="6" spans="1:13">
      <c r="A6" s="199">
        <v>2</v>
      </c>
      <c r="B6" s="198" t="s">
        <v>335</v>
      </c>
      <c r="C6" s="325">
        <f>SUM(H6,K6)</f>
        <v>0</v>
      </c>
      <c r="D6" s="377">
        <f t="shared" si="0"/>
        <v>0</v>
      </c>
      <c r="E6" s="377">
        <f t="shared" si="1"/>
        <v>0</v>
      </c>
      <c r="F6" s="377"/>
      <c r="G6" s="378">
        <f t="shared" si="2"/>
        <v>0</v>
      </c>
      <c r="H6" s="322">
        <v>0</v>
      </c>
      <c r="I6" s="4">
        <v>0</v>
      </c>
      <c r="J6" s="4">
        <v>0</v>
      </c>
      <c r="K6" s="4">
        <v>0</v>
      </c>
      <c r="L6" s="4">
        <v>0</v>
      </c>
      <c r="M6" s="323">
        <v>0</v>
      </c>
    </row>
    <row r="7" spans="1:13">
      <c r="A7" s="199">
        <v>3</v>
      </c>
      <c r="B7" s="198" t="s">
        <v>336</v>
      </c>
      <c r="C7" s="325">
        <f>SUM(H7,K7)</f>
        <v>0</v>
      </c>
      <c r="D7" s="377">
        <f t="shared" si="0"/>
        <v>0</v>
      </c>
      <c r="E7" s="377">
        <f t="shared" si="1"/>
        <v>0</v>
      </c>
      <c r="F7" s="377"/>
      <c r="G7" s="378">
        <f t="shared" si="2"/>
        <v>0</v>
      </c>
      <c r="H7" s="825">
        <v>0</v>
      </c>
      <c r="I7" s="826">
        <v>0</v>
      </c>
      <c r="J7" s="826">
        <v>0</v>
      </c>
      <c r="K7" s="826">
        <v>0</v>
      </c>
      <c r="L7" s="826">
        <v>0</v>
      </c>
      <c r="M7" s="827">
        <v>0</v>
      </c>
    </row>
    <row r="8" spans="1:13">
      <c r="A8" s="199">
        <v>4</v>
      </c>
      <c r="B8" s="198" t="s">
        <v>337</v>
      </c>
      <c r="C8" s="325">
        <f>SUM(H8,K8,L8)</f>
        <v>7410027.5782999992</v>
      </c>
      <c r="D8" s="377">
        <f t="shared" si="0"/>
        <v>12532716.900700001</v>
      </c>
      <c r="E8" s="377">
        <f t="shared" si="1"/>
        <v>300268.39899999998</v>
      </c>
      <c r="F8" s="377"/>
      <c r="G8" s="378">
        <f t="shared" si="2"/>
        <v>20243012.878000002</v>
      </c>
      <c r="H8" s="825">
        <v>6200023.6909999996</v>
      </c>
      <c r="I8" s="826">
        <v>238355.17069999999</v>
      </c>
      <c r="J8" s="826">
        <v>12294361.73</v>
      </c>
      <c r="K8" s="826">
        <v>818648.08730000001</v>
      </c>
      <c r="L8" s="826">
        <v>391355.8</v>
      </c>
      <c r="M8" s="827">
        <v>300268.39899999998</v>
      </c>
    </row>
    <row r="9" spans="1:13">
      <c r="A9" s="199">
        <v>5</v>
      </c>
      <c r="B9" s="198" t="s">
        <v>338</v>
      </c>
      <c r="C9" s="325">
        <f>SUM(H9,K9,L9)</f>
        <v>1210979.83913</v>
      </c>
      <c r="D9" s="377">
        <f t="shared" si="0"/>
        <v>2367460.0354499999</v>
      </c>
      <c r="E9" s="377">
        <f t="shared" si="1"/>
        <v>18162.855650000001</v>
      </c>
      <c r="F9" s="377"/>
      <c r="G9" s="378">
        <f t="shared" si="2"/>
        <v>3596602.7302299994</v>
      </c>
      <c r="H9" s="825">
        <v>937798.47649999999</v>
      </c>
      <c r="I9" s="826">
        <v>64343.354449999999</v>
      </c>
      <c r="J9" s="826">
        <v>2303116.6809999999</v>
      </c>
      <c r="K9" s="826">
        <v>68219.162630000006</v>
      </c>
      <c r="L9" s="826">
        <v>204962.2</v>
      </c>
      <c r="M9" s="827">
        <v>18162.855650000001</v>
      </c>
    </row>
    <row r="10" spans="1:13">
      <c r="A10" s="199">
        <v>6</v>
      </c>
      <c r="B10" s="198" t="s">
        <v>339</v>
      </c>
      <c r="C10" s="325">
        <f>SUM(H10,K10,L10)</f>
        <v>52216.558560000005</v>
      </c>
      <c r="D10" s="377">
        <f t="shared" si="0"/>
        <v>-178097.167105</v>
      </c>
      <c r="E10" s="377">
        <f t="shared" si="1"/>
        <v>95626.193209999998</v>
      </c>
      <c r="F10" s="377"/>
      <c r="G10" s="378">
        <f t="shared" si="2"/>
        <v>-30254.415334999998</v>
      </c>
      <c r="H10" s="825">
        <v>81433.062380000003</v>
      </c>
      <c r="I10" s="826">
        <v>-7200.7877049999997</v>
      </c>
      <c r="J10" s="826">
        <v>-170896.37940000001</v>
      </c>
      <c r="K10" s="826">
        <v>-29216.503820000002</v>
      </c>
      <c r="L10" s="826">
        <v>0</v>
      </c>
      <c r="M10" s="827">
        <v>95626.193209999998</v>
      </c>
    </row>
    <row r="11" spans="1:13">
      <c r="A11" s="199">
        <v>7</v>
      </c>
      <c r="B11" s="198" t="s">
        <v>340</v>
      </c>
      <c r="C11" s="325">
        <f>SUM(H11,K11,L11)</f>
        <v>0</v>
      </c>
      <c r="D11" s="377">
        <f t="shared" si="0"/>
        <v>0</v>
      </c>
      <c r="E11" s="377">
        <f t="shared" si="1"/>
        <v>0</v>
      </c>
      <c r="F11" s="377"/>
      <c r="G11" s="378">
        <f t="shared" si="2"/>
        <v>0</v>
      </c>
      <c r="H11" s="825">
        <v>0</v>
      </c>
      <c r="I11" s="826">
        <v>0</v>
      </c>
      <c r="J11" s="826">
        <v>0</v>
      </c>
      <c r="K11" s="826">
        <v>0</v>
      </c>
      <c r="L11" s="826">
        <v>0</v>
      </c>
      <c r="M11" s="827">
        <v>0</v>
      </c>
    </row>
    <row r="12" spans="1:13">
      <c r="A12" s="199">
        <v>8</v>
      </c>
      <c r="B12" s="198" t="s">
        <v>341</v>
      </c>
      <c r="C12" s="325">
        <f>SUM(H12,K12,L12)</f>
        <v>0</v>
      </c>
      <c r="D12" s="377">
        <f t="shared" si="0"/>
        <v>0</v>
      </c>
      <c r="E12" s="377">
        <f t="shared" si="1"/>
        <v>0</v>
      </c>
      <c r="F12" s="377"/>
      <c r="G12" s="378">
        <f t="shared" si="2"/>
        <v>0</v>
      </c>
      <c r="H12" s="825">
        <v>0</v>
      </c>
      <c r="I12" s="826">
        <v>0</v>
      </c>
      <c r="J12" s="826">
        <v>0</v>
      </c>
      <c r="K12" s="826">
        <v>0</v>
      </c>
      <c r="L12" s="826">
        <v>0</v>
      </c>
      <c r="M12" s="827">
        <v>0</v>
      </c>
    </row>
    <row r="13" spans="1:13">
      <c r="A13" s="199"/>
      <c r="B13" s="200" t="s">
        <v>342</v>
      </c>
      <c r="C13" s="379">
        <f t="shared" ref="C13:M13" si="3">SUM(C5:C12)</f>
        <v>8673223.9759899992</v>
      </c>
      <c r="D13" s="379">
        <f t="shared" si="3"/>
        <v>14722079.769045001</v>
      </c>
      <c r="E13" s="379">
        <f t="shared" si="3"/>
        <v>414057.44785999996</v>
      </c>
      <c r="F13" s="379">
        <f t="shared" si="3"/>
        <v>0</v>
      </c>
      <c r="G13" s="379">
        <f t="shared" si="3"/>
        <v>23809361.192895003</v>
      </c>
      <c r="H13" s="379">
        <f t="shared" si="3"/>
        <v>7219255.2298799995</v>
      </c>
      <c r="I13" s="379">
        <f t="shared" si="3"/>
        <v>295497.73744499998</v>
      </c>
      <c r="J13" s="379">
        <f t="shared" si="3"/>
        <v>14426582.0316</v>
      </c>
      <c r="K13" s="379">
        <f t="shared" si="3"/>
        <v>857650.74611000007</v>
      </c>
      <c r="L13" s="379">
        <f t="shared" si="3"/>
        <v>596318</v>
      </c>
      <c r="M13" s="828">
        <f t="shared" si="3"/>
        <v>414057.44785999996</v>
      </c>
    </row>
    <row r="14" spans="1:13">
      <c r="A14" s="199">
        <v>9</v>
      </c>
      <c r="B14" s="198" t="s">
        <v>343</v>
      </c>
      <c r="C14" s="325">
        <f>SUM(H14,K14,L14)</f>
        <v>6202774.7400000002</v>
      </c>
      <c r="D14" s="377">
        <f>SUM(I14,J14)</f>
        <v>4657426.7200000007</v>
      </c>
      <c r="E14" s="377">
        <f>M14</f>
        <v>768463.5</v>
      </c>
      <c r="F14" s="377"/>
      <c r="G14" s="378">
        <f>SUM(C14:F14)</f>
        <v>11628664.960000001</v>
      </c>
      <c r="H14" s="825">
        <v>3342414.34</v>
      </c>
      <c r="I14" s="826">
        <v>1727610.5</v>
      </c>
      <c r="J14" s="826">
        <v>2929816.22</v>
      </c>
      <c r="K14" s="826">
        <v>2535623.9</v>
      </c>
      <c r="L14" s="826">
        <v>324736.5</v>
      </c>
      <c r="M14" s="827">
        <v>768463.5</v>
      </c>
    </row>
    <row r="15" spans="1:13">
      <c r="A15" s="199">
        <v>10</v>
      </c>
      <c r="B15" s="198" t="s">
        <v>344</v>
      </c>
      <c r="C15" s="325">
        <f>SUM(H15,K15,L15)</f>
        <v>2316296.0896000001</v>
      </c>
      <c r="D15" s="377">
        <f>SUM(I15,J15)</f>
        <v>7950060.7240000004</v>
      </c>
      <c r="E15" s="377">
        <f>M15</f>
        <v>0</v>
      </c>
      <c r="F15" s="377"/>
      <c r="G15" s="378">
        <f>SUM(C15:F15)</f>
        <v>10266356.8136</v>
      </c>
      <c r="H15" s="825">
        <v>1724828.6440000001</v>
      </c>
      <c r="I15" s="826">
        <v>36718.199999999997</v>
      </c>
      <c r="J15" s="826">
        <v>7913342.5240000002</v>
      </c>
      <c r="K15" s="826">
        <v>591467.44559999998</v>
      </c>
      <c r="L15" s="826">
        <v>0</v>
      </c>
      <c r="M15" s="827">
        <v>0</v>
      </c>
    </row>
    <row r="16" spans="1:13">
      <c r="A16" s="199">
        <v>11</v>
      </c>
      <c r="B16" s="198" t="s">
        <v>345</v>
      </c>
      <c r="C16" s="325">
        <f>SUM(H16,K16,L16)</f>
        <v>2789127.7600000002</v>
      </c>
      <c r="D16" s="377">
        <f>SUM(I16,J16)</f>
        <v>4077130.28</v>
      </c>
      <c r="E16" s="377">
        <f>M16</f>
        <v>0</v>
      </c>
      <c r="F16" s="377"/>
      <c r="G16" s="378">
        <f>SUM(C16:F16)</f>
        <v>6866258.04</v>
      </c>
      <c r="H16" s="825">
        <v>2435071.16</v>
      </c>
      <c r="I16" s="826">
        <v>211548</v>
      </c>
      <c r="J16" s="826">
        <v>3865582.28</v>
      </c>
      <c r="K16" s="826">
        <v>354056.6</v>
      </c>
      <c r="L16" s="826">
        <v>0</v>
      </c>
      <c r="M16" s="827">
        <v>0</v>
      </c>
    </row>
    <row r="17" spans="1:13">
      <c r="A17" s="199"/>
      <c r="B17" s="198" t="s">
        <v>346</v>
      </c>
      <c r="C17" s="325">
        <f>SUM(C14:C15)</f>
        <v>8519070.8296000008</v>
      </c>
      <c r="D17" s="377">
        <f>SUM(D14:D15)</f>
        <v>12607487.444000002</v>
      </c>
      <c r="E17" s="377">
        <f>SUM(E14:E15)</f>
        <v>768463.5</v>
      </c>
      <c r="F17" s="377"/>
      <c r="G17" s="378">
        <f>SUM(C17:F17)</f>
        <v>21895021.773600005</v>
      </c>
      <c r="H17" s="825">
        <f t="shared" ref="H17:M17" si="4">SUM(H14:H15)</f>
        <v>5067242.9840000002</v>
      </c>
      <c r="I17" s="826">
        <f t="shared" si="4"/>
        <v>1764328.7</v>
      </c>
      <c r="J17" s="826">
        <f t="shared" si="4"/>
        <v>10843158.744000001</v>
      </c>
      <c r="K17" s="826">
        <f t="shared" si="4"/>
        <v>3127091.3455999997</v>
      </c>
      <c r="L17" s="826">
        <f t="shared" si="4"/>
        <v>324736.5</v>
      </c>
      <c r="M17" s="827">
        <f t="shared" si="4"/>
        <v>768463.5</v>
      </c>
    </row>
    <row r="18" spans="1:13">
      <c r="A18" s="199"/>
      <c r="B18" s="200" t="s">
        <v>347</v>
      </c>
      <c r="C18" s="380">
        <f>IFERROR(C13/C17,0)</f>
        <v>1.0180950657029855</v>
      </c>
      <c r="D18" s="380">
        <f>IFERROR(D13/D17,0)</f>
        <v>1.1677251184613593</v>
      </c>
      <c r="E18" s="380">
        <f>IFERROR(E13/E17,0)</f>
        <v>0.53881212036746051</v>
      </c>
      <c r="F18" s="380">
        <f>IFERROR(F13/F17,0)</f>
        <v>0</v>
      </c>
      <c r="G18" s="380">
        <f>G13/G17</f>
        <v>1.0874326337324414</v>
      </c>
      <c r="H18" s="380">
        <f>H13/H17</f>
        <v>1.424690951800625</v>
      </c>
      <c r="I18" s="380">
        <f>IFERROR(I13/I17, 0)</f>
        <v>0.1674845154675543</v>
      </c>
      <c r="J18" s="380">
        <f>J13/J17</f>
        <v>1.330477803765703</v>
      </c>
      <c r="K18" s="380">
        <f>K13/K17</f>
        <v>0.27426469243271862</v>
      </c>
      <c r="L18" s="380">
        <f>L13/L17</f>
        <v>1.8363134418212921</v>
      </c>
      <c r="M18" s="829">
        <f>M13/M17</f>
        <v>0.53881212036746051</v>
      </c>
    </row>
    <row r="19" spans="1:13">
      <c r="A19" s="199"/>
      <c r="B19" s="198"/>
      <c r="C19" s="199"/>
      <c r="G19" s="198"/>
      <c r="H19" s="322"/>
      <c r="M19" s="323"/>
    </row>
    <row r="20" spans="1:13">
      <c r="A20" s="850" t="s">
        <v>348</v>
      </c>
      <c r="B20" s="551"/>
      <c r="C20" s="550"/>
      <c r="D20" s="549"/>
      <c r="E20" s="549"/>
      <c r="F20" s="549"/>
      <c r="G20" s="551"/>
      <c r="H20" s="556"/>
      <c r="I20" s="554"/>
      <c r="J20" s="554"/>
      <c r="K20" s="554"/>
      <c r="L20" s="554"/>
      <c r="M20" s="555"/>
    </row>
    <row r="21" spans="1:13">
      <c r="A21" s="199">
        <v>12</v>
      </c>
      <c r="B21" s="198" t="s">
        <v>349</v>
      </c>
      <c r="C21" s="325">
        <f>SUM(H21,K21,L21)</f>
        <v>88919372.070999995</v>
      </c>
      <c r="D21" s="377">
        <f>SUM(I21,J21)</f>
        <v>40404456.5436</v>
      </c>
      <c r="E21" s="377">
        <f>M21</f>
        <v>1918656.8259999999</v>
      </c>
      <c r="F21" s="377"/>
      <c r="G21" s="378">
        <f>SUM(C21:F21)</f>
        <v>131242485.44060001</v>
      </c>
      <c r="H21" s="826">
        <v>83304346.319999993</v>
      </c>
      <c r="I21" s="826">
        <v>878948.93359999999</v>
      </c>
      <c r="J21" s="826">
        <v>39525507.609999999</v>
      </c>
      <c r="K21" s="826">
        <v>4034582.7510000002</v>
      </c>
      <c r="L21" s="826">
        <v>1580443</v>
      </c>
      <c r="M21" s="830">
        <v>1918656.8259999999</v>
      </c>
    </row>
    <row r="22" spans="1:13">
      <c r="A22" s="199">
        <v>13</v>
      </c>
      <c r="B22" s="198" t="s">
        <v>350</v>
      </c>
      <c r="C22" s="325">
        <f>SUM(H22,K22,L22)</f>
        <v>4027226.1330000004</v>
      </c>
      <c r="D22" s="377">
        <f>SUM(I22,J22)</f>
        <v>8111557.5099999998</v>
      </c>
      <c r="E22" s="377">
        <f>M22</f>
        <v>0</v>
      </c>
      <c r="F22" s="377"/>
      <c r="G22" s="378">
        <f>SUM(C22:F22)</f>
        <v>12138783.642999999</v>
      </c>
      <c r="H22" s="826">
        <v>3218863.1630000002</v>
      </c>
      <c r="I22" s="826">
        <v>36718.199999999997</v>
      </c>
      <c r="J22" s="826">
        <v>8074839.3099999996</v>
      </c>
      <c r="K22" s="826">
        <v>808362.97</v>
      </c>
      <c r="L22" s="826">
        <v>0</v>
      </c>
      <c r="M22" s="830">
        <v>0</v>
      </c>
    </row>
    <row r="23" spans="1:13">
      <c r="A23" s="199"/>
      <c r="B23" s="200" t="s">
        <v>351</v>
      </c>
      <c r="C23" s="380">
        <f>IFERROR(C21/C22,0)</f>
        <v>22.079557773618564</v>
      </c>
      <c r="D23" s="380">
        <f>IFERROR(D21/D22,0)</f>
        <v>4.981097217616842</v>
      </c>
      <c r="E23" s="380">
        <f>IFERROR(E21/E22,0)</f>
        <v>0</v>
      </c>
      <c r="F23" s="380">
        <f>IFERROR(F21/F22,0)</f>
        <v>0</v>
      </c>
      <c r="G23" s="380">
        <f>G21/G22</f>
        <v>10.811831671147944</v>
      </c>
      <c r="H23" s="380">
        <f>H21/H22</f>
        <v>25.880052087197093</v>
      </c>
      <c r="I23" s="380">
        <f>IFERROR(I21/I22,0)</f>
        <v>23.937691215800342</v>
      </c>
      <c r="J23" s="380">
        <f>J21/J22</f>
        <v>4.8948971109618284</v>
      </c>
      <c r="K23" s="380">
        <f>K21/K22</f>
        <v>4.991053401419415</v>
      </c>
      <c r="L23" s="380">
        <f>IFERROR(L21/L22,0)</f>
        <v>0</v>
      </c>
      <c r="M23" s="831">
        <f>IFERROR(M21/M22,0)</f>
        <v>0</v>
      </c>
    </row>
    <row r="24" spans="1:13">
      <c r="A24" s="199"/>
      <c r="B24" s="198"/>
      <c r="C24" s="199"/>
      <c r="G24" s="198"/>
      <c r="H24" s="322"/>
      <c r="M24" s="832"/>
    </row>
    <row r="25" spans="1:13">
      <c r="A25" s="850" t="s">
        <v>352</v>
      </c>
      <c r="B25" s="551"/>
      <c r="C25" s="550"/>
      <c r="D25" s="549"/>
      <c r="E25" s="549"/>
      <c r="F25" s="549"/>
      <c r="G25" s="551"/>
      <c r="H25" s="556"/>
      <c r="I25" s="554"/>
      <c r="J25" s="554"/>
      <c r="K25" s="554"/>
      <c r="L25" s="554"/>
      <c r="M25" s="555"/>
    </row>
    <row r="26" spans="1:13">
      <c r="A26" s="199"/>
      <c r="B26" s="200" t="s">
        <v>353</v>
      </c>
      <c r="C26" s="380">
        <f>IFERROR(C13/(C14+C16),0)</f>
        <v>0.96455938840417799</v>
      </c>
      <c r="D26" s="380">
        <f>IFERROR(D13/(D14+D16),0)</f>
        <v>1.685498161961162</v>
      </c>
      <c r="E26" s="380">
        <f>IFERROR(E13/(E14+E16),0)</f>
        <v>0.53881212036746051</v>
      </c>
      <c r="F26" s="380">
        <f>IFERROR(F13/(F14+F16),0)</f>
        <v>0</v>
      </c>
      <c r="G26" s="380">
        <f>G13/(G14+G16)</f>
        <v>1.2873457863487727</v>
      </c>
      <c r="H26" s="380">
        <f>H13/(H14+H16)</f>
        <v>1.2495496924881939</v>
      </c>
      <c r="I26" s="380">
        <f>IFERROR(I13/(I14+I16),0)</f>
        <v>0.152384520112719</v>
      </c>
      <c r="J26" s="380">
        <f>J13/(J14+J16)</f>
        <v>2.1229927916074387</v>
      </c>
      <c r="K26" s="380">
        <f>K13/(K14+K16)</f>
        <v>0.29679777612438468</v>
      </c>
      <c r="L26" s="380">
        <f>L13/(L14+L16)</f>
        <v>1.8363134418212921</v>
      </c>
      <c r="M26" s="831">
        <f>M13/(M14+M16)</f>
        <v>0.53881212036746051</v>
      </c>
    </row>
    <row r="27" spans="1:13">
      <c r="A27" s="199"/>
      <c r="B27" s="198"/>
      <c r="C27" s="199"/>
      <c r="G27" s="198"/>
      <c r="H27" s="322"/>
      <c r="M27" s="323"/>
    </row>
    <row r="28" spans="1:13">
      <c r="A28" s="850" t="s">
        <v>354</v>
      </c>
      <c r="B28" s="551"/>
      <c r="C28" s="550"/>
      <c r="D28" s="549"/>
      <c r="E28" s="549"/>
      <c r="F28" s="549"/>
      <c r="G28" s="551"/>
      <c r="H28" s="556"/>
      <c r="I28" s="554"/>
      <c r="J28" s="554"/>
      <c r="K28" s="554"/>
      <c r="L28" s="554"/>
      <c r="M28" s="555"/>
    </row>
    <row r="29" spans="1:13">
      <c r="A29" s="199">
        <v>14</v>
      </c>
      <c r="B29" s="198" t="s">
        <v>355</v>
      </c>
      <c r="C29" s="325">
        <f>SUM(H29,K29,L29)</f>
        <v>8673223.9759899992</v>
      </c>
      <c r="D29" s="377">
        <f>SUM(I29,J29)</f>
        <v>14722079.769045001</v>
      </c>
      <c r="E29" s="377">
        <f>M29</f>
        <v>414057.44785999996</v>
      </c>
      <c r="F29" s="377"/>
      <c r="G29" s="378">
        <f>SUM(C29:F29)</f>
        <v>23809361.192894999</v>
      </c>
      <c r="H29" s="4">
        <f t="shared" ref="H29:M29" si="5">H13</f>
        <v>7219255.2298799995</v>
      </c>
      <c r="I29" s="4">
        <f t="shared" si="5"/>
        <v>295497.73744499998</v>
      </c>
      <c r="J29" s="4">
        <f t="shared" si="5"/>
        <v>14426582.0316</v>
      </c>
      <c r="K29" s="4">
        <f t="shared" si="5"/>
        <v>857650.74611000007</v>
      </c>
      <c r="L29" s="4">
        <f t="shared" si="5"/>
        <v>596318</v>
      </c>
      <c r="M29" s="323">
        <f t="shared" si="5"/>
        <v>414057.44785999996</v>
      </c>
    </row>
    <row r="30" spans="1:13">
      <c r="A30" s="199">
        <v>15</v>
      </c>
      <c r="B30" s="198" t="s">
        <v>356</v>
      </c>
      <c r="C30" s="325">
        <f>SUM(H30,K30,L30)</f>
        <v>37566188.969000004</v>
      </c>
      <c r="D30" s="377">
        <f>SUM(I30,J30)</f>
        <v>44348684.754000001</v>
      </c>
      <c r="E30" s="377">
        <f>M30</f>
        <v>2295354.4350000001</v>
      </c>
      <c r="F30" s="377"/>
      <c r="G30" s="378">
        <f>SUM(C30:F30)</f>
        <v>84210228.158000007</v>
      </c>
      <c r="H30" s="825">
        <v>29754525.370000001</v>
      </c>
      <c r="I30" s="826">
        <v>2606559.4339999999</v>
      </c>
      <c r="J30" s="826">
        <v>41742125.32</v>
      </c>
      <c r="K30" s="826">
        <v>5906483.5990000004</v>
      </c>
      <c r="L30" s="826">
        <v>1905180</v>
      </c>
      <c r="M30" s="827">
        <v>2295354.4350000001</v>
      </c>
    </row>
    <row r="31" spans="1:13">
      <c r="A31" s="199"/>
      <c r="B31" s="200" t="s">
        <v>357</v>
      </c>
      <c r="C31" s="380">
        <f>IFERROR(C29/C30,0)</f>
        <v>0.23087846316130792</v>
      </c>
      <c r="D31" s="380">
        <f>IFERROR(D29/D30,0)</f>
        <v>0.33196203789825252</v>
      </c>
      <c r="E31" s="380">
        <f>IFERROR(E29/E30,0)</f>
        <v>0.18038932965923407</v>
      </c>
      <c r="F31" s="380">
        <f>IFERROR(F29/F30,0)</f>
        <v>0</v>
      </c>
      <c r="G31" s="380">
        <f>G29/G30</f>
        <v>0.28273716523155029</v>
      </c>
      <c r="H31" s="380">
        <f>H29/H30</f>
        <v>0.24262713453190596</v>
      </c>
      <c r="I31" s="380">
        <f>IFERROR(I29/I30,0)</f>
        <v>0.11336696704112061</v>
      </c>
      <c r="J31" s="380">
        <f>J29/J30</f>
        <v>0.3456120626586246</v>
      </c>
      <c r="K31" s="380">
        <f>K29/K30</f>
        <v>0.14520496531222146</v>
      </c>
      <c r="L31" s="380">
        <f>L29/L30</f>
        <v>0.31299824688480876</v>
      </c>
      <c r="M31" s="831">
        <f>M29/M30</f>
        <v>0.18038932965923407</v>
      </c>
    </row>
    <row r="32" spans="1:13">
      <c r="A32" s="199"/>
      <c r="B32" s="196"/>
      <c r="C32" s="833"/>
      <c r="D32" s="834"/>
      <c r="E32" s="834"/>
      <c r="F32" s="834"/>
      <c r="G32" s="834"/>
      <c r="H32" s="833"/>
      <c r="I32" s="834"/>
      <c r="J32" s="834"/>
      <c r="K32" s="834"/>
      <c r="L32" s="834"/>
      <c r="M32" s="835"/>
    </row>
    <row r="33" spans="1:13">
      <c r="A33" s="850" t="s">
        <v>358</v>
      </c>
      <c r="B33" s="551"/>
      <c r="C33" s="550"/>
      <c r="D33" s="549"/>
      <c r="E33" s="549"/>
      <c r="F33" s="549"/>
      <c r="G33" s="551"/>
      <c r="H33" s="556"/>
      <c r="I33" s="554"/>
      <c r="J33" s="554"/>
      <c r="K33" s="554"/>
      <c r="L33" s="554"/>
      <c r="M33" s="555"/>
    </row>
    <row r="34" spans="1:13">
      <c r="A34" s="199">
        <v>16</v>
      </c>
      <c r="B34" s="198" t="s">
        <v>337</v>
      </c>
      <c r="C34" s="325">
        <f>SUM(H34,K34,L34)</f>
        <v>9044245.2080000006</v>
      </c>
      <c r="D34" s="377">
        <f>SUM(I34,J34)</f>
        <v>15885678.599199999</v>
      </c>
      <c r="E34" s="377">
        <f>M34</f>
        <v>367446.34759999998</v>
      </c>
      <c r="F34" s="377"/>
      <c r="G34" s="378">
        <f>SUM(C34:F34)</f>
        <v>25297370.154799998</v>
      </c>
      <c r="H34" s="825">
        <v>7635835.6459999997</v>
      </c>
      <c r="I34" s="826">
        <v>302620.7292</v>
      </c>
      <c r="J34" s="826">
        <v>15583057.869999999</v>
      </c>
      <c r="K34" s="826">
        <v>1017053.762</v>
      </c>
      <c r="L34" s="826">
        <v>391355.8</v>
      </c>
      <c r="M34" s="827">
        <v>367446.34759999998</v>
      </c>
    </row>
    <row r="35" spans="1:13">
      <c r="A35" s="199">
        <v>17</v>
      </c>
      <c r="B35" s="198" t="s">
        <v>338</v>
      </c>
      <c r="C35" s="325">
        <f>SUM(H35,K35,L35)</f>
        <v>1455835.4776099999</v>
      </c>
      <c r="D35" s="377">
        <f>SUM(I35,J35)</f>
        <v>2990074.4279799997</v>
      </c>
      <c r="E35" s="377">
        <f>M35</f>
        <v>22620.071189999999</v>
      </c>
      <c r="F35" s="377"/>
      <c r="G35" s="378">
        <f>SUM(C35:F35)</f>
        <v>4468529.9767799992</v>
      </c>
      <c r="H35" s="825">
        <v>1166027.108</v>
      </c>
      <c r="I35" s="826">
        <v>81411.027979999999</v>
      </c>
      <c r="J35" s="826">
        <v>2908663.4</v>
      </c>
      <c r="K35" s="826">
        <v>84846.169609999997</v>
      </c>
      <c r="L35" s="826">
        <v>204962.2</v>
      </c>
      <c r="M35" s="827">
        <v>22620.071189999999</v>
      </c>
    </row>
    <row r="36" spans="1:13">
      <c r="A36" s="199">
        <v>18</v>
      </c>
      <c r="B36" s="198" t="s">
        <v>339</v>
      </c>
      <c r="C36" s="325">
        <f>SUM(H36,K36,L36)</f>
        <v>49701.138710000007</v>
      </c>
      <c r="D36" s="377">
        <f>SUM(I36,J36)</f>
        <v>-230588.34211999999</v>
      </c>
      <c r="E36" s="377">
        <f>M36</f>
        <v>112772.8805</v>
      </c>
      <c r="F36" s="377"/>
      <c r="G36" s="378">
        <f>SUM(C36:F36)</f>
        <v>-68114.322909999988</v>
      </c>
      <c r="H36" s="825">
        <v>90724.977060000005</v>
      </c>
      <c r="I36" s="826">
        <v>-9208.0904200000004</v>
      </c>
      <c r="J36" s="826">
        <v>-221380.25169999999</v>
      </c>
      <c r="K36" s="826">
        <v>-41023.838349999998</v>
      </c>
      <c r="L36" s="826">
        <v>0</v>
      </c>
      <c r="M36" s="827">
        <v>112772.8805</v>
      </c>
    </row>
    <row r="37" spans="1:13">
      <c r="A37" s="199">
        <v>19</v>
      </c>
      <c r="B37" s="198" t="s">
        <v>340</v>
      </c>
      <c r="C37" s="325">
        <f>SUM(H37,K37,L37)</f>
        <v>137543.25509000002</v>
      </c>
      <c r="D37" s="377">
        <f>SUM(I37,J37)</f>
        <v>-213009.47313900001</v>
      </c>
      <c r="E37" s="377">
        <f>M37</f>
        <v>122452.0485</v>
      </c>
      <c r="F37" s="377"/>
      <c r="G37" s="378">
        <f>SUM(C37:F37)</f>
        <v>46985.830451000016</v>
      </c>
      <c r="H37" s="825">
        <v>175101.6814</v>
      </c>
      <c r="I37" s="826">
        <v>-9079.0630390000006</v>
      </c>
      <c r="J37" s="826">
        <v>-203930.41010000001</v>
      </c>
      <c r="K37" s="826">
        <v>-38115.041109999998</v>
      </c>
      <c r="L37" s="826">
        <v>556.61479999999995</v>
      </c>
      <c r="M37" s="827">
        <v>122452.0485</v>
      </c>
    </row>
    <row r="38" spans="1:13">
      <c r="A38" s="199"/>
      <c r="B38" s="200" t="s">
        <v>359</v>
      </c>
      <c r="C38" s="379">
        <f t="shared" ref="C38:M38" si="6">SUM(C34:C37)</f>
        <v>10687325.07941</v>
      </c>
      <c r="D38" s="379">
        <f t="shared" si="6"/>
        <v>18432155.211920999</v>
      </c>
      <c r="E38" s="379">
        <f t="shared" si="6"/>
        <v>625291.34779000003</v>
      </c>
      <c r="F38" s="379">
        <f t="shared" si="6"/>
        <v>0</v>
      </c>
      <c r="G38" s="379">
        <f t="shared" si="6"/>
        <v>29744771.639120996</v>
      </c>
      <c r="H38" s="379">
        <f t="shared" si="6"/>
        <v>9067689.4124599993</v>
      </c>
      <c r="I38" s="379">
        <f t="shared" si="6"/>
        <v>365744.60372100002</v>
      </c>
      <c r="J38" s="379">
        <f t="shared" si="6"/>
        <v>18066410.608199999</v>
      </c>
      <c r="K38" s="379">
        <f t="shared" si="6"/>
        <v>1022761.05215</v>
      </c>
      <c r="L38" s="379">
        <f t="shared" si="6"/>
        <v>596874.61479999998</v>
      </c>
      <c r="M38" s="828">
        <f t="shared" si="6"/>
        <v>625291.34779000003</v>
      </c>
    </row>
    <row r="39" spans="1:13">
      <c r="A39" s="199">
        <v>20</v>
      </c>
      <c r="B39" s="198" t="s">
        <v>344</v>
      </c>
      <c r="C39" s="325">
        <f>SUM(H39,K39,L39)</f>
        <v>2316296.0896000001</v>
      </c>
      <c r="D39" s="377">
        <f>SUM(I39,J39)</f>
        <v>7950060.7240000004</v>
      </c>
      <c r="E39" s="377">
        <f>M39</f>
        <v>0</v>
      </c>
      <c r="F39" s="377"/>
      <c r="G39" s="378">
        <f>SUM(C39:F39)</f>
        <v>10266356.8136</v>
      </c>
      <c r="H39" s="825">
        <v>1724828.6440000001</v>
      </c>
      <c r="I39" s="826">
        <v>36718.199999999997</v>
      </c>
      <c r="J39" s="826">
        <v>7913342.5240000002</v>
      </c>
      <c r="K39" s="826">
        <v>591467.44559999998</v>
      </c>
      <c r="L39" s="826">
        <v>0</v>
      </c>
      <c r="M39" s="827">
        <v>0</v>
      </c>
    </row>
    <row r="40" spans="1:13">
      <c r="A40" s="199">
        <v>21</v>
      </c>
      <c r="B40" s="198" t="s">
        <v>343</v>
      </c>
      <c r="C40" s="325">
        <f>SUM(H40,K40,L40)</f>
        <v>6202774.7400000002</v>
      </c>
      <c r="D40" s="377">
        <f>SUM(I40,J40)</f>
        <v>4657426.7200000007</v>
      </c>
      <c r="E40" s="377">
        <f>M40</f>
        <v>768463.5</v>
      </c>
      <c r="F40" s="377"/>
      <c r="G40" s="378">
        <f>SUM(C40:F40)</f>
        <v>11628664.960000001</v>
      </c>
      <c r="H40" s="825">
        <v>3342414.34</v>
      </c>
      <c r="I40" s="826">
        <v>1727610.5</v>
      </c>
      <c r="J40" s="826">
        <v>2929816.22</v>
      </c>
      <c r="K40" s="826">
        <v>2535623.9</v>
      </c>
      <c r="L40" s="826">
        <v>324736.5</v>
      </c>
      <c r="M40" s="827">
        <v>768463.5</v>
      </c>
    </row>
    <row r="41" spans="1:13">
      <c r="A41" s="199">
        <v>22</v>
      </c>
      <c r="B41" s="197" t="s">
        <v>345</v>
      </c>
      <c r="C41" s="381"/>
      <c r="D41" s="377"/>
      <c r="E41" s="377"/>
      <c r="F41" s="377"/>
      <c r="G41" s="378"/>
      <c r="H41" s="382"/>
      <c r="I41" s="383"/>
      <c r="J41" s="383"/>
      <c r="K41" s="383"/>
      <c r="L41" s="383"/>
      <c r="M41" s="323"/>
    </row>
    <row r="42" spans="1:13">
      <c r="A42" s="199"/>
      <c r="B42" s="196" t="s">
        <v>360</v>
      </c>
      <c r="C42" s="384">
        <f>SUM(C39:C41)</f>
        <v>8519070.8296000008</v>
      </c>
      <c r="D42" s="385">
        <f>SUM(D39:D41)</f>
        <v>12607487.444000002</v>
      </c>
      <c r="E42" s="385">
        <f>SUM(E39:E41)</f>
        <v>768463.5</v>
      </c>
      <c r="F42" s="385">
        <f>SUM(F39:F41)</f>
        <v>0</v>
      </c>
      <c r="G42" s="385">
        <f>SUM(C42:F42)</f>
        <v>21895021.773600005</v>
      </c>
      <c r="H42" s="384">
        <f t="shared" ref="H42:M42" si="7">SUM(H39:H40)</f>
        <v>5067242.9840000002</v>
      </c>
      <c r="I42" s="384">
        <f t="shared" si="7"/>
        <v>1764328.7</v>
      </c>
      <c r="J42" s="384">
        <f t="shared" si="7"/>
        <v>10843158.744000001</v>
      </c>
      <c r="K42" s="384">
        <f t="shared" si="7"/>
        <v>3127091.3455999997</v>
      </c>
      <c r="L42" s="384">
        <f t="shared" si="7"/>
        <v>324736.5</v>
      </c>
      <c r="M42" s="836">
        <f t="shared" si="7"/>
        <v>768463.5</v>
      </c>
    </row>
    <row r="43" spans="1:13" ht="15" thickBot="1">
      <c r="A43" s="199"/>
      <c r="B43" s="195" t="s">
        <v>361</v>
      </c>
      <c r="C43" s="386">
        <f>IFERROR(C38/C42,0)</f>
        <v>1.2545176925018953</v>
      </c>
      <c r="D43" s="386">
        <f>IFERROR(D38/D42,0)</f>
        <v>1.4620006796590546</v>
      </c>
      <c r="E43" s="386">
        <f>IFERROR(E38/E42,0)</f>
        <v>0.81369036758414681</v>
      </c>
      <c r="F43" s="386">
        <f>IFERROR(F38/F42,0)</f>
        <v>0</v>
      </c>
      <c r="G43" s="386">
        <f t="shared" ref="G43:M43" si="8">G38/G42</f>
        <v>1.3585175637955225</v>
      </c>
      <c r="H43" s="386">
        <f t="shared" si="8"/>
        <v>1.7894719951444111</v>
      </c>
      <c r="I43" s="386">
        <f t="shared" si="8"/>
        <v>0.20729958296376408</v>
      </c>
      <c r="J43" s="386">
        <f t="shared" si="8"/>
        <v>1.6661575316507233</v>
      </c>
      <c r="K43" s="386">
        <f t="shared" si="8"/>
        <v>0.32706465501530185</v>
      </c>
      <c r="L43" s="386">
        <f t="shared" si="8"/>
        <v>1.8380274924438738</v>
      </c>
      <c r="M43" s="837">
        <f t="shared" si="8"/>
        <v>0.81369036758414681</v>
      </c>
    </row>
    <row r="44" spans="1:13">
      <c r="A44" s="199"/>
      <c r="B44" s="198"/>
      <c r="C44" s="199"/>
      <c r="G44" s="198"/>
      <c r="H44" s="322"/>
      <c r="M44" s="323"/>
    </row>
    <row r="45" spans="1:13">
      <c r="A45" s="850" t="s">
        <v>362</v>
      </c>
      <c r="B45" s="551"/>
      <c r="C45" s="550"/>
      <c r="D45" s="549"/>
      <c r="E45" s="549"/>
      <c r="F45" s="549"/>
      <c r="G45" s="551"/>
      <c r="H45" s="556"/>
      <c r="I45" s="554"/>
      <c r="J45" s="554"/>
      <c r="K45" s="554"/>
      <c r="L45" s="554"/>
      <c r="M45" s="555"/>
    </row>
    <row r="46" spans="1:13">
      <c r="A46" s="199">
        <v>23</v>
      </c>
      <c r="B46" s="198" t="s">
        <v>334</v>
      </c>
      <c r="C46" s="325">
        <f t="shared" ref="C46:C54" si="9">SUM(H46,K46,L46)</f>
        <v>0</v>
      </c>
      <c r="D46" s="377">
        <f t="shared" ref="D46:D54" si="10">SUM(I46,J46)</f>
        <v>0</v>
      </c>
      <c r="E46" s="377">
        <f t="shared" ref="E46:E54" si="11">M46</f>
        <v>0</v>
      </c>
      <c r="G46" s="378">
        <f t="shared" ref="G46:G54" si="12">SUM(C46:F46)</f>
        <v>0</v>
      </c>
      <c r="H46" s="4">
        <v>0</v>
      </c>
      <c r="I46" s="4">
        <v>0</v>
      </c>
      <c r="J46" s="4">
        <v>0</v>
      </c>
      <c r="K46" s="4">
        <v>0</v>
      </c>
      <c r="L46" s="4">
        <v>0</v>
      </c>
      <c r="M46" s="378">
        <v>0</v>
      </c>
    </row>
    <row r="47" spans="1:13">
      <c r="A47" s="199">
        <v>24</v>
      </c>
      <c r="B47" s="198" t="s">
        <v>335</v>
      </c>
      <c r="C47" s="325">
        <f t="shared" si="9"/>
        <v>0</v>
      </c>
      <c r="D47" s="377">
        <f t="shared" si="10"/>
        <v>0</v>
      </c>
      <c r="E47" s="377">
        <f t="shared" si="11"/>
        <v>0</v>
      </c>
      <c r="F47" s="377"/>
      <c r="G47" s="378">
        <f t="shared" si="12"/>
        <v>0</v>
      </c>
      <c r="H47" s="4">
        <v>0</v>
      </c>
      <c r="I47" s="4">
        <v>0</v>
      </c>
      <c r="J47" s="4">
        <v>0</v>
      </c>
      <c r="K47" s="4">
        <v>0</v>
      </c>
      <c r="L47" s="4">
        <v>0</v>
      </c>
      <c r="M47" s="378">
        <v>0</v>
      </c>
    </row>
    <row r="48" spans="1:13">
      <c r="A48" s="199">
        <v>25</v>
      </c>
      <c r="B48" s="198" t="s">
        <v>336</v>
      </c>
      <c r="C48" s="325">
        <f t="shared" si="9"/>
        <v>0</v>
      </c>
      <c r="D48" s="377">
        <f t="shared" si="10"/>
        <v>0</v>
      </c>
      <c r="E48" s="377">
        <f t="shared" si="11"/>
        <v>0</v>
      </c>
      <c r="F48" s="377"/>
      <c r="G48" s="378">
        <f t="shared" si="12"/>
        <v>0</v>
      </c>
      <c r="H48" s="4">
        <v>0</v>
      </c>
      <c r="I48" s="4">
        <v>0</v>
      </c>
      <c r="J48" s="4">
        <v>0</v>
      </c>
      <c r="K48" s="4">
        <v>0</v>
      </c>
      <c r="L48" s="4">
        <v>0</v>
      </c>
      <c r="M48" s="378">
        <v>0</v>
      </c>
    </row>
    <row r="49" spans="1:13">
      <c r="A49" s="199">
        <v>26</v>
      </c>
      <c r="B49" s="198" t="s">
        <v>337</v>
      </c>
      <c r="C49" s="325">
        <f t="shared" si="9"/>
        <v>21265241.621999998</v>
      </c>
      <c r="D49" s="377">
        <f t="shared" si="10"/>
        <v>29216338.031199999</v>
      </c>
      <c r="E49" s="377">
        <f t="shared" si="11"/>
        <v>866416.33689999999</v>
      </c>
      <c r="F49" s="377"/>
      <c r="G49" s="378">
        <f t="shared" si="12"/>
        <v>51347995.990100004</v>
      </c>
      <c r="H49" s="825">
        <v>17917535.579999998</v>
      </c>
      <c r="I49" s="826">
        <v>555805.89119999995</v>
      </c>
      <c r="J49" s="826">
        <v>28660532.140000001</v>
      </c>
      <c r="K49" s="826">
        <v>2383565.5419999999</v>
      </c>
      <c r="L49" s="826">
        <v>964140.5</v>
      </c>
      <c r="M49" s="827">
        <v>866416.33689999999</v>
      </c>
    </row>
    <row r="50" spans="1:13">
      <c r="A50" s="199">
        <v>27</v>
      </c>
      <c r="B50" s="198" t="s">
        <v>338</v>
      </c>
      <c r="C50" s="325">
        <f t="shared" si="9"/>
        <v>1276789.62744</v>
      </c>
      <c r="D50" s="377">
        <f t="shared" si="10"/>
        <v>2885223.6391799999</v>
      </c>
      <c r="E50" s="377">
        <f t="shared" si="11"/>
        <v>19838.141729999999</v>
      </c>
      <c r="F50" s="377"/>
      <c r="G50" s="378">
        <f t="shared" si="12"/>
        <v>4181851.4083499997</v>
      </c>
      <c r="H50" s="825">
        <v>1022623.264</v>
      </c>
      <c r="I50" s="826">
        <v>78559.668179999993</v>
      </c>
      <c r="J50" s="826">
        <v>2806663.9709999999</v>
      </c>
      <c r="K50" s="826">
        <v>74411.363440000001</v>
      </c>
      <c r="L50" s="826">
        <v>179755</v>
      </c>
      <c r="M50" s="827">
        <v>19838.141729999999</v>
      </c>
    </row>
    <row r="51" spans="1:13">
      <c r="A51" s="199">
        <v>28</v>
      </c>
      <c r="B51" s="198" t="s">
        <v>339</v>
      </c>
      <c r="C51" s="325">
        <f t="shared" si="9"/>
        <v>175421.55700000003</v>
      </c>
      <c r="D51" s="377">
        <f t="shared" si="10"/>
        <v>-521496.91527999996</v>
      </c>
      <c r="E51" s="377">
        <f t="shared" si="11"/>
        <v>364609.59029999998</v>
      </c>
      <c r="F51" s="377"/>
      <c r="G51" s="378">
        <f t="shared" si="12"/>
        <v>18534.232020000054</v>
      </c>
      <c r="H51" s="825">
        <v>300805.27610000002</v>
      </c>
      <c r="I51" s="826">
        <v>-21029.491679999999</v>
      </c>
      <c r="J51" s="826">
        <v>-500467.42359999998</v>
      </c>
      <c r="K51" s="826">
        <v>-125383.7191</v>
      </c>
      <c r="L51" s="826"/>
      <c r="M51" s="827">
        <v>364609.59029999998</v>
      </c>
    </row>
    <row r="52" spans="1:13">
      <c r="A52" s="199">
        <v>29</v>
      </c>
      <c r="B52" s="198" t="s">
        <v>340</v>
      </c>
      <c r="C52" s="325">
        <f t="shared" si="9"/>
        <v>134580.33640999999</v>
      </c>
      <c r="D52" s="377">
        <f t="shared" si="10"/>
        <v>-211264.83633399999</v>
      </c>
      <c r="E52" s="377">
        <f t="shared" si="11"/>
        <v>120660.29459999999</v>
      </c>
      <c r="F52" s="377"/>
      <c r="G52" s="378">
        <f t="shared" si="12"/>
        <v>43975.79467599999</v>
      </c>
      <c r="H52" s="825">
        <v>171763.7611</v>
      </c>
      <c r="I52" s="826">
        <v>-8973.9242340000001</v>
      </c>
      <c r="J52" s="826">
        <v>-202290.91209999999</v>
      </c>
      <c r="K52" s="826">
        <v>-37680.350890000002</v>
      </c>
      <c r="L52" s="826">
        <v>496.92619999999999</v>
      </c>
      <c r="M52" s="827">
        <v>120660.29459999999</v>
      </c>
    </row>
    <row r="53" spans="1:13">
      <c r="A53" s="199">
        <v>30</v>
      </c>
      <c r="B53" s="198" t="s">
        <v>341</v>
      </c>
      <c r="C53" s="325">
        <f t="shared" si="9"/>
        <v>1345397.5854</v>
      </c>
      <c r="D53" s="377">
        <f t="shared" si="10"/>
        <v>2371365.8529000003</v>
      </c>
      <c r="E53" s="377">
        <f t="shared" si="11"/>
        <v>54266.819539999997</v>
      </c>
      <c r="F53" s="377"/>
      <c r="G53" s="378">
        <f t="shared" si="12"/>
        <v>3771030.2578400006</v>
      </c>
      <c r="H53" s="825">
        <v>1127106.3060000001</v>
      </c>
      <c r="I53" s="826">
        <v>45528.019899999999</v>
      </c>
      <c r="J53" s="826">
        <v>2325837.8330000001</v>
      </c>
      <c r="K53" s="826">
        <v>147674.32939999999</v>
      </c>
      <c r="L53" s="826">
        <v>70616.95</v>
      </c>
      <c r="M53" s="827">
        <v>54266.819539999997</v>
      </c>
    </row>
    <row r="54" spans="1:13">
      <c r="A54" s="199">
        <v>31</v>
      </c>
      <c r="B54" s="198" t="s">
        <v>363</v>
      </c>
      <c r="C54" s="325">
        <f t="shared" si="9"/>
        <v>1150778.8882000002</v>
      </c>
      <c r="D54" s="377">
        <f t="shared" si="10"/>
        <v>1613820.52697</v>
      </c>
      <c r="E54" s="377">
        <f t="shared" si="11"/>
        <v>62543.203450000001</v>
      </c>
      <c r="F54" s="377"/>
      <c r="G54" s="378">
        <f t="shared" si="12"/>
        <v>2827142.6186199998</v>
      </c>
      <c r="H54" s="322">
        <v>966190.74990000005</v>
      </c>
      <c r="I54" s="4">
        <v>31718.277969999999</v>
      </c>
      <c r="J54" s="4">
        <v>1582102.2490000001</v>
      </c>
      <c r="K54" s="4">
        <v>127393.35830000001</v>
      </c>
      <c r="L54" s="4">
        <v>57194.78</v>
      </c>
      <c r="M54" s="827">
        <v>62543.203450000001</v>
      </c>
    </row>
    <row r="55" spans="1:13">
      <c r="A55" s="199">
        <v>32</v>
      </c>
      <c r="B55" s="198" t="s">
        <v>364</v>
      </c>
      <c r="C55" s="199"/>
      <c r="E55" s="377"/>
      <c r="G55" s="198"/>
      <c r="H55" s="322"/>
      <c r="M55" s="323"/>
    </row>
    <row r="56" spans="1:13">
      <c r="A56" s="199"/>
      <c r="B56" s="200" t="s">
        <v>365</v>
      </c>
      <c r="C56" s="379">
        <f>SUM(C46:C55)</f>
        <v>25348209.616450001</v>
      </c>
      <c r="D56" s="379">
        <f>SUM(D46:D55)</f>
        <v>35353986.298635997</v>
      </c>
      <c r="E56" s="379">
        <f>SUM(E46:E55)</f>
        <v>1488334.3865199999</v>
      </c>
      <c r="F56" s="379">
        <f>SUM(F47:F55)</f>
        <v>0</v>
      </c>
      <c r="G56" s="324">
        <f>SUM(C56:F56)</f>
        <v>62190530.301605999</v>
      </c>
      <c r="H56" s="379">
        <f t="shared" ref="H56:M56" si="13">SUM(H46:H55)</f>
        <v>21506024.937099997</v>
      </c>
      <c r="I56" s="379">
        <f t="shared" si="13"/>
        <v>681608.44133599999</v>
      </c>
      <c r="J56" s="379">
        <f t="shared" si="13"/>
        <v>34672377.857300006</v>
      </c>
      <c r="K56" s="379">
        <f t="shared" si="13"/>
        <v>2569980.5231500003</v>
      </c>
      <c r="L56" s="379">
        <f t="shared" si="13"/>
        <v>1272204.1562000001</v>
      </c>
      <c r="M56" s="828">
        <f t="shared" si="13"/>
        <v>1488334.3865199999</v>
      </c>
    </row>
    <row r="57" spans="1:13">
      <c r="A57" s="199">
        <v>33</v>
      </c>
      <c r="B57" s="198" t="s">
        <v>343</v>
      </c>
      <c r="C57" s="325">
        <f>SUM(H57,K57,L57)</f>
        <v>6202774.7400000002</v>
      </c>
      <c r="D57" s="377">
        <f>SUM(I57,J57)</f>
        <v>4657426.7200000007</v>
      </c>
      <c r="E57" s="377">
        <f>M57</f>
        <v>768463.5</v>
      </c>
      <c r="F57" s="377"/>
      <c r="G57" s="378">
        <f>SUM(C57:F57)</f>
        <v>11628664.960000001</v>
      </c>
      <c r="H57" s="825">
        <v>3342414.34</v>
      </c>
      <c r="I57" s="826">
        <v>1727610.5</v>
      </c>
      <c r="J57" s="826">
        <v>2929816.22</v>
      </c>
      <c r="K57" s="826">
        <v>2535623.9</v>
      </c>
      <c r="L57" s="826">
        <v>324736.5</v>
      </c>
      <c r="M57" s="827">
        <v>768463.5</v>
      </c>
    </row>
    <row r="58" spans="1:13">
      <c r="A58" s="199">
        <v>34</v>
      </c>
      <c r="B58" s="198" t="s">
        <v>344</v>
      </c>
      <c r="C58" s="325">
        <f>SUM(H58,K58,L58)</f>
        <v>2316296.0896000001</v>
      </c>
      <c r="D58" s="377">
        <f>SUM(I58,J58)</f>
        <v>7950060.7240000004</v>
      </c>
      <c r="E58" s="377">
        <f>M58</f>
        <v>0</v>
      </c>
      <c r="F58" s="377"/>
      <c r="G58" s="378">
        <f>SUM(C58:F58)</f>
        <v>10266356.8136</v>
      </c>
      <c r="H58" s="825">
        <v>1724828.6440000001</v>
      </c>
      <c r="I58" s="826">
        <v>36718.199999999997</v>
      </c>
      <c r="J58" s="826">
        <v>7913342.5240000002</v>
      </c>
      <c r="K58" s="826">
        <v>591467.44559999998</v>
      </c>
      <c r="L58" s="826">
        <v>0</v>
      </c>
      <c r="M58" s="827">
        <v>0</v>
      </c>
    </row>
    <row r="59" spans="1:13">
      <c r="A59" s="199">
        <v>35</v>
      </c>
      <c r="B59" s="197" t="s">
        <v>345</v>
      </c>
      <c r="C59" s="381">
        <f>SUM(H59,K59,L59)</f>
        <v>0</v>
      </c>
      <c r="D59" s="377">
        <f>SUM(I59,J59)</f>
        <v>0</v>
      </c>
      <c r="E59" s="377">
        <f>M59</f>
        <v>0</v>
      </c>
      <c r="F59" s="377"/>
      <c r="G59" s="378">
        <f>SUM(C59:F59)</f>
        <v>0</v>
      </c>
      <c r="H59" s="382"/>
      <c r="I59" s="383"/>
      <c r="J59" s="383"/>
      <c r="K59" s="383"/>
      <c r="L59" s="383"/>
      <c r="M59" s="323"/>
    </row>
    <row r="60" spans="1:13">
      <c r="A60" s="199"/>
      <c r="B60" s="196" t="s">
        <v>366</v>
      </c>
      <c r="C60" s="384">
        <f>SUM(C57:C59)</f>
        <v>8519070.8296000008</v>
      </c>
      <c r="D60" s="385">
        <f>SUM(D57:D59)</f>
        <v>12607487.444000002</v>
      </c>
      <c r="E60" s="385">
        <f>SUM(E57:E59)</f>
        <v>768463.5</v>
      </c>
      <c r="F60" s="385">
        <f>SUM(F57:F59)</f>
        <v>0</v>
      </c>
      <c r="G60" s="385">
        <f>SUM(C60:F60)</f>
        <v>21895021.773600005</v>
      </c>
      <c r="H60" s="384">
        <f t="shared" ref="H60:M60" si="14">SUM(H57:H59)</f>
        <v>5067242.9840000002</v>
      </c>
      <c r="I60" s="384">
        <f t="shared" si="14"/>
        <v>1764328.7</v>
      </c>
      <c r="J60" s="384">
        <f t="shared" si="14"/>
        <v>10843158.744000001</v>
      </c>
      <c r="K60" s="384">
        <f t="shared" si="14"/>
        <v>3127091.3455999997</v>
      </c>
      <c r="L60" s="384">
        <f t="shared" si="14"/>
        <v>324736.5</v>
      </c>
      <c r="M60" s="836">
        <f t="shared" si="14"/>
        <v>768463.5</v>
      </c>
    </row>
    <row r="61" spans="1:13" ht="15" thickBot="1">
      <c r="A61" s="851"/>
      <c r="B61" s="195" t="s">
        <v>367</v>
      </c>
      <c r="C61" s="386">
        <f>IFERROR(C56/C60,0)</f>
        <v>2.9754664708710004</v>
      </c>
      <c r="D61" s="386">
        <f>IFERROR(D56/D60,0)</f>
        <v>2.8042055529042962</v>
      </c>
      <c r="E61" s="386">
        <f>IFERROR(E56/E60,0)</f>
        <v>1.9367665302515993</v>
      </c>
      <c r="F61" s="386">
        <f>IFERROR(F56/F60,0)</f>
        <v>0</v>
      </c>
      <c r="G61" s="386">
        <f>G56/G60</f>
        <v>2.840395910297401</v>
      </c>
      <c r="H61" s="386">
        <f>H56/H60</f>
        <v>4.2441274288614217</v>
      </c>
      <c r="I61" s="386">
        <f>IFERROR(I56/I60,0)</f>
        <v>0.38632735574499244</v>
      </c>
      <c r="J61" s="386">
        <f>J56/J60</f>
        <v>3.1976270638374418</v>
      </c>
      <c r="K61" s="386">
        <f>K56/K60</f>
        <v>0.82184376441900653</v>
      </c>
      <c r="L61" s="386">
        <f>L56/L60</f>
        <v>3.9176506373629083</v>
      </c>
      <c r="M61" s="837">
        <f>M56/M60</f>
        <v>1.9367665302515993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showGridLines="0" workbookViewId="0">
      <selection activeCell="C22" sqref="C22"/>
    </sheetView>
  </sheetViews>
  <sheetFormatPr defaultRowHeight="14.5"/>
  <sheetData>
    <row r="2" spans="2:2">
      <c r="B2" s="254" t="s">
        <v>368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6"/>
  <sheetViews>
    <sheetView showGridLines="0" zoomScale="110" zoomScaleNormal="110" workbookViewId="0">
      <selection activeCell="B6" sqref="B6:I6"/>
    </sheetView>
  </sheetViews>
  <sheetFormatPr defaultRowHeight="14.5"/>
  <cols>
    <col min="2" max="9" width="18" customWidth="1"/>
  </cols>
  <sheetData>
    <row r="1" spans="1:9" ht="15" thickBot="1"/>
    <row r="2" spans="1:9" ht="48">
      <c r="B2" s="6" t="s">
        <v>43</v>
      </c>
      <c r="C2" s="14" t="s">
        <v>44</v>
      </c>
      <c r="D2" s="14" t="s">
        <v>45</v>
      </c>
      <c r="E2" s="14" t="s">
        <v>46</v>
      </c>
      <c r="F2" s="409" t="s">
        <v>47</v>
      </c>
      <c r="G2" s="14" t="s">
        <v>48</v>
      </c>
      <c r="H2" s="14" t="s">
        <v>49</v>
      </c>
      <c r="I2" s="235" t="s">
        <v>50</v>
      </c>
    </row>
    <row r="3" spans="1:9" ht="15" thickBot="1">
      <c r="B3" s="236" t="s">
        <v>51</v>
      </c>
      <c r="C3" s="237" t="s">
        <v>52</v>
      </c>
      <c r="D3" s="237" t="s">
        <v>53</v>
      </c>
      <c r="E3" s="237" t="s">
        <v>54</v>
      </c>
      <c r="F3" s="237" t="s">
        <v>55</v>
      </c>
      <c r="G3" s="237" t="s">
        <v>56</v>
      </c>
      <c r="H3" s="237" t="s">
        <v>57</v>
      </c>
      <c r="I3" s="238" t="s">
        <v>58</v>
      </c>
    </row>
    <row r="4" spans="1:9" ht="39.75" customHeight="1">
      <c r="A4" s="391" t="s">
        <v>59</v>
      </c>
      <c r="B4" s="392">
        <f>'Ap B - Qtr Electric Master'!L39-'Table 1'!D4</f>
        <v>16217.221456354999</v>
      </c>
      <c r="C4" s="392">
        <f>'Tables 2-6'!B40</f>
        <v>95.331564999999998</v>
      </c>
      <c r="D4" s="393">
        <f>'Ap B - Qtr Electric Master'!L16+'Ap B - Qtr Electric Master'!L18</f>
        <v>521.61785897499999</v>
      </c>
      <c r="E4" s="393">
        <f>SUM(B4:D4)</f>
        <v>16834.170880329999</v>
      </c>
      <c r="F4" s="394"/>
      <c r="G4" s="395"/>
      <c r="H4" s="395"/>
      <c r="I4" s="396"/>
    </row>
    <row r="5" spans="1:9" ht="40.5" customHeight="1" thickBot="1">
      <c r="A5" s="397" t="s">
        <v>60</v>
      </c>
      <c r="B5" s="398">
        <f>'Ap B - Qtr Electric Master'!N39-'Table 1'!D5</f>
        <v>61292.686881883485</v>
      </c>
      <c r="C5" s="398">
        <f>'Tables 2-6'!C40</f>
        <v>407.55759999999998</v>
      </c>
      <c r="D5" s="399">
        <f>'Ap B - Qtr Electric Master'!N16+6280</f>
        <v>8315.248599999999</v>
      </c>
      <c r="E5" s="399">
        <f>SUM(B5:D5)</f>
        <v>70015.493081883484</v>
      </c>
      <c r="F5" s="399">
        <f>'Ap E - NJ CEA Benchmarks'!H12</f>
        <v>8673278.0698611047</v>
      </c>
      <c r="G5" s="400">
        <f>'Ap E - NJ CEA Benchmarks'!M12</f>
        <v>7.4000000000000003E-3</v>
      </c>
      <c r="H5" s="399">
        <f>F5*G5</f>
        <v>64182.257716972177</v>
      </c>
      <c r="I5" s="401">
        <f>E5/H5</f>
        <v>1.0908854810099455</v>
      </c>
    </row>
    <row r="6" spans="1:9" ht="68.25" customHeight="1">
      <c r="B6" s="871" t="s">
        <v>61</v>
      </c>
      <c r="C6" s="872"/>
      <c r="D6" s="872"/>
      <c r="E6" s="872"/>
      <c r="F6" s="872"/>
      <c r="G6" s="872"/>
      <c r="H6" s="872"/>
      <c r="I6" s="872"/>
    </row>
  </sheetData>
  <mergeCells count="1">
    <mergeCell ref="B6: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2"/>
  <sheetViews>
    <sheetView showGridLines="0" zoomScale="120" zoomScaleNormal="120" workbookViewId="0">
      <selection activeCell="A2" sqref="A2:K11"/>
    </sheetView>
  </sheetViews>
  <sheetFormatPr defaultRowHeight="14.5"/>
  <cols>
    <col min="1" max="1" width="50" customWidth="1"/>
    <col min="2" max="2" width="16.453125" customWidth="1"/>
    <col min="3" max="4" width="13.26953125" customWidth="1"/>
    <col min="5" max="5" width="14.7265625" bestFit="1" customWidth="1"/>
    <col min="6" max="6" width="14.7265625" customWidth="1"/>
    <col min="7" max="8" width="13.26953125" customWidth="1"/>
    <col min="9" max="9" width="14.54296875" customWidth="1"/>
    <col min="10" max="20" width="11.7265625" customWidth="1"/>
  </cols>
  <sheetData>
    <row r="1" spans="1:19" ht="15" thickBot="1">
      <c r="A1" t="s">
        <v>62</v>
      </c>
      <c r="M1" t="s">
        <v>63</v>
      </c>
      <c r="N1" t="s">
        <v>64</v>
      </c>
      <c r="P1" s="239"/>
      <c r="Q1" s="239"/>
      <c r="R1" s="240"/>
      <c r="S1" s="241"/>
    </row>
    <row r="2" spans="1:19" ht="15" thickBot="1">
      <c r="B2" s="876" t="s">
        <v>59</v>
      </c>
      <c r="C2" s="877"/>
      <c r="D2" s="877"/>
      <c r="E2" s="878"/>
      <c r="F2" s="876" t="s">
        <v>65</v>
      </c>
      <c r="G2" s="877"/>
      <c r="H2" s="877"/>
      <c r="I2" s="878"/>
      <c r="P2" s="239"/>
      <c r="Q2" s="239"/>
      <c r="R2" s="240"/>
      <c r="S2" s="241"/>
    </row>
    <row r="3" spans="1:19" ht="36">
      <c r="A3" s="428"/>
      <c r="B3" s="429" t="s">
        <v>66</v>
      </c>
      <c r="C3" s="14" t="s">
        <v>67</v>
      </c>
      <c r="D3" s="21" t="s">
        <v>68</v>
      </c>
      <c r="E3" s="430" t="s">
        <v>69</v>
      </c>
      <c r="F3" s="6" t="s">
        <v>70</v>
      </c>
      <c r="G3" s="14" t="s">
        <v>71</v>
      </c>
      <c r="H3" s="43" t="s">
        <v>72</v>
      </c>
      <c r="I3" s="430" t="s">
        <v>69</v>
      </c>
      <c r="J3" s="431" t="s">
        <v>73</v>
      </c>
      <c r="K3" s="430" t="s">
        <v>74</v>
      </c>
      <c r="M3" s="242">
        <f>$E$41</f>
        <v>1.1756298786114594</v>
      </c>
      <c r="N3" s="242">
        <f>$E$29</f>
        <v>0.54035077872057702</v>
      </c>
      <c r="P3" s="243"/>
      <c r="Q3" s="241"/>
    </row>
    <row r="4" spans="1:19">
      <c r="A4" s="432" t="s">
        <v>75</v>
      </c>
      <c r="B4" s="413">
        <f>'Table 1'!B4</f>
        <v>16217.221456354999</v>
      </c>
      <c r="C4" s="593">
        <v>95.331564999999998</v>
      </c>
      <c r="D4" s="594">
        <f>'Table 1'!D4</f>
        <v>521.61785897499999</v>
      </c>
      <c r="E4" s="595">
        <f t="shared" ref="E4:E9" si="0">SUM(B4:D4)</f>
        <v>16834.170880329999</v>
      </c>
      <c r="F4" s="427">
        <f>'Table 1'!B5</f>
        <v>61292.686881883485</v>
      </c>
      <c r="G4" s="593">
        <v>407.55759999999998</v>
      </c>
      <c r="H4" s="415">
        <f>'Table 1'!D5</f>
        <v>8315.248599999999</v>
      </c>
      <c r="I4" s="421">
        <f>SUM(F4:H4)</f>
        <v>70015.493081883484</v>
      </c>
      <c r="J4" s="417">
        <f>'Ap B - Qtr Electric Master'!M39</f>
        <v>59555.727832112461</v>
      </c>
      <c r="K4" s="433">
        <f>E4/J4</f>
        <v>0.28266249936169885</v>
      </c>
      <c r="P4" s="243"/>
    </row>
    <row r="5" spans="1:19">
      <c r="A5" s="432" t="s">
        <v>76</v>
      </c>
      <c r="B5" s="413">
        <f>'Ap B - Qtr Electric Master'!R39-D5</f>
        <v>221961.55738612503</v>
      </c>
      <c r="C5" s="593">
        <v>1464.615558</v>
      </c>
      <c r="D5" s="594">
        <f>'Ap B - Qtr Electric Master'!R16+'Ap B - Qtr Electric Master'!R18</f>
        <v>8160.2890535269999</v>
      </c>
      <c r="E5" s="595">
        <f>SUM(B5:D5)</f>
        <v>231586.46199765202</v>
      </c>
      <c r="F5" s="427">
        <f>'Ap B - Qtr Electric Master'!S39-'Tables 2-6'!H5</f>
        <v>821171.14285265247</v>
      </c>
      <c r="G5" s="593">
        <v>6389.4898759999996</v>
      </c>
      <c r="H5" s="415">
        <f>'Ap B - Qtr Electric Master'!S16+'Ap B - Qtr Electric Master'!S18</f>
        <v>35957.491000000002</v>
      </c>
      <c r="I5" s="416">
        <f t="shared" ref="I5:I9" si="1">SUM(F5:H5)</f>
        <v>863518.12372865248</v>
      </c>
      <c r="J5" s="420"/>
      <c r="K5" s="434"/>
      <c r="P5" s="243"/>
    </row>
    <row r="6" spans="1:19">
      <c r="A6" s="432" t="s">
        <v>77</v>
      </c>
      <c r="B6" s="563">
        <f>(B5/B4)*B7</f>
        <v>20.997480472087442</v>
      </c>
      <c r="C6" s="596">
        <f>(C5/C4)*C7</f>
        <v>0.2948540893998331</v>
      </c>
      <c r="D6" s="564">
        <f>SUM(('Ap B - Qtr Electric Master'!R16/'Ap B - Qtr Electric Master'!L16)*('Ap B - Qtr Electric Master'!Q16-0),('Ap B - Qtr Electric Master'!Q18))-2.293</f>
        <v>1.8917675630629684</v>
      </c>
      <c r="E6" s="565">
        <f>SUM(B6:D6)</f>
        <v>23.184102124550243</v>
      </c>
      <c r="F6" s="566">
        <f>(F5/F4)*F7</f>
        <v>87.095926829752102</v>
      </c>
      <c r="G6" s="596">
        <f>(G5/G4)*G7</f>
        <v>1.3591934091759592</v>
      </c>
      <c r="H6" s="567">
        <f>SUM(('Ap B - Qtr Electric Master'!S16/'Ap B - Qtr Electric Master'!N16)*'Ap B - Qtr Electric Master'!Q16,'Ap B - Qtr Electric Master'!Q18)</f>
        <v>4.187928545672996</v>
      </c>
      <c r="I6" s="852">
        <f>SUM(F6:H6)</f>
        <v>92.643048784601064</v>
      </c>
      <c r="J6" s="435"/>
      <c r="K6" s="436"/>
      <c r="L6" s="243"/>
      <c r="P6" s="243"/>
    </row>
    <row r="7" spans="1:19">
      <c r="A7" s="432" t="s">
        <v>78</v>
      </c>
      <c r="B7" s="414">
        <f>'Ap B - Qtr Electric Master'!T39-'Tables 2-6'!D7</f>
        <v>1.5341430960000002</v>
      </c>
      <c r="C7" s="597">
        <v>1.9192000000000001E-2</v>
      </c>
      <c r="D7" s="422">
        <f>'Ap B - Qtr Electric Master'!T18+'Ap B - Qtr Electric Master'!T16</f>
        <v>1.7987999999999997E-2</v>
      </c>
      <c r="E7" s="423">
        <f>SUM(B7:D7)</f>
        <v>1.5713230960000002</v>
      </c>
      <c r="F7" s="414">
        <f>'Ap B - Qtr Electric Master'!Q39-'Tables 2-6'!H7</f>
        <v>6.5008901229999996</v>
      </c>
      <c r="G7" s="597">
        <v>8.6696999999999996E-2</v>
      </c>
      <c r="H7" s="424">
        <f>'Ap B - Qtr Electric Master'!Q16+'Ap B - Qtr Electric Master'!Q18</f>
        <v>2.434091</v>
      </c>
      <c r="I7" s="853">
        <f>SUM(F7:H7)</f>
        <v>9.0216781229999992</v>
      </c>
      <c r="J7" s="435"/>
      <c r="K7" s="436"/>
      <c r="P7" s="243"/>
    </row>
    <row r="8" spans="1:19">
      <c r="A8" s="432" t="s">
        <v>79</v>
      </c>
      <c r="B8" s="413">
        <f>'Ap B - Qtr Electric Master'!R17</f>
        <v>2285.9629</v>
      </c>
      <c r="C8" s="418">
        <f>C5</f>
        <v>1464.615558</v>
      </c>
      <c r="D8" s="419"/>
      <c r="E8" s="416">
        <f>SUM(B8:D8)</f>
        <v>3750.578458</v>
      </c>
      <c r="F8" s="427">
        <f>'Ap B - Qtr Electric Master'!S17</f>
        <v>3649.3631999999998</v>
      </c>
      <c r="G8" s="418">
        <f>G5</f>
        <v>6389.4898759999996</v>
      </c>
      <c r="H8" s="419"/>
      <c r="I8" s="416">
        <f t="shared" si="1"/>
        <v>10038.853075999999</v>
      </c>
      <c r="J8" s="435"/>
      <c r="K8" s="436"/>
      <c r="L8" s="243"/>
      <c r="M8" s="243"/>
      <c r="N8" s="243"/>
      <c r="O8" s="243"/>
      <c r="P8" s="243"/>
    </row>
    <row r="9" spans="1:19" ht="15" thickBot="1">
      <c r="A9" s="437" t="s">
        <v>80</v>
      </c>
      <c r="B9" s="412">
        <f>' Ap D - Qtr Electric Business'!J20</f>
        <v>54265.2</v>
      </c>
      <c r="C9" s="411"/>
      <c r="D9" s="425"/>
      <c r="E9" s="426">
        <f t="shared" si="0"/>
        <v>54265.2</v>
      </c>
      <c r="F9" s="412">
        <f>' Ap D - Qtr Electric Business'!L20</f>
        <v>132117.4</v>
      </c>
      <c r="G9" s="411"/>
      <c r="H9" s="425"/>
      <c r="I9" s="426">
        <f t="shared" si="1"/>
        <v>132117.4</v>
      </c>
      <c r="J9" s="438"/>
      <c r="K9" s="439"/>
      <c r="L9" s="243"/>
      <c r="M9" s="243"/>
      <c r="N9" s="243"/>
      <c r="O9" s="243"/>
      <c r="P9" s="243"/>
    </row>
    <row r="10" spans="1:19" ht="18" customHeight="1" thickBot="1">
      <c r="A10" s="547" t="s">
        <v>81</v>
      </c>
      <c r="B10" s="548"/>
      <c r="C10" s="548"/>
      <c r="D10" s="544"/>
      <c r="E10" s="548"/>
      <c r="F10" s="543">
        <f>'AP H - CostTest'!G13</f>
        <v>23809361.192895003</v>
      </c>
      <c r="G10" s="544"/>
      <c r="H10" s="544"/>
      <c r="I10" s="590">
        <f>F10</f>
        <v>23809361.192895003</v>
      </c>
      <c r="J10" s="546"/>
      <c r="K10" s="545"/>
      <c r="L10" s="243"/>
    </row>
    <row r="11" spans="1:19" ht="18" customHeight="1">
      <c r="A11" s="445" t="s">
        <v>82</v>
      </c>
      <c r="B11" s="410"/>
      <c r="C11" s="410"/>
      <c r="D11" s="410"/>
      <c r="E11" s="410"/>
      <c r="F11" s="410"/>
      <c r="G11" s="410"/>
      <c r="H11" s="410"/>
      <c r="I11" s="243"/>
      <c r="J11" s="243"/>
      <c r="K11" s="243"/>
      <c r="L11" s="243"/>
    </row>
    <row r="12" spans="1:19">
      <c r="B12" s="408"/>
      <c r="C12" s="9"/>
      <c r="D12" s="407"/>
      <c r="I12" s="243"/>
      <c r="J12" s="404"/>
      <c r="K12" s="243"/>
      <c r="L12" s="243"/>
    </row>
    <row r="13" spans="1:19">
      <c r="G13" s="403"/>
      <c r="H13" s="244"/>
      <c r="I13" s="243"/>
      <c r="J13" s="243"/>
      <c r="K13" s="243"/>
      <c r="L13" s="243"/>
    </row>
    <row r="14" spans="1:19">
      <c r="A14" s="243" t="s">
        <v>83</v>
      </c>
      <c r="G14" s="244"/>
      <c r="J14" s="243"/>
      <c r="K14" s="243"/>
      <c r="L14" s="243"/>
    </row>
    <row r="15" spans="1:19" ht="36">
      <c r="A15" s="189" t="s">
        <v>84</v>
      </c>
      <c r="B15" s="189" t="s">
        <v>85</v>
      </c>
      <c r="C15" s="31" t="s">
        <v>86</v>
      </c>
      <c r="D15" s="31" t="s">
        <v>87</v>
      </c>
      <c r="E15" s="188" t="s">
        <v>88</v>
      </c>
      <c r="G15" s="244"/>
      <c r="I15" s="403"/>
    </row>
    <row r="16" spans="1:19">
      <c r="A16" s="194" t="s">
        <v>20</v>
      </c>
      <c r="B16" s="326">
        <f>'Ap B - Qtr Electric Master'!D$19</f>
        <v>270267</v>
      </c>
      <c r="C16" s="326">
        <f>'Ap B - Qtr Electric Master'!F$19</f>
        <v>429748</v>
      </c>
      <c r="D16" s="326">
        <f>'Ap B - Qtr Electric Master'!E$19</f>
        <v>88435</v>
      </c>
      <c r="E16" s="192">
        <f>C16/D16</f>
        <v>4.859478713179171</v>
      </c>
      <c r="G16" s="244"/>
    </row>
    <row r="17" spans="1:12">
      <c r="A17" s="194" t="s">
        <v>89</v>
      </c>
      <c r="B17" s="327">
        <f>'Ap B - Qtr Electric Master'!D$32</f>
        <v>140</v>
      </c>
      <c r="C17" s="326">
        <f>'Ap B - Qtr Electric Master'!F$32</f>
        <v>1377</v>
      </c>
      <c r="D17" s="326">
        <f>'Ap B - Qtr Electric Master'!E$32</f>
        <v>2088</v>
      </c>
      <c r="E17" s="192">
        <f t="shared" ref="E17:E18" si="2">C17/D17</f>
        <v>0.65948275862068961</v>
      </c>
      <c r="G17" s="244"/>
    </row>
    <row r="18" spans="1:12" ht="16.5">
      <c r="A18" s="194" t="s">
        <v>90</v>
      </c>
      <c r="B18" s="326">
        <f>'Ap B - Qtr Electric Master'!D$26</f>
        <v>93</v>
      </c>
      <c r="C18" s="326">
        <f>'Ap B - Qtr Electric Master'!F$26</f>
        <v>317</v>
      </c>
      <c r="D18" s="326">
        <f>'Ap B - Qtr Electric Master'!E$26</f>
        <v>126748</v>
      </c>
      <c r="E18" s="192">
        <f t="shared" si="2"/>
        <v>2.5010256572095811E-3</v>
      </c>
      <c r="G18" s="244"/>
    </row>
    <row r="19" spans="1:12">
      <c r="A19" s="187" t="s">
        <v>91</v>
      </c>
      <c r="B19" s="328">
        <f>SUM(B16:B18)</f>
        <v>270500</v>
      </c>
      <c r="C19" s="191">
        <f>SUM(C16:C18)</f>
        <v>431442</v>
      </c>
      <c r="D19" s="191">
        <f>SUM(D16:D18)</f>
        <v>217271</v>
      </c>
      <c r="E19" s="190">
        <f>C19/D19</f>
        <v>1.9857321041464346</v>
      </c>
      <c r="G19" s="244"/>
    </row>
    <row r="20" spans="1:12" ht="16.5">
      <c r="A20" s="194" t="s">
        <v>92</v>
      </c>
      <c r="B20" s="653">
        <v>120</v>
      </c>
      <c r="C20" s="653">
        <v>507</v>
      </c>
      <c r="D20" s="653">
        <v>619</v>
      </c>
      <c r="E20" s="192">
        <f>C20/D20</f>
        <v>0.81906300484652661</v>
      </c>
      <c r="G20" s="244"/>
    </row>
    <row r="21" spans="1:12" ht="15" thickBot="1">
      <c r="A21" s="187" t="s">
        <v>93</v>
      </c>
      <c r="B21" s="191">
        <f>SUM(B19:B20)</f>
        <v>270620</v>
      </c>
      <c r="C21" s="191">
        <f>SUM(C19:C20)</f>
        <v>431949</v>
      </c>
      <c r="D21" s="191">
        <f>SUM(D19:D20)</f>
        <v>217890</v>
      </c>
      <c r="E21" s="190">
        <f>C21/D21</f>
        <v>1.9824177337188489</v>
      </c>
      <c r="G21" s="244"/>
    </row>
    <row r="22" spans="1:12" ht="84" customHeight="1">
      <c r="A22" s="879" t="s">
        <v>94</v>
      </c>
      <c r="B22" s="880"/>
      <c r="C22" s="880"/>
      <c r="D22" s="880"/>
      <c r="E22" s="880"/>
      <c r="F22" s="402"/>
    </row>
    <row r="24" spans="1:12">
      <c r="A24" t="s">
        <v>95</v>
      </c>
    </row>
    <row r="25" spans="1:12" ht="36">
      <c r="A25" s="189" t="s">
        <v>96</v>
      </c>
      <c r="B25" s="189" t="s">
        <v>97</v>
      </c>
      <c r="C25" s="31" t="s">
        <v>98</v>
      </c>
      <c r="D25" s="31" t="s">
        <v>99</v>
      </c>
      <c r="E25" s="188" t="s">
        <v>100</v>
      </c>
    </row>
    <row r="26" spans="1:12">
      <c r="A26" s="194" t="s">
        <v>20</v>
      </c>
      <c r="B26" s="179">
        <f>'Ap B - Qtr Electric Master'!H$19</f>
        <v>2954.7795999999998</v>
      </c>
      <c r="C26" s="179">
        <f>'Ap B - Qtr Electric Master'!J$19</f>
        <v>9325.0496000000003</v>
      </c>
      <c r="D26" s="179">
        <f>'Ap B - Qtr Electric Master'!I$19</f>
        <v>15851.740000000002</v>
      </c>
      <c r="E26" s="192">
        <f t="shared" ref="E26:E31" si="3">C26/D26</f>
        <v>0.58826662561964804</v>
      </c>
    </row>
    <row r="27" spans="1:12">
      <c r="A27" s="194" t="s">
        <v>89</v>
      </c>
      <c r="B27" s="179">
        <f>'Ap B - Qtr Electric Master'!H$32</f>
        <v>294.12380999999999</v>
      </c>
      <c r="C27" s="179">
        <f>'Ap B - Qtr Electric Master'!J$32</f>
        <v>756.12381000000005</v>
      </c>
      <c r="D27" s="179">
        <f>'Ap B - Qtr Electric Master'!I$32</f>
        <v>1364.884</v>
      </c>
      <c r="E27" s="192">
        <f t="shared" si="3"/>
        <v>0.55398393563115989</v>
      </c>
      <c r="L27" s="377"/>
    </row>
    <row r="28" spans="1:12">
      <c r="A28" s="194" t="s">
        <v>101</v>
      </c>
      <c r="B28" s="179">
        <f>'Ap B - Qtr Electric Master'!H$26</f>
        <v>2235.3010799999997</v>
      </c>
      <c r="C28" s="179">
        <f>'Ap B - Qtr Electric Master'!J$26</f>
        <v>8871.3010800000011</v>
      </c>
      <c r="D28" s="179">
        <f>'Ap B - Qtr Electric Master'!I$26</f>
        <v>17857.767000000003</v>
      </c>
      <c r="E28" s="192">
        <f t="shared" si="3"/>
        <v>0.49677549718282243</v>
      </c>
    </row>
    <row r="29" spans="1:12">
      <c r="A29" s="187" t="s">
        <v>91</v>
      </c>
      <c r="B29" s="186">
        <f>SUM(B26:B28)</f>
        <v>5484.2044900000001</v>
      </c>
      <c r="C29" s="186">
        <f>SUM(C26:C28)</f>
        <v>18952.474490000001</v>
      </c>
      <c r="D29" s="186">
        <f>SUM(D26:D28)</f>
        <v>35074.391000000003</v>
      </c>
      <c r="E29" s="190">
        <f t="shared" si="3"/>
        <v>0.54035077872057702</v>
      </c>
      <c r="L29" s="377"/>
    </row>
    <row r="30" spans="1:12">
      <c r="A30" s="194" t="s">
        <v>41</v>
      </c>
      <c r="B30" s="592">
        <v>593.07000000000005</v>
      </c>
      <c r="C30" s="592">
        <v>2039.6</v>
      </c>
      <c r="D30" s="592">
        <f>2374979.17/1000</f>
        <v>2374.9791700000001</v>
      </c>
      <c r="E30" s="192">
        <f t="shared" si="3"/>
        <v>0.85878647937783803</v>
      </c>
    </row>
    <row r="31" spans="1:12" ht="15" thickBot="1">
      <c r="A31" s="187" t="s">
        <v>93</v>
      </c>
      <c r="B31" s="186">
        <f>SUM(B29:B30)</f>
        <v>6077.2744899999998</v>
      </c>
      <c r="C31" s="186">
        <f>SUM(C29:C30)</f>
        <v>20992.074489999999</v>
      </c>
      <c r="D31" s="186">
        <f>SUM(D29:D30)</f>
        <v>37449.370170000002</v>
      </c>
      <c r="E31" s="190">
        <f t="shared" si="3"/>
        <v>0.56054546163813357</v>
      </c>
    </row>
    <row r="32" spans="1:12" ht="27" customHeight="1">
      <c r="A32" s="873" t="s">
        <v>102</v>
      </c>
      <c r="B32" s="880"/>
      <c r="C32" s="880"/>
      <c r="D32" s="880"/>
      <c r="E32" s="880"/>
      <c r="F32" s="402"/>
    </row>
    <row r="34" spans="1:10">
      <c r="A34" t="s">
        <v>103</v>
      </c>
    </row>
    <row r="35" spans="1:10" ht="36">
      <c r="A35" s="189" t="s">
        <v>104</v>
      </c>
      <c r="B35" s="189" t="s">
        <v>105</v>
      </c>
      <c r="C35" s="31" t="s">
        <v>106</v>
      </c>
      <c r="D35" s="31" t="s">
        <v>107</v>
      </c>
      <c r="E35" s="188" t="s">
        <v>108</v>
      </c>
      <c r="J35" s="239"/>
    </row>
    <row r="36" spans="1:10">
      <c r="A36" s="194" t="s">
        <v>20</v>
      </c>
      <c r="B36" s="193">
        <f>'Ap B - Qtr Electric Master'!L$19</f>
        <v>9722.9279153299976</v>
      </c>
      <c r="C36" s="193">
        <f>'Ap B - Qtr Electric Master'!N$19</f>
        <v>47326.175181883489</v>
      </c>
      <c r="D36" s="193">
        <f>'Ap B - Qtr Electric Master'!M$19</f>
        <v>19881.583999999999</v>
      </c>
      <c r="E36" s="192">
        <f>C36/D36</f>
        <v>2.3804026470870476</v>
      </c>
      <c r="J36" s="245"/>
    </row>
    <row r="37" spans="1:10">
      <c r="A37" s="194" t="s">
        <v>89</v>
      </c>
      <c r="B37" s="193">
        <f>'Ap B - Qtr Electric Master'!L$32</f>
        <v>48.620399999999997</v>
      </c>
      <c r="C37" s="193">
        <f>'Ap B - Qtr Electric Master'!N$32</f>
        <v>735.91510000000005</v>
      </c>
      <c r="D37" s="193">
        <f>'Ap B - Qtr Electric Master'!M$32</f>
        <v>2298.1190000000001</v>
      </c>
      <c r="E37" s="192">
        <f>C37/D37</f>
        <v>0.32022497529501304</v>
      </c>
      <c r="J37" s="246"/>
    </row>
    <row r="38" spans="1:10">
      <c r="A38" s="194" t="s">
        <v>101</v>
      </c>
      <c r="B38" s="193">
        <f>'Ap B - Qtr Electric Master'!L$26</f>
        <v>6967.2909999999993</v>
      </c>
      <c r="C38" s="193">
        <f>'Ap B - Qtr Electric Master'!N$26</f>
        <v>21545.8452</v>
      </c>
      <c r="D38" s="193">
        <f>'Ap B - Qtr Electric Master'!M$26</f>
        <v>37376.024832112467</v>
      </c>
      <c r="E38" s="192">
        <f>C38/D38</f>
        <v>0.57646165681826045</v>
      </c>
    </row>
    <row r="39" spans="1:10">
      <c r="A39" s="187" t="s">
        <v>91</v>
      </c>
      <c r="B39" s="191">
        <f>SUM(B36:B38)</f>
        <v>16738.839315329998</v>
      </c>
      <c r="C39" s="191">
        <f>SUM(C36:C38)</f>
        <v>69607.935481883484</v>
      </c>
      <c r="D39" s="191">
        <f>SUM(D36:D38)</f>
        <v>59555.727832112461</v>
      </c>
      <c r="E39" s="190">
        <f>C39/D39</f>
        <v>1.1687865804966431</v>
      </c>
    </row>
    <row r="40" spans="1:10">
      <c r="A40" s="194" t="s">
        <v>41</v>
      </c>
      <c r="B40" s="593">
        <v>95.331564999999998</v>
      </c>
      <c r="C40" s="593">
        <v>407.55759999999998</v>
      </c>
      <c r="D40" s="327" t="s">
        <v>109</v>
      </c>
      <c r="E40" s="329" t="s">
        <v>109</v>
      </c>
    </row>
    <row r="41" spans="1:10" ht="15" thickBot="1">
      <c r="A41" s="187" t="s">
        <v>93</v>
      </c>
      <c r="B41" s="191">
        <f>SUM(B39:B40)</f>
        <v>16834.170880329999</v>
      </c>
      <c r="C41" s="191">
        <f>SUM(C39:C40)</f>
        <v>70015.493081883484</v>
      </c>
      <c r="D41" s="191">
        <f>SUM(D39:D40)</f>
        <v>59555.727832112461</v>
      </c>
      <c r="E41" s="190">
        <f>C41/D41</f>
        <v>1.1756298786114594</v>
      </c>
    </row>
    <row r="42" spans="1:10" ht="27" customHeight="1">
      <c r="A42" s="873" t="s">
        <v>110</v>
      </c>
      <c r="B42" s="874"/>
      <c r="C42" s="874"/>
      <c r="D42" s="874"/>
      <c r="E42" s="874"/>
    </row>
    <row r="44" spans="1:10">
      <c r="A44" t="s">
        <v>111</v>
      </c>
    </row>
    <row r="45" spans="1:10" ht="47.25" customHeight="1">
      <c r="A45" s="189" t="s">
        <v>112</v>
      </c>
      <c r="B45" s="189" t="s">
        <v>113</v>
      </c>
      <c r="C45" s="31" t="s">
        <v>114</v>
      </c>
      <c r="D45" s="31" t="s">
        <v>115</v>
      </c>
      <c r="E45" s="330" t="s">
        <v>116</v>
      </c>
    </row>
    <row r="46" spans="1:10">
      <c r="A46" s="194" t="s">
        <v>117</v>
      </c>
      <c r="B46" s="592">
        <f>SUM('Ap B - Qtr Electric Master'!H11,'Ap B - Qtr Electric Master'!H38)</f>
        <v>1057.5181300000002</v>
      </c>
      <c r="C46" s="592">
        <f>SUM('Ap B - Qtr Electric Master'!J11,'Ap B - Qtr Electric Master'!J38)</f>
        <v>1339.7881300000001</v>
      </c>
      <c r="D46" s="592">
        <v>500</v>
      </c>
      <c r="E46" s="474">
        <f>C46/D46</f>
        <v>2.6795762600000002</v>
      </c>
      <c r="F46" s="377"/>
    </row>
    <row r="47" spans="1:10">
      <c r="A47" s="194" t="s">
        <v>118</v>
      </c>
      <c r="B47" s="592">
        <v>467.03234999999989</v>
      </c>
      <c r="C47" s="592">
        <v>1506.77756</v>
      </c>
      <c r="D47" s="592">
        <v>1371.44372629599</v>
      </c>
      <c r="E47" s="474">
        <f t="shared" ref="E47:E53" si="4">C47/D47</f>
        <v>1.098679829955197</v>
      </c>
      <c r="F47" s="377"/>
    </row>
    <row r="48" spans="1:10">
      <c r="A48" s="194" t="s">
        <v>119</v>
      </c>
      <c r="B48" s="592">
        <v>317.67556999999994</v>
      </c>
      <c r="C48" s="592">
        <v>1432.2401</v>
      </c>
      <c r="D48" s="592">
        <v>1498.5066260456526</v>
      </c>
      <c r="E48" s="474">
        <f t="shared" si="4"/>
        <v>0.95577828960254874</v>
      </c>
      <c r="F48" s="377"/>
    </row>
    <row r="49" spans="1:10">
      <c r="A49" s="194" t="s">
        <v>120</v>
      </c>
      <c r="B49" s="592">
        <v>1408.1014299999999</v>
      </c>
      <c r="C49" s="592">
        <v>5087.4146299999993</v>
      </c>
      <c r="D49" s="592">
        <v>6555.1739565200687</v>
      </c>
      <c r="E49" s="474">
        <f t="shared" si="4"/>
        <v>0.77609147579368654</v>
      </c>
      <c r="F49" s="377"/>
    </row>
    <row r="50" spans="1:10">
      <c r="A50" s="194" t="s">
        <v>121</v>
      </c>
      <c r="B50" s="592">
        <v>2115.9795800000002</v>
      </c>
      <c r="C50" s="592">
        <v>7467.3599900000008</v>
      </c>
      <c r="D50" s="592">
        <v>22217.839059534388</v>
      </c>
      <c r="E50" s="474">
        <f t="shared" si="4"/>
        <v>0.33609749219942781</v>
      </c>
      <c r="F50" s="377"/>
    </row>
    <row r="51" spans="1:10">
      <c r="A51" s="194" t="s">
        <v>122</v>
      </c>
      <c r="B51" s="592">
        <v>604.50000000000045</v>
      </c>
      <c r="C51" s="592">
        <v>1827.8030000000008</v>
      </c>
      <c r="D51" s="592">
        <v>2057.8517908994831</v>
      </c>
      <c r="E51" s="474">
        <f t="shared" si="4"/>
        <v>0.88820925203805445</v>
      </c>
      <c r="F51" s="377"/>
    </row>
    <row r="52" spans="1:10">
      <c r="A52" s="194" t="s">
        <v>123</v>
      </c>
      <c r="B52" s="592">
        <v>307.58842999999996</v>
      </c>
      <c r="C52" s="592">
        <v>971.00050999999985</v>
      </c>
      <c r="D52" s="592">
        <v>903.84136905969751</v>
      </c>
      <c r="E52" s="474">
        <f t="shared" si="4"/>
        <v>1.0743041237536746</v>
      </c>
      <c r="F52" s="377"/>
    </row>
    <row r="53" spans="1:10">
      <c r="A53" s="194" t="s">
        <v>124</v>
      </c>
      <c r="B53" s="592">
        <v>64.078389999999999</v>
      </c>
      <c r="C53" s="592">
        <v>210.28676999999999</v>
      </c>
      <c r="D53" s="592">
        <v>219.73431192075668</v>
      </c>
      <c r="E53" s="474">
        <f t="shared" si="4"/>
        <v>0.95700470337029664</v>
      </c>
      <c r="F53" s="377"/>
    </row>
    <row r="54" spans="1:10" ht="15" thickBot="1">
      <c r="A54" s="187" t="s">
        <v>93</v>
      </c>
      <c r="B54" s="186">
        <f>SUM(B46:B53)</f>
        <v>6342.4738800000005</v>
      </c>
      <c r="C54" s="186">
        <f>SUM(C46:C53)</f>
        <v>19842.670689999999</v>
      </c>
      <c r="D54" s="186">
        <f>SUM(D46:D53)</f>
        <v>35324.390840276043</v>
      </c>
      <c r="E54" s="475">
        <f>C54/D54</f>
        <v>0.5617271867396465</v>
      </c>
      <c r="F54" s="377"/>
    </row>
    <row r="55" spans="1:10" ht="44.5" customHeight="1">
      <c r="A55" s="873" t="s">
        <v>125</v>
      </c>
      <c r="B55" s="875"/>
      <c r="C55" s="875"/>
      <c r="D55" s="875"/>
      <c r="E55" s="875"/>
    </row>
    <row r="56" spans="1:10">
      <c r="H56" s="855"/>
      <c r="I56" s="855"/>
      <c r="J56" s="580"/>
    </row>
    <row r="57" spans="1:10">
      <c r="H57" s="855"/>
      <c r="I57" s="855"/>
      <c r="J57" s="580"/>
    </row>
    <row r="62" spans="1:10">
      <c r="A62" s="243"/>
    </row>
  </sheetData>
  <mergeCells count="6">
    <mergeCell ref="A42:E42"/>
    <mergeCell ref="A55:E55"/>
    <mergeCell ref="F2:I2"/>
    <mergeCell ref="B2:E2"/>
    <mergeCell ref="A22:E22"/>
    <mergeCell ref="A32:E3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76"/>
  <sheetViews>
    <sheetView showGridLines="0" zoomScaleNormal="100" workbookViewId="0">
      <pane xSplit="1" ySplit="9" topLeftCell="B10" activePane="bottomRight" state="frozen"/>
      <selection pane="topRight" activeCell="B1" sqref="B1"/>
      <selection pane="bottomLeft" activeCell="A10" sqref="A10"/>
      <selection pane="bottomRight" activeCell="O50" sqref="O50"/>
    </sheetView>
  </sheetViews>
  <sheetFormatPr defaultRowHeight="14.5"/>
  <cols>
    <col min="1" max="1" width="6.1796875" customWidth="1"/>
    <col min="2" max="2" width="26" customWidth="1"/>
    <col min="3" max="3" width="35.1796875" bestFit="1" customWidth="1"/>
    <col min="4" max="4" width="20.54296875" customWidth="1"/>
    <col min="5" max="6" width="13.26953125" customWidth="1"/>
    <col min="7" max="7" width="11.453125" customWidth="1"/>
    <col min="8" max="9" width="13.26953125" customWidth="1"/>
    <col min="10" max="21" width="11.7265625" customWidth="1"/>
  </cols>
  <sheetData>
    <row r="2" spans="2:15">
      <c r="B2" t="s">
        <v>126</v>
      </c>
    </row>
    <row r="3" spans="2:15" ht="45.75" customHeight="1">
      <c r="B3" s="185" t="s">
        <v>127</v>
      </c>
      <c r="C3" s="184" t="s">
        <v>128</v>
      </c>
      <c r="D3" s="247" t="s">
        <v>129</v>
      </c>
      <c r="E3" s="331" t="s">
        <v>130</v>
      </c>
      <c r="F3" s="239"/>
      <c r="G3" s="239"/>
      <c r="L3" s="239"/>
      <c r="M3" s="239"/>
      <c r="N3" s="239"/>
      <c r="O3" s="239"/>
    </row>
    <row r="4" spans="2:15">
      <c r="B4" s="248" t="s">
        <v>131</v>
      </c>
      <c r="C4" s="193"/>
      <c r="D4" s="193"/>
      <c r="E4" s="192"/>
      <c r="F4" s="44"/>
      <c r="G4" s="44"/>
      <c r="I4" s="242"/>
      <c r="J4" s="242"/>
      <c r="L4" s="243"/>
      <c r="M4" s="241"/>
      <c r="N4" s="240"/>
      <c r="O4" s="241"/>
    </row>
    <row r="5" spans="2:15">
      <c r="B5" s="249" t="s">
        <v>132</v>
      </c>
      <c r="C5" s="250">
        <v>109691</v>
      </c>
      <c r="D5" s="250">
        <v>377690</v>
      </c>
      <c r="E5" s="479">
        <f>C5/(C5+D5)</f>
        <v>0.22506211772719906</v>
      </c>
      <c r="F5" s="44"/>
      <c r="G5" s="44"/>
      <c r="L5" s="243"/>
    </row>
    <row r="6" spans="2:15">
      <c r="B6" s="248" t="s">
        <v>133</v>
      </c>
      <c r="C6" s="193">
        <v>17167</v>
      </c>
      <c r="D6" s="193">
        <v>44320</v>
      </c>
      <c r="E6" s="479">
        <f>C6/(C6+D6)</f>
        <v>0.27919722868248575</v>
      </c>
      <c r="F6" s="44"/>
      <c r="G6" s="44"/>
      <c r="L6" s="243"/>
    </row>
    <row r="7" spans="2:15">
      <c r="B7" s="251" t="s">
        <v>134</v>
      </c>
      <c r="C7" s="252">
        <v>915963</v>
      </c>
      <c r="D7" s="252">
        <v>2449103.0038000471</v>
      </c>
      <c r="E7" s="480">
        <f>C7/(C7+D7)</f>
        <v>0.27219763266623481</v>
      </c>
      <c r="F7" s="253"/>
      <c r="G7" s="253"/>
      <c r="L7" s="243"/>
    </row>
    <row r="8" spans="2:15" ht="13.5" customHeight="1">
      <c r="I8" s="243"/>
      <c r="J8" s="243"/>
      <c r="K8" s="243"/>
      <c r="L8" s="243"/>
      <c r="M8" s="243"/>
    </row>
    <row r="9" spans="2:15" ht="45" customHeight="1">
      <c r="B9" s="184" t="s">
        <v>135</v>
      </c>
      <c r="C9" s="184" t="s">
        <v>136</v>
      </c>
      <c r="D9" s="184" t="s">
        <v>137</v>
      </c>
      <c r="E9" s="184" t="s">
        <v>138</v>
      </c>
      <c r="F9" s="247" t="s">
        <v>139</v>
      </c>
      <c r="G9" s="331" t="s">
        <v>130</v>
      </c>
      <c r="H9" s="184" t="s">
        <v>140</v>
      </c>
      <c r="I9" s="247" t="s">
        <v>141</v>
      </c>
      <c r="J9" s="331" t="s">
        <v>130</v>
      </c>
      <c r="K9" s="243"/>
      <c r="L9" s="243"/>
      <c r="M9" s="243"/>
    </row>
    <row r="10" spans="2:15">
      <c r="B10" s="884" t="s">
        <v>3</v>
      </c>
      <c r="C10" s="884"/>
      <c r="D10" s="884"/>
      <c r="E10" s="884"/>
      <c r="F10" s="884"/>
      <c r="G10" s="884"/>
      <c r="H10" s="884"/>
      <c r="I10" s="884"/>
      <c r="J10" s="884"/>
      <c r="K10" s="243"/>
      <c r="L10" s="243"/>
      <c r="M10" s="243"/>
    </row>
    <row r="11" spans="2:15">
      <c r="B11" s="881" t="s">
        <v>142</v>
      </c>
      <c r="C11" s="194" t="s">
        <v>22</v>
      </c>
      <c r="D11" s="194" t="s">
        <v>143</v>
      </c>
      <c r="E11" s="632">
        <v>35</v>
      </c>
      <c r="F11" s="633">
        <v>510</v>
      </c>
      <c r="G11" s="477">
        <f>IFERROR(E11/(E11+F11),"-")</f>
        <v>6.4220183486238536E-2</v>
      </c>
      <c r="H11" s="634">
        <v>129</v>
      </c>
      <c r="I11" s="635">
        <v>1506</v>
      </c>
      <c r="J11" s="476">
        <f>IFERROR(H11/(H11+I11),"-")</f>
        <v>7.8899082568807344E-2</v>
      </c>
      <c r="K11" s="243"/>
      <c r="L11" s="243"/>
      <c r="M11" s="243"/>
    </row>
    <row r="12" spans="2:15">
      <c r="B12" s="882"/>
      <c r="C12" s="194" t="s">
        <v>23</v>
      </c>
      <c r="D12" s="194" t="s">
        <v>143</v>
      </c>
      <c r="E12" s="632">
        <v>60</v>
      </c>
      <c r="F12" s="633">
        <v>735</v>
      </c>
      <c r="G12" s="477">
        <f t="shared" ref="G12:G28" si="0">IFERROR(E12/(E12+F12),"-")</f>
        <v>7.5471698113207544E-2</v>
      </c>
      <c r="H12" s="634">
        <v>364</v>
      </c>
      <c r="I12" s="635">
        <v>3006</v>
      </c>
      <c r="J12" s="476">
        <f t="shared" ref="J12:J28" si="1">IFERROR(H12/(H12+I12),"-")</f>
        <v>0.10801186943620178</v>
      </c>
      <c r="K12" s="243"/>
      <c r="L12" s="243"/>
      <c r="M12" s="243"/>
    </row>
    <row r="13" spans="2:15">
      <c r="B13" s="882"/>
      <c r="C13" s="194" t="s">
        <v>24</v>
      </c>
      <c r="D13" s="194" t="s">
        <v>143</v>
      </c>
      <c r="E13" s="632">
        <v>49</v>
      </c>
      <c r="F13" s="633">
        <v>363</v>
      </c>
      <c r="G13" s="477">
        <f t="shared" si="0"/>
        <v>0.11893203883495146</v>
      </c>
      <c r="H13" s="634">
        <v>226</v>
      </c>
      <c r="I13" s="635">
        <v>1589</v>
      </c>
      <c r="J13" s="476">
        <f t="shared" si="1"/>
        <v>0.12451790633608815</v>
      </c>
    </row>
    <row r="14" spans="2:15">
      <c r="B14" s="882"/>
      <c r="C14" s="194" t="s">
        <v>25</v>
      </c>
      <c r="D14" s="194" t="s">
        <v>143</v>
      </c>
      <c r="E14" s="632">
        <v>208</v>
      </c>
      <c r="F14" s="633">
        <v>1623</v>
      </c>
      <c r="G14" s="477">
        <f>IFERROR(E14/(E14+F14),"-")</f>
        <v>0.113599126160568</v>
      </c>
      <c r="H14" s="634">
        <v>439</v>
      </c>
      <c r="I14" s="635">
        <v>3318</v>
      </c>
      <c r="J14" s="477">
        <f>IFERROR(H14/(H14+I14),"-")</f>
        <v>0.11684854937450093</v>
      </c>
    </row>
    <row r="15" spans="2:15">
      <c r="B15" s="882"/>
      <c r="C15" s="194" t="s">
        <v>26</v>
      </c>
      <c r="D15" s="194" t="s">
        <v>143</v>
      </c>
      <c r="E15" s="632">
        <v>2800</v>
      </c>
      <c r="F15" s="633">
        <v>6914</v>
      </c>
      <c r="G15" s="477">
        <f>IFERROR(E15/(E15+F15),"-")</f>
        <v>0.28824377187564343</v>
      </c>
      <c r="H15" s="633">
        <v>2800</v>
      </c>
      <c r="I15" s="633">
        <v>23702</v>
      </c>
      <c r="J15" s="476">
        <f t="shared" si="1"/>
        <v>0.10565240359218173</v>
      </c>
    </row>
    <row r="16" spans="2:15">
      <c r="B16" s="883"/>
      <c r="C16" s="194" t="s">
        <v>27</v>
      </c>
      <c r="D16" s="194" t="s">
        <v>143</v>
      </c>
      <c r="E16" s="632">
        <v>10236</v>
      </c>
      <c r="F16" s="633">
        <v>22443</v>
      </c>
      <c r="G16" s="477">
        <f t="shared" si="0"/>
        <v>0.31322867896814466</v>
      </c>
      <c r="H16" s="633">
        <v>47035</v>
      </c>
      <c r="I16" s="633">
        <v>118204</v>
      </c>
      <c r="J16" s="476">
        <f t="shared" si="1"/>
        <v>0.28464829731479857</v>
      </c>
    </row>
    <row r="17" spans="2:12">
      <c r="B17" s="881" t="s">
        <v>144</v>
      </c>
      <c r="C17" s="194" t="s">
        <v>145</v>
      </c>
      <c r="D17" s="194" t="s">
        <v>143</v>
      </c>
      <c r="E17" s="493">
        <v>1</v>
      </c>
      <c r="F17" s="493">
        <v>56</v>
      </c>
      <c r="G17" s="477">
        <f t="shared" si="0"/>
        <v>1.7543859649122806E-2</v>
      </c>
      <c r="H17" s="493">
        <v>5</v>
      </c>
      <c r="I17" s="493">
        <v>94</v>
      </c>
      <c r="J17" s="476">
        <f t="shared" si="1"/>
        <v>5.0505050505050504E-2</v>
      </c>
    </row>
    <row r="18" spans="2:12">
      <c r="B18" s="882"/>
      <c r="C18" s="194" t="s">
        <v>30</v>
      </c>
      <c r="D18" s="13" t="s">
        <v>146</v>
      </c>
      <c r="E18" s="493">
        <v>349</v>
      </c>
      <c r="F18" s="493">
        <v>769</v>
      </c>
      <c r="G18" s="477">
        <f t="shared" si="0"/>
        <v>0.31216457960644006</v>
      </c>
      <c r="H18" s="493">
        <v>1610</v>
      </c>
      <c r="I18" s="493">
        <v>2498</v>
      </c>
      <c r="J18" s="476">
        <f t="shared" si="1"/>
        <v>0.39191820837390456</v>
      </c>
    </row>
    <row r="19" spans="2:12">
      <c r="B19" s="883"/>
      <c r="C19" s="194" t="s">
        <v>31</v>
      </c>
      <c r="D19" s="13" t="s">
        <v>146</v>
      </c>
      <c r="E19" s="493">
        <v>9</v>
      </c>
      <c r="F19" s="493">
        <v>96</v>
      </c>
      <c r="G19" s="477">
        <f t="shared" si="0"/>
        <v>8.5714285714285715E-2</v>
      </c>
      <c r="H19" s="493">
        <v>35</v>
      </c>
      <c r="I19" s="493">
        <v>177</v>
      </c>
      <c r="J19" s="476">
        <f t="shared" si="1"/>
        <v>0.1650943396226415</v>
      </c>
      <c r="L19" s="240"/>
    </row>
    <row r="20" spans="2:12" ht="29">
      <c r="B20" s="332" t="s">
        <v>147</v>
      </c>
      <c r="C20" s="194" t="s">
        <v>33</v>
      </c>
      <c r="D20" s="13" t="s">
        <v>146</v>
      </c>
      <c r="E20" s="636">
        <f>'Ap B - Qtr Electric Master'!D18*0.311</f>
        <v>69356.421000000002</v>
      </c>
      <c r="F20" s="636">
        <f>'Ap B - Qtr Electric Master'!D18-E20</f>
        <v>153654.579</v>
      </c>
      <c r="G20" s="477">
        <f t="shared" si="0"/>
        <v>0.311</v>
      </c>
      <c r="H20" s="637">
        <f>E20</f>
        <v>69356.421000000002</v>
      </c>
      <c r="I20" s="637">
        <f>F20</f>
        <v>153654.579</v>
      </c>
      <c r="J20" s="492">
        <v>0.311</v>
      </c>
      <c r="K20" t="s">
        <v>148</v>
      </c>
    </row>
    <row r="21" spans="2:12">
      <c r="B21" s="332" t="s">
        <v>149</v>
      </c>
      <c r="C21" s="194" t="s">
        <v>35</v>
      </c>
      <c r="D21" s="13" t="s">
        <v>143</v>
      </c>
      <c r="E21" s="493">
        <v>23</v>
      </c>
      <c r="F21" s="493">
        <v>1</v>
      </c>
      <c r="G21" s="477">
        <f t="shared" si="0"/>
        <v>0.95833333333333337</v>
      </c>
      <c r="H21" s="493">
        <v>24</v>
      </c>
      <c r="I21" s="493">
        <v>1</v>
      </c>
      <c r="J21" s="476">
        <f t="shared" si="1"/>
        <v>0.96</v>
      </c>
    </row>
    <row r="22" spans="2:12">
      <c r="B22" s="881" t="s">
        <v>36</v>
      </c>
      <c r="C22" s="194" t="s">
        <v>37</v>
      </c>
      <c r="D22" s="13" t="s">
        <v>143</v>
      </c>
      <c r="E22" s="493">
        <v>32</v>
      </c>
      <c r="F22" s="493">
        <v>36</v>
      </c>
      <c r="G22" s="477">
        <f t="shared" si="0"/>
        <v>0.47058823529411764</v>
      </c>
      <c r="H22" s="493">
        <v>142</v>
      </c>
      <c r="I22" s="493">
        <v>148</v>
      </c>
      <c r="J22" s="476">
        <f t="shared" si="1"/>
        <v>0.48965517241379308</v>
      </c>
    </row>
    <row r="23" spans="2:12">
      <c r="B23" s="882"/>
      <c r="C23" s="194" t="s">
        <v>38</v>
      </c>
      <c r="D23" s="13" t="s">
        <v>146</v>
      </c>
      <c r="E23" s="493">
        <v>1</v>
      </c>
      <c r="F23" s="493">
        <v>0</v>
      </c>
      <c r="G23" s="477">
        <f t="shared" si="0"/>
        <v>1</v>
      </c>
      <c r="H23" s="493">
        <v>2</v>
      </c>
      <c r="I23" s="493">
        <v>0</v>
      </c>
      <c r="J23" s="476">
        <f t="shared" si="1"/>
        <v>1</v>
      </c>
    </row>
    <row r="24" spans="2:12">
      <c r="B24" s="883"/>
      <c r="C24" s="194" t="s">
        <v>39</v>
      </c>
      <c r="D24" s="13" t="s">
        <v>146</v>
      </c>
      <c r="E24" s="493">
        <v>0</v>
      </c>
      <c r="F24" s="493">
        <v>0</v>
      </c>
      <c r="G24" s="477" t="str">
        <f t="shared" si="0"/>
        <v>-</v>
      </c>
      <c r="H24" s="493">
        <v>0</v>
      </c>
      <c r="I24" s="493">
        <v>0</v>
      </c>
      <c r="J24" s="476" t="str">
        <f t="shared" si="1"/>
        <v>-</v>
      </c>
    </row>
    <row r="25" spans="2:12">
      <c r="B25" s="881" t="s">
        <v>40</v>
      </c>
      <c r="C25" s="194" t="s">
        <v>145</v>
      </c>
      <c r="D25" s="13" t="s">
        <v>143</v>
      </c>
      <c r="E25" s="493">
        <v>3</v>
      </c>
      <c r="F25" s="493">
        <v>0</v>
      </c>
      <c r="G25" s="477">
        <f t="shared" si="0"/>
        <v>1</v>
      </c>
      <c r="H25" s="493">
        <v>3</v>
      </c>
      <c r="I25" s="493">
        <v>0</v>
      </c>
      <c r="J25" s="476">
        <f t="shared" si="1"/>
        <v>1</v>
      </c>
    </row>
    <row r="26" spans="2:12">
      <c r="B26" s="882"/>
      <c r="C26" s="194" t="s">
        <v>35</v>
      </c>
      <c r="D26" s="13" t="s">
        <v>143</v>
      </c>
      <c r="E26" s="493">
        <v>2</v>
      </c>
      <c r="F26" s="493">
        <v>135</v>
      </c>
      <c r="G26" s="477">
        <f t="shared" si="0"/>
        <v>1.4598540145985401E-2</v>
      </c>
      <c r="H26" s="493">
        <v>837</v>
      </c>
      <c r="I26" s="493">
        <v>537</v>
      </c>
      <c r="J26" s="476">
        <f t="shared" si="1"/>
        <v>0.60917030567685593</v>
      </c>
    </row>
    <row r="27" spans="2:12">
      <c r="B27" s="882"/>
      <c r="C27" s="194" t="s">
        <v>37</v>
      </c>
      <c r="D27" s="13" t="s">
        <v>143</v>
      </c>
      <c r="E27" s="493">
        <v>0</v>
      </c>
      <c r="F27" s="493">
        <v>0</v>
      </c>
      <c r="G27" s="477" t="str">
        <f t="shared" si="0"/>
        <v>-</v>
      </c>
      <c r="H27" s="493">
        <v>0</v>
      </c>
      <c r="I27" s="493">
        <v>0</v>
      </c>
      <c r="J27" s="476" t="str">
        <f t="shared" si="1"/>
        <v>-</v>
      </c>
    </row>
    <row r="28" spans="2:12">
      <c r="B28" s="883"/>
      <c r="C28" s="194" t="s">
        <v>39</v>
      </c>
      <c r="D28" s="13" t="s">
        <v>143</v>
      </c>
      <c r="E28" s="493">
        <v>0</v>
      </c>
      <c r="F28" s="493">
        <v>0</v>
      </c>
      <c r="G28" s="477" t="str">
        <f t="shared" si="0"/>
        <v>-</v>
      </c>
      <c r="H28" s="493">
        <v>0</v>
      </c>
      <c r="I28" s="493">
        <v>0</v>
      </c>
      <c r="J28" s="476" t="str">
        <f t="shared" si="1"/>
        <v>-</v>
      </c>
    </row>
    <row r="29" spans="2:12">
      <c r="B29" s="334"/>
      <c r="C29" s="886" t="s">
        <v>150</v>
      </c>
      <c r="D29" s="887"/>
      <c r="E29" s="333">
        <f>SUMIF($D$11:$D$28, "Core", E$11:E$28)</f>
        <v>13449</v>
      </c>
      <c r="F29" s="333">
        <f>SUMIF($D$11:$D$28, "Core", F$11:F$28)</f>
        <v>32816</v>
      </c>
      <c r="G29" s="478">
        <f>E29/(E29+F29)</f>
        <v>0.29069490975899709</v>
      </c>
      <c r="H29" s="333">
        <f>SUMIF($D$11:$D$28, "Core", H$11:H$28)</f>
        <v>52004</v>
      </c>
      <c r="I29" s="333">
        <f>SUMIF($D$11:$D$28, "Core", I$11:I$28)</f>
        <v>152105</v>
      </c>
      <c r="J29" s="478">
        <f>H29/(H29+I29)</f>
        <v>0.25478543327339803</v>
      </c>
    </row>
    <row r="30" spans="2:12">
      <c r="B30" s="334"/>
      <c r="C30" s="886" t="s">
        <v>151</v>
      </c>
      <c r="D30" s="887"/>
      <c r="E30" s="333">
        <f>SUMIF($D$11:$D$28, "Additional", E$11:E$28)</f>
        <v>69715.421000000002</v>
      </c>
      <c r="F30" s="333">
        <f>SUMIF($D$11:$D$28, "Additional", F$11:F$28)</f>
        <v>154519.579</v>
      </c>
      <c r="G30" s="478">
        <f>E30/(E30+F30)</f>
        <v>0.31090338707159898</v>
      </c>
      <c r="H30" s="333">
        <f>SUMIF($D$11:$D$28, "Additional", H$11:H$28)</f>
        <v>71003.421000000002</v>
      </c>
      <c r="I30" s="333">
        <f>SUMIF($D$11:$D$28, "Additional", I$11:I$28)</f>
        <v>156329.579</v>
      </c>
      <c r="J30" s="478">
        <f>H30/(H30+I30)</f>
        <v>0.31233222189475351</v>
      </c>
    </row>
    <row r="31" spans="2:12">
      <c r="B31" s="334"/>
      <c r="C31" s="886" t="s">
        <v>152</v>
      </c>
      <c r="D31" s="887"/>
      <c r="E31" s="333">
        <f>SUM(E11:E28)</f>
        <v>83164.421000000002</v>
      </c>
      <c r="F31" s="333">
        <f>SUM(F11:F28)</f>
        <v>187335.579</v>
      </c>
      <c r="G31" s="478">
        <f>E31/(E31+F31)</f>
        <v>0.30744702772643256</v>
      </c>
      <c r="H31" s="333">
        <f>SUM(H11:H28)</f>
        <v>123007.421</v>
      </c>
      <c r="I31" s="333">
        <f>SUM(I11:I28)</f>
        <v>308434.57900000003</v>
      </c>
      <c r="J31" s="478">
        <f>H31/(H31+I31)</f>
        <v>0.28510766452964709</v>
      </c>
    </row>
    <row r="32" spans="2:12">
      <c r="B32" s="885" t="s">
        <v>75</v>
      </c>
      <c r="C32" s="885"/>
      <c r="D32" s="885"/>
      <c r="E32" s="885"/>
      <c r="F32" s="885"/>
      <c r="G32" s="885"/>
      <c r="H32" s="885"/>
      <c r="I32" s="885"/>
      <c r="J32" s="885"/>
    </row>
    <row r="33" spans="2:11">
      <c r="B33" s="881" t="s">
        <v>21</v>
      </c>
      <c r="C33" s="194" t="s">
        <v>22</v>
      </c>
      <c r="D33" s="194" t="s">
        <v>143</v>
      </c>
      <c r="E33" s="632">
        <v>24.727430000000002</v>
      </c>
      <c r="F33" s="633">
        <v>218.19260999999995</v>
      </c>
      <c r="G33" s="477">
        <f>IFERROR(E33/(E33+F33),"-")</f>
        <v>0.10179246636053578</v>
      </c>
      <c r="H33" s="632">
        <v>87.537170000000003</v>
      </c>
      <c r="I33" s="633">
        <v>690.68674999999962</v>
      </c>
      <c r="J33" s="476">
        <f>IFERROR(H33/(H33+I33),"-")</f>
        <v>0.11248326831177335</v>
      </c>
      <c r="K33" s="245"/>
    </row>
    <row r="34" spans="2:11">
      <c r="B34" s="882"/>
      <c r="C34" s="194" t="s">
        <v>23</v>
      </c>
      <c r="D34" s="194" t="s">
        <v>143</v>
      </c>
      <c r="E34" s="632">
        <v>5.0827359999999997</v>
      </c>
      <c r="F34" s="633">
        <v>70.669939999999755</v>
      </c>
      <c r="G34" s="477">
        <f t="shared" ref="G34:G50" si="2">IFERROR(E34/(E34+F34),"-")</f>
        <v>6.7096454783986986E-2</v>
      </c>
      <c r="H34" s="632">
        <v>47.706792199999967</v>
      </c>
      <c r="I34" s="633">
        <v>349.70495690000041</v>
      </c>
      <c r="J34" s="476">
        <f>IFERROR(H34/(H34+I34),"-")</f>
        <v>0.12004373878738936</v>
      </c>
      <c r="K34" s="245"/>
    </row>
    <row r="35" spans="2:11">
      <c r="B35" s="882"/>
      <c r="C35" s="194" t="s">
        <v>24</v>
      </c>
      <c r="D35" s="194" t="s">
        <v>143</v>
      </c>
      <c r="E35" s="632">
        <v>54.097999999999978</v>
      </c>
      <c r="F35" s="633">
        <v>406.41900000000197</v>
      </c>
      <c r="G35" s="477">
        <f t="shared" si="2"/>
        <v>0.11747231915434121</v>
      </c>
      <c r="H35" s="632">
        <v>253.11799999999991</v>
      </c>
      <c r="I35" s="633">
        <v>1757.5480000000084</v>
      </c>
      <c r="J35" s="476">
        <f t="shared" ref="J35:J50" si="3">IFERROR(H35/(H35+I35),"-")</f>
        <v>0.12588764120942955</v>
      </c>
      <c r="K35" s="245"/>
    </row>
    <row r="36" spans="2:11">
      <c r="B36" s="882"/>
      <c r="C36" s="194" t="s">
        <v>25</v>
      </c>
      <c r="D36" s="194" t="s">
        <v>143</v>
      </c>
      <c r="E36" s="632">
        <v>34.622961640000021</v>
      </c>
      <c r="F36" s="633">
        <v>242.31225771499766</v>
      </c>
      <c r="G36" s="477">
        <f t="shared" si="2"/>
        <v>0.12502187955955701</v>
      </c>
      <c r="H36" s="632">
        <v>67.872544217500035</v>
      </c>
      <c r="I36" s="633">
        <v>485.91578466599663</v>
      </c>
      <c r="J36" s="476">
        <f t="shared" si="3"/>
        <v>0.12256044534983102</v>
      </c>
      <c r="K36" s="245"/>
    </row>
    <row r="37" spans="2:11">
      <c r="B37" s="882"/>
      <c r="C37" s="194" t="s">
        <v>26</v>
      </c>
      <c r="D37" s="194" t="s">
        <v>143</v>
      </c>
      <c r="E37" s="632">
        <v>757.25779999999997</v>
      </c>
      <c r="F37" s="633">
        <v>1869.8852000000002</v>
      </c>
      <c r="G37" s="477">
        <f t="shared" si="2"/>
        <v>0.28824384511996493</v>
      </c>
      <c r="H37" s="632">
        <v>757.25779999999997</v>
      </c>
      <c r="I37" s="633">
        <v>6442.632106</v>
      </c>
      <c r="J37" s="476">
        <f t="shared" si="3"/>
        <v>0.10517630267775929</v>
      </c>
      <c r="K37" s="245"/>
    </row>
    <row r="38" spans="2:11">
      <c r="B38" s="883"/>
      <c r="C38" s="194" t="s">
        <v>27</v>
      </c>
      <c r="D38" s="194" t="s">
        <v>143</v>
      </c>
      <c r="E38" s="632">
        <v>1618.5151520000079</v>
      </c>
      <c r="F38" s="633">
        <v>3693.6956180000016</v>
      </c>
      <c r="G38" s="477">
        <f t="shared" si="2"/>
        <v>0.30467826335889248</v>
      </c>
      <c r="H38" s="632">
        <v>6950.0732020000205</v>
      </c>
      <c r="I38" s="633">
        <v>18424.474075999926</v>
      </c>
      <c r="J38" s="476">
        <f t="shared" si="3"/>
        <v>0.27389939713430167</v>
      </c>
      <c r="K38" s="245"/>
    </row>
    <row r="39" spans="2:11">
      <c r="B39" s="881" t="s">
        <v>28</v>
      </c>
      <c r="C39" s="194" t="s">
        <v>145</v>
      </c>
      <c r="D39" s="194" t="s">
        <v>143</v>
      </c>
      <c r="E39" s="493">
        <v>0.127118377</v>
      </c>
      <c r="F39" s="493">
        <v>33.949621386000004</v>
      </c>
      <c r="G39" s="477">
        <f t="shared" si="2"/>
        <v>3.7303561867741571E-3</v>
      </c>
      <c r="H39" s="493">
        <v>4.0550194560000001</v>
      </c>
      <c r="I39" s="493">
        <v>68.185820156000005</v>
      </c>
      <c r="J39" s="476">
        <f t="shared" si="3"/>
        <v>5.613195358441566E-2</v>
      </c>
    </row>
    <row r="40" spans="2:11">
      <c r="B40" s="882"/>
      <c r="C40" s="194" t="s">
        <v>30</v>
      </c>
      <c r="D40" s="13" t="s">
        <v>146</v>
      </c>
      <c r="E40" s="493">
        <v>177.16519972799998</v>
      </c>
      <c r="F40" s="493">
        <v>438.4526639449997</v>
      </c>
      <c r="G40" s="477">
        <f t="shared" si="2"/>
        <v>0.28778437108853222</v>
      </c>
      <c r="H40" s="493">
        <v>696.65585576700107</v>
      </c>
      <c r="I40" s="493">
        <v>1338.5927597639984</v>
      </c>
      <c r="J40" s="476">
        <f t="shared" si="3"/>
        <v>0.34229521172539529</v>
      </c>
    </row>
    <row r="41" spans="2:11">
      <c r="B41" s="883"/>
      <c r="C41" s="194" t="s">
        <v>31</v>
      </c>
      <c r="D41" s="13" t="s">
        <v>146</v>
      </c>
      <c r="E41" s="493">
        <v>15.370388992000001</v>
      </c>
      <c r="F41" s="493">
        <v>156.44324439700009</v>
      </c>
      <c r="G41" s="477">
        <f t="shared" si="2"/>
        <v>8.9459658636053555E-2</v>
      </c>
      <c r="H41" s="493">
        <v>45.451616856000001</v>
      </c>
      <c r="I41" s="493">
        <v>235.76674282900007</v>
      </c>
      <c r="J41" s="476">
        <f t="shared" si="3"/>
        <v>0.16162393133546304</v>
      </c>
    </row>
    <row r="42" spans="2:11" ht="29">
      <c r="B42" s="332" t="s">
        <v>32</v>
      </c>
      <c r="C42" s="194" t="s">
        <v>33</v>
      </c>
      <c r="D42" s="13" t="s">
        <v>146</v>
      </c>
      <c r="E42" s="493">
        <f>'Ap B - Qtr Electric Master'!L18*0.311</f>
        <v>-29.233999999999998</v>
      </c>
      <c r="F42" s="493">
        <f>'Ap B - Qtr Electric Master'!L18-E42</f>
        <v>-64.766000000000005</v>
      </c>
      <c r="G42" s="477">
        <f t="shared" si="2"/>
        <v>0.311</v>
      </c>
      <c r="H42" s="493">
        <f>'Ap B - Qtr Electric Master'!N18*0.311</f>
        <v>2681.7530000000002</v>
      </c>
      <c r="I42" s="493">
        <f>'Ap B - Qtr Electric Master'!N18-H42</f>
        <v>5941.2469999999994</v>
      </c>
      <c r="J42" s="476">
        <f t="shared" si="3"/>
        <v>0.311</v>
      </c>
    </row>
    <row r="43" spans="2:11">
      <c r="B43" s="332" t="s">
        <v>149</v>
      </c>
      <c r="C43" s="194" t="s">
        <v>35</v>
      </c>
      <c r="D43" s="13" t="s">
        <v>143</v>
      </c>
      <c r="E43" s="493">
        <v>297</v>
      </c>
      <c r="F43" s="493">
        <v>61</v>
      </c>
      <c r="G43" s="477">
        <f t="shared" si="2"/>
        <v>0.82960893854748607</v>
      </c>
      <c r="H43" s="493">
        <v>318</v>
      </c>
      <c r="I43" s="493">
        <v>60</v>
      </c>
      <c r="J43" s="476">
        <f t="shared" si="3"/>
        <v>0.84126984126984128</v>
      </c>
    </row>
    <row r="44" spans="2:11">
      <c r="B44" s="881" t="s">
        <v>36</v>
      </c>
      <c r="C44" s="194" t="s">
        <v>37</v>
      </c>
      <c r="D44" s="13" t="s">
        <v>143</v>
      </c>
      <c r="E44" s="638">
        <v>3055</v>
      </c>
      <c r="F44" s="493">
        <v>3313</v>
      </c>
      <c r="G44" s="477">
        <f t="shared" si="2"/>
        <v>0.47974246231155782</v>
      </c>
      <c r="H44" s="493">
        <v>7755</v>
      </c>
      <c r="I44" s="493">
        <v>12931</v>
      </c>
      <c r="J44" s="476">
        <f t="shared" si="3"/>
        <v>0.37489123078410519</v>
      </c>
    </row>
    <row r="45" spans="2:11">
      <c r="B45" s="882"/>
      <c r="C45" s="194" t="s">
        <v>38</v>
      </c>
      <c r="D45" s="13" t="s">
        <v>146</v>
      </c>
      <c r="E45" s="493">
        <v>241</v>
      </c>
      <c r="F45" s="493">
        <v>0</v>
      </c>
      <c r="G45" s="477">
        <f t="shared" si="2"/>
        <v>1</v>
      </c>
      <c r="H45" s="493">
        <v>482</v>
      </c>
      <c r="I45" s="493">
        <v>0</v>
      </c>
      <c r="J45" s="476">
        <f t="shared" si="3"/>
        <v>1</v>
      </c>
    </row>
    <row r="46" spans="2:11">
      <c r="B46" s="883"/>
      <c r="C46" s="194" t="s">
        <v>39</v>
      </c>
      <c r="D46" s="13" t="s">
        <v>146</v>
      </c>
      <c r="E46" s="493">
        <v>0</v>
      </c>
      <c r="F46" s="493">
        <v>0</v>
      </c>
      <c r="G46" s="477" t="str">
        <f t="shared" si="2"/>
        <v>-</v>
      </c>
      <c r="H46" s="493">
        <v>0</v>
      </c>
      <c r="I46" s="493">
        <v>0</v>
      </c>
      <c r="J46" s="476" t="str">
        <f t="shared" si="3"/>
        <v>-</v>
      </c>
    </row>
    <row r="47" spans="2:11">
      <c r="B47" s="881" t="s">
        <v>40</v>
      </c>
      <c r="C47" s="194" t="s">
        <v>145</v>
      </c>
      <c r="D47" s="13" t="s">
        <v>143</v>
      </c>
      <c r="E47" s="493">
        <v>0</v>
      </c>
      <c r="F47" s="493">
        <v>0</v>
      </c>
      <c r="G47" s="477" t="str">
        <f t="shared" si="2"/>
        <v>-</v>
      </c>
      <c r="H47" s="493">
        <v>0</v>
      </c>
      <c r="I47" s="493">
        <v>0</v>
      </c>
      <c r="J47" s="476" t="str">
        <f t="shared" si="3"/>
        <v>-</v>
      </c>
    </row>
    <row r="48" spans="2:11">
      <c r="B48" s="882"/>
      <c r="C48" s="194" t="s">
        <v>35</v>
      </c>
      <c r="D48" s="13" t="s">
        <v>143</v>
      </c>
      <c r="E48" s="493">
        <v>5.1774029999999999E-2</v>
      </c>
      <c r="F48" s="493">
        <v>48.56867565999999</v>
      </c>
      <c r="G48" s="477">
        <f t="shared" si="2"/>
        <v>1.0648611917435356E-3</v>
      </c>
      <c r="H48" s="493">
        <v>428.38281101999894</v>
      </c>
      <c r="I48" s="493">
        <v>307.53228322400025</v>
      </c>
      <c r="J48" s="476">
        <f t="shared" si="3"/>
        <v>0.58210901552450667</v>
      </c>
    </row>
    <row r="49" spans="2:10">
      <c r="B49" s="882"/>
      <c r="C49" s="194" t="s">
        <v>37</v>
      </c>
      <c r="D49" s="13" t="s">
        <v>143</v>
      </c>
      <c r="E49" s="493">
        <v>0</v>
      </c>
      <c r="F49" s="493">
        <v>0</v>
      </c>
      <c r="G49" s="477" t="str">
        <f t="shared" si="2"/>
        <v>-</v>
      </c>
      <c r="H49" s="493">
        <v>0</v>
      </c>
      <c r="I49" s="493">
        <v>0</v>
      </c>
      <c r="J49" s="476" t="str">
        <f t="shared" si="3"/>
        <v>-</v>
      </c>
    </row>
    <row r="50" spans="2:10">
      <c r="B50" s="883"/>
      <c r="C50" s="194" t="s">
        <v>39</v>
      </c>
      <c r="D50" s="13" t="s">
        <v>143</v>
      </c>
      <c r="E50" s="493">
        <v>0</v>
      </c>
      <c r="F50" s="493">
        <v>0</v>
      </c>
      <c r="G50" s="477" t="str">
        <f t="shared" si="2"/>
        <v>-</v>
      </c>
      <c r="H50" s="493">
        <v>0</v>
      </c>
      <c r="I50" s="493">
        <v>0</v>
      </c>
      <c r="J50" s="476" t="str">
        <f t="shared" si="3"/>
        <v>-</v>
      </c>
    </row>
    <row r="51" spans="2:10">
      <c r="B51" s="334"/>
      <c r="C51" s="886" t="s">
        <v>153</v>
      </c>
      <c r="D51" s="887"/>
      <c r="E51" s="333">
        <f>SUMIF($D$33:$D$50, "Core", E$33:E$50)</f>
        <v>5846.4829720470079</v>
      </c>
      <c r="F51" s="333">
        <f>SUMIF($D$33:$D$50, "Core", F$33:F$50)</f>
        <v>9957.6929227610017</v>
      </c>
      <c r="G51" s="478">
        <f>E51/(E51+F51)</f>
        <v>0.36993279567128173</v>
      </c>
      <c r="H51" s="333">
        <f>SUMIF($D$33:$D$50, "Core", H$33:H$50)</f>
        <v>16669.003338893519</v>
      </c>
      <c r="I51" s="333">
        <f>SUMIF($D$33:$D$50, "Core", I$33:I$50)</f>
        <v>41517.67977694593</v>
      </c>
      <c r="J51" s="478">
        <f>H51/(H51+I51)</f>
        <v>0.28647454101668701</v>
      </c>
    </row>
    <row r="52" spans="2:10">
      <c r="B52" s="334"/>
      <c r="C52" s="886" t="s">
        <v>154</v>
      </c>
      <c r="D52" s="887"/>
      <c r="E52" s="333">
        <f>SUMIF($D$33:$D$50, "Additional", E$33:E$50)</f>
        <v>404.30158871999993</v>
      </c>
      <c r="F52" s="333">
        <f>SUMIF($D$33:$D$50, "Additional", F$33:F$50)</f>
        <v>530.12990834199979</v>
      </c>
      <c r="G52" s="478">
        <f>E52/(E52+F52)</f>
        <v>0.43267119097674683</v>
      </c>
      <c r="H52" s="333">
        <f>SUMIF($D$33:$D$50, "Additional", H$33:H$50)</f>
        <v>3905.8604726230014</v>
      </c>
      <c r="I52" s="333">
        <f>SUMIF($D$33:$D$50, "Additional", I$33:I$50)</f>
        <v>7515.6065025929984</v>
      </c>
      <c r="J52" s="478">
        <f>H52/(H52+I52)</f>
        <v>0.34197537681442486</v>
      </c>
    </row>
    <row r="53" spans="2:10">
      <c r="B53" s="334"/>
      <c r="C53" s="886" t="s">
        <v>155</v>
      </c>
      <c r="D53" s="887"/>
      <c r="E53" s="333">
        <f>SUM(E33:E50)</f>
        <v>6250.7845607670079</v>
      </c>
      <c r="F53" s="333">
        <f>SUM(F33:F50)</f>
        <v>10487.822831103002</v>
      </c>
      <c r="G53" s="478">
        <f>E53/(E53+F53)</f>
        <v>0.37343516186436349</v>
      </c>
      <c r="H53" s="333">
        <f>SUM(H33:H50)</f>
        <v>20574.863811516519</v>
      </c>
      <c r="I53" s="333">
        <f>SUM(I33:I50)</f>
        <v>49033.28627953893</v>
      </c>
      <c r="J53" s="478">
        <f>H53/(H53+I53)</f>
        <v>0.29558124708963301</v>
      </c>
    </row>
    <row r="54" spans="2:10">
      <c r="B54" s="885" t="s">
        <v>156</v>
      </c>
      <c r="C54" s="885"/>
      <c r="D54" s="885"/>
      <c r="E54" s="885"/>
      <c r="F54" s="885"/>
      <c r="G54" s="885"/>
      <c r="H54" s="885"/>
      <c r="I54" s="885"/>
      <c r="J54" s="885"/>
    </row>
    <row r="55" spans="2:10">
      <c r="B55" s="881" t="s">
        <v>21</v>
      </c>
      <c r="C55" s="194" t="s">
        <v>22</v>
      </c>
      <c r="D55" s="194" t="s">
        <v>143</v>
      </c>
      <c r="E55" s="632">
        <v>408.55359999999996</v>
      </c>
      <c r="F55" s="633">
        <v>3429.4534400000011</v>
      </c>
      <c r="G55" s="477">
        <f t="shared" ref="G55:G72" si="4">IFERROR(E55/(E55+F55),"-")</f>
        <v>0.1064494139124872</v>
      </c>
      <c r="H55" s="632">
        <v>1435.4003600000001</v>
      </c>
      <c r="I55" s="633">
        <v>10875.582910000008</v>
      </c>
      <c r="J55" s="476">
        <f t="shared" ref="J55:J72" si="5">IFERROR(H55/(H55+I55),"-")</f>
        <v>0.11659510280530169</v>
      </c>
    </row>
    <row r="56" spans="2:10">
      <c r="B56" s="882"/>
      <c r="C56" s="194" t="s">
        <v>23</v>
      </c>
      <c r="D56" s="194" t="s">
        <v>143</v>
      </c>
      <c r="E56" s="632">
        <v>61.573866999999979</v>
      </c>
      <c r="F56" s="633">
        <v>834.23421700000404</v>
      </c>
      <c r="G56" s="477">
        <f t="shared" si="4"/>
        <v>6.873555630917895E-2</v>
      </c>
      <c r="H56" s="632">
        <v>529.82792809999967</v>
      </c>
      <c r="I56" s="633">
        <v>3933.8589331000212</v>
      </c>
      <c r="J56" s="476">
        <f t="shared" si="5"/>
        <v>0.11869737832764558</v>
      </c>
    </row>
    <row r="57" spans="2:10">
      <c r="B57" s="882"/>
      <c r="C57" s="194" t="s">
        <v>24</v>
      </c>
      <c r="D57" s="194" t="s">
        <v>143</v>
      </c>
      <c r="E57" s="632">
        <v>266.17000000000019</v>
      </c>
      <c r="F57" s="633">
        <v>1987.8070000000016</v>
      </c>
      <c r="G57" s="477">
        <f t="shared" si="4"/>
        <v>0.11808904882347956</v>
      </c>
      <c r="H57" s="632">
        <v>1233.1290000000008</v>
      </c>
      <c r="I57" s="633">
        <v>8549.8479999999945</v>
      </c>
      <c r="J57" s="476">
        <f t="shared" si="5"/>
        <v>0.12604844108291385</v>
      </c>
    </row>
    <row r="58" spans="2:10">
      <c r="B58" s="882"/>
      <c r="C58" s="194" t="s">
        <v>25</v>
      </c>
      <c r="D58" s="194" t="s">
        <v>143</v>
      </c>
      <c r="E58" s="632">
        <v>274.32567460000001</v>
      </c>
      <c r="F58" s="633">
        <v>1886.1807157250057</v>
      </c>
      <c r="G58" s="477">
        <f t="shared" si="4"/>
        <v>0.12697285961682953</v>
      </c>
      <c r="H58" s="632">
        <v>564.48468826250019</v>
      </c>
      <c r="I58" s="633">
        <v>4017.748219990001</v>
      </c>
      <c r="J58" s="476">
        <f t="shared" si="5"/>
        <v>0.12318987261557038</v>
      </c>
    </row>
    <row r="59" spans="2:10">
      <c r="B59" s="882"/>
      <c r="C59" s="194" t="s">
        <v>26</v>
      </c>
      <c r="D59" s="194" t="s">
        <v>143</v>
      </c>
      <c r="E59" s="632">
        <v>9343.9869999999992</v>
      </c>
      <c r="F59" s="633">
        <v>23072.97</v>
      </c>
      <c r="G59" s="477">
        <f t="shared" si="4"/>
        <v>0.28824380400664995</v>
      </c>
      <c r="H59" s="632">
        <v>9343.9869999999992</v>
      </c>
      <c r="I59" s="633">
        <v>79583.52900000001</v>
      </c>
      <c r="J59" s="476">
        <f t="shared" si="5"/>
        <v>0.10507419323395921</v>
      </c>
    </row>
    <row r="60" spans="2:10">
      <c r="B60" s="883"/>
      <c r="C60" s="194" t="s">
        <v>27</v>
      </c>
      <c r="D60" s="194" t="s">
        <v>143</v>
      </c>
      <c r="E60" s="632">
        <v>24277.726501499994</v>
      </c>
      <c r="F60" s="633">
        <v>55405.432599000087</v>
      </c>
      <c r="G60" s="477">
        <f t="shared" si="4"/>
        <v>0.30467826295490874</v>
      </c>
      <c r="H60" s="632">
        <v>104251.09224750003</v>
      </c>
      <c r="I60" s="633">
        <v>276367.09684380091</v>
      </c>
      <c r="J60" s="476">
        <f t="shared" si="5"/>
        <v>0.27389939639088756</v>
      </c>
    </row>
    <row r="61" spans="2:10">
      <c r="B61" s="881" t="s">
        <v>28</v>
      </c>
      <c r="C61" s="493" t="str">
        <f>C39</f>
        <v>Home Performance with Energy Star</v>
      </c>
      <c r="D61" s="194" t="s">
        <v>143</v>
      </c>
      <c r="E61" s="493">
        <v>3.7374385819999998</v>
      </c>
      <c r="F61" s="493">
        <v>816.19967100999997</v>
      </c>
      <c r="G61" s="477">
        <f t="shared" si="4"/>
        <v>4.5582015233579885E-3</v>
      </c>
      <c r="H61" s="493">
        <v>102.796120105</v>
      </c>
      <c r="I61" s="493">
        <v>1714.8760267939999</v>
      </c>
      <c r="J61" s="476">
        <f t="shared" si="5"/>
        <v>5.6553719151373416E-2</v>
      </c>
    </row>
    <row r="62" spans="2:10">
      <c r="B62" s="882"/>
      <c r="C62" s="194" t="s">
        <v>30</v>
      </c>
      <c r="D62" s="13" t="s">
        <v>146</v>
      </c>
      <c r="E62" s="493">
        <v>2358.1072319190016</v>
      </c>
      <c r="F62" s="493">
        <v>5896.1818959529946</v>
      </c>
      <c r="G62" s="477">
        <f t="shared" si="4"/>
        <v>0.28568265484624905</v>
      </c>
      <c r="H62" s="493">
        <v>9150.4914576370102</v>
      </c>
      <c r="I62" s="493">
        <v>18183.999746889971</v>
      </c>
      <c r="J62" s="476">
        <f t="shared" si="5"/>
        <v>0.33475989690715585</v>
      </c>
    </row>
    <row r="63" spans="2:10">
      <c r="B63" s="883"/>
      <c r="C63" s="194" t="s">
        <v>31</v>
      </c>
      <c r="D63" s="13" t="s">
        <v>146</v>
      </c>
      <c r="E63" s="493">
        <v>183.62104142999999</v>
      </c>
      <c r="F63" s="493">
        <v>2102.3418566359996</v>
      </c>
      <c r="G63" s="477">
        <f t="shared" si="4"/>
        <v>8.0325468792756649E-2</v>
      </c>
      <c r="H63" s="493">
        <v>523.11794178900004</v>
      </c>
      <c r="I63" s="493">
        <v>3126.2452624319994</v>
      </c>
      <c r="J63" s="476">
        <f t="shared" si="5"/>
        <v>0.14334499267815845</v>
      </c>
    </row>
    <row r="64" spans="2:10" ht="29">
      <c r="B64" s="332" t="s">
        <v>32</v>
      </c>
      <c r="C64" s="194" t="s">
        <v>33</v>
      </c>
      <c r="D64" s="13" t="s">
        <v>146</v>
      </c>
      <c r="E64" s="493">
        <f>E42</f>
        <v>-29.233999999999998</v>
      </c>
      <c r="F64" s="493">
        <f>F42</f>
        <v>-64.766000000000005</v>
      </c>
      <c r="G64" s="477">
        <f t="shared" si="4"/>
        <v>0.311</v>
      </c>
      <c r="H64" s="493">
        <f>H42</f>
        <v>2681.7530000000002</v>
      </c>
      <c r="I64" s="493">
        <f>I42</f>
        <v>5941.2469999999994</v>
      </c>
      <c r="J64" s="476">
        <f t="shared" si="5"/>
        <v>0.311</v>
      </c>
    </row>
    <row r="65" spans="2:10">
      <c r="B65" s="332" t="s">
        <v>149</v>
      </c>
      <c r="C65" s="194" t="s">
        <v>35</v>
      </c>
      <c r="D65" s="13" t="s">
        <v>143</v>
      </c>
      <c r="E65" s="493">
        <v>4458</v>
      </c>
      <c r="F65" s="493">
        <v>860</v>
      </c>
      <c r="G65" s="477">
        <f t="shared" si="4"/>
        <v>0.83828506957502824</v>
      </c>
      <c r="H65" s="493">
        <v>4755</v>
      </c>
      <c r="I65" s="493">
        <v>860</v>
      </c>
      <c r="J65" s="476">
        <f t="shared" si="5"/>
        <v>0.84683882457702586</v>
      </c>
    </row>
    <row r="66" spans="2:10">
      <c r="B66" s="881" t="s">
        <v>36</v>
      </c>
      <c r="C66" s="194" t="s">
        <v>37</v>
      </c>
      <c r="D66" s="13" t="s">
        <v>143</v>
      </c>
      <c r="E66" s="493">
        <v>43613</v>
      </c>
      <c r="F66" s="493">
        <v>45839</v>
      </c>
      <c r="G66" s="477">
        <f t="shared" si="4"/>
        <v>0.48755757277646111</v>
      </c>
      <c r="H66" s="493">
        <v>111134</v>
      </c>
      <c r="I66" s="493">
        <v>185311</v>
      </c>
      <c r="J66" s="476">
        <f t="shared" si="5"/>
        <v>0.37488910253166691</v>
      </c>
    </row>
    <row r="67" spans="2:10">
      <c r="B67" s="882"/>
      <c r="C67" s="194" t="s">
        <v>38</v>
      </c>
      <c r="D67" s="13" t="s">
        <v>146</v>
      </c>
      <c r="E67" s="493">
        <v>2217</v>
      </c>
      <c r="F67" s="493">
        <v>0</v>
      </c>
      <c r="G67" s="477">
        <f t="shared" si="4"/>
        <v>1</v>
      </c>
      <c r="H67" s="493">
        <v>4434</v>
      </c>
      <c r="I67" s="493">
        <v>0</v>
      </c>
      <c r="J67" s="476">
        <f t="shared" si="5"/>
        <v>1</v>
      </c>
    </row>
    <row r="68" spans="2:10">
      <c r="B68" s="883"/>
      <c r="C68" s="194" t="s">
        <v>39</v>
      </c>
      <c r="D68" s="13" t="s">
        <v>146</v>
      </c>
      <c r="E68" s="493">
        <v>0</v>
      </c>
      <c r="F68" s="493">
        <v>0</v>
      </c>
      <c r="G68" s="477" t="str">
        <f t="shared" si="4"/>
        <v>-</v>
      </c>
      <c r="H68" s="493">
        <v>0</v>
      </c>
      <c r="I68" s="493">
        <v>0</v>
      </c>
      <c r="J68" s="476" t="str">
        <f t="shared" si="5"/>
        <v>-</v>
      </c>
    </row>
    <row r="69" spans="2:10">
      <c r="B69" s="881" t="s">
        <v>40</v>
      </c>
      <c r="C69" s="194" t="s">
        <v>145</v>
      </c>
      <c r="D69" s="13" t="s">
        <v>143</v>
      </c>
      <c r="E69" s="493">
        <v>0</v>
      </c>
      <c r="F69" s="493">
        <v>0</v>
      </c>
      <c r="G69" s="477" t="str">
        <f t="shared" si="4"/>
        <v>-</v>
      </c>
      <c r="H69" s="493">
        <v>0</v>
      </c>
      <c r="I69" s="493">
        <v>0</v>
      </c>
      <c r="J69" s="476" t="str">
        <f t="shared" si="5"/>
        <v>-</v>
      </c>
    </row>
    <row r="70" spans="2:10">
      <c r="B70" s="882"/>
      <c r="C70" s="194" t="s">
        <v>35</v>
      </c>
      <c r="D70" s="13" t="s">
        <v>143</v>
      </c>
      <c r="E70" s="493">
        <v>0.77661044999999995</v>
      </c>
      <c r="F70" s="493">
        <v>619.15093492499977</v>
      </c>
      <c r="G70" s="477">
        <f t="shared" si="4"/>
        <v>1.2527438985312732E-3</v>
      </c>
      <c r="H70" s="493">
        <v>5081.3918402040026</v>
      </c>
      <c r="I70" s="493">
        <v>3440.3499861509999</v>
      </c>
      <c r="J70" s="476">
        <f t="shared" si="5"/>
        <v>0.59628558852708891</v>
      </c>
    </row>
    <row r="71" spans="2:10">
      <c r="B71" s="882"/>
      <c r="C71" s="194" t="s">
        <v>37</v>
      </c>
      <c r="D71" s="13" t="s">
        <v>143</v>
      </c>
      <c r="E71" s="493">
        <v>0</v>
      </c>
      <c r="F71" s="493">
        <v>0</v>
      </c>
      <c r="G71" s="477" t="str">
        <f t="shared" si="4"/>
        <v>-</v>
      </c>
      <c r="H71" s="493">
        <v>0</v>
      </c>
      <c r="I71" s="493">
        <v>0</v>
      </c>
      <c r="J71" s="476" t="str">
        <f t="shared" si="5"/>
        <v>-</v>
      </c>
    </row>
    <row r="72" spans="2:10">
      <c r="B72" s="883"/>
      <c r="C72" s="194" t="s">
        <v>39</v>
      </c>
      <c r="D72" s="13" t="s">
        <v>143</v>
      </c>
      <c r="E72" s="493">
        <v>0</v>
      </c>
      <c r="F72" s="493">
        <v>0</v>
      </c>
      <c r="G72" s="477" t="str">
        <f t="shared" si="4"/>
        <v>-</v>
      </c>
      <c r="H72" s="493">
        <v>0</v>
      </c>
      <c r="I72" s="493">
        <v>0</v>
      </c>
      <c r="J72" s="476" t="str">
        <f t="shared" si="5"/>
        <v>-</v>
      </c>
    </row>
    <row r="73" spans="2:10">
      <c r="B73" s="334"/>
      <c r="C73" s="886" t="s">
        <v>157</v>
      </c>
      <c r="D73" s="887"/>
      <c r="E73" s="333">
        <f>SUMIF($D$55:$D$72, "Core", E$55:E$72)</f>
        <v>82707.850692131993</v>
      </c>
      <c r="F73" s="333">
        <f>SUMIF($D$55:$D$72, "Core", F$55:F$72)</f>
        <v>134750.42857766012</v>
      </c>
      <c r="G73" s="478">
        <f>E73/(E73+F73)</f>
        <v>0.3803389365990501</v>
      </c>
      <c r="H73" s="333">
        <f>SUMIF($D$55:$D$72, "Core", H$55:H$72)</f>
        <v>238431.10918417154</v>
      </c>
      <c r="I73" s="333">
        <f>SUMIF($D$55:$D$72, "Core", I$55:I$72)</f>
        <v>574653.88991983596</v>
      </c>
      <c r="J73" s="478">
        <f>H73/(H73+I73)</f>
        <v>0.29324253853768628</v>
      </c>
    </row>
    <row r="74" spans="2:10">
      <c r="B74" s="334"/>
      <c r="C74" s="886" t="s">
        <v>158</v>
      </c>
      <c r="D74" s="887"/>
      <c r="E74" s="333">
        <f>SUMIF($D$55:$D$72, "Additional", E$55:E$72)</f>
        <v>4729.4942733490016</v>
      </c>
      <c r="F74" s="333">
        <f>SUMIF($D$55:$D$72, "Additional", F$55:F$72)</f>
        <v>7933.7577525889947</v>
      </c>
      <c r="G74" s="478">
        <f>E74/(E74+F74)</f>
        <v>0.37348180891145749</v>
      </c>
      <c r="H74" s="333">
        <f>SUMIF($D$55:$D$72, "Additional", H$55:H$72)</f>
        <v>16789.362399426012</v>
      </c>
      <c r="I74" s="333">
        <f>SUMIF($D$55:$D$72, "Additional", I$55:I$72)</f>
        <v>27251.49200932197</v>
      </c>
      <c r="J74" s="478">
        <f>H74/(H74+I74)</f>
        <v>0.38122244958288287</v>
      </c>
    </row>
    <row r="75" spans="2:10">
      <c r="B75" s="334"/>
      <c r="C75" s="886" t="s">
        <v>159</v>
      </c>
      <c r="D75" s="887"/>
      <c r="E75" s="333">
        <f>SUM(E55:E72)</f>
        <v>87437.344965480996</v>
      </c>
      <c r="F75" s="333">
        <f>SUM(F55:F72)</f>
        <v>142684.18633024913</v>
      </c>
      <c r="G75" s="478">
        <f>E75/(E75+F75)</f>
        <v>0.37996159886975073</v>
      </c>
      <c r="H75" s="333">
        <f>SUM(H55:H72)</f>
        <v>255220.47158359754</v>
      </c>
      <c r="I75" s="333">
        <f>SUM(I55:I72)</f>
        <v>601905.38192915788</v>
      </c>
      <c r="J75" s="478">
        <f>H75/(H75+I75)</f>
        <v>0.29776312374388025</v>
      </c>
    </row>
    <row r="76" spans="2:10" ht="56.25" customHeight="1">
      <c r="B76" s="888" t="s">
        <v>160</v>
      </c>
      <c r="C76" s="889"/>
      <c r="D76" s="889"/>
      <c r="E76" s="889"/>
      <c r="F76" s="889"/>
      <c r="G76" s="889"/>
      <c r="H76" s="889"/>
      <c r="I76" s="889"/>
      <c r="J76" s="889"/>
    </row>
  </sheetData>
  <mergeCells count="25">
    <mergeCell ref="B69:B72"/>
    <mergeCell ref="C73:D73"/>
    <mergeCell ref="C74:D74"/>
    <mergeCell ref="C75:D75"/>
    <mergeCell ref="B76:J76"/>
    <mergeCell ref="C53:D53"/>
    <mergeCell ref="B54:J54"/>
    <mergeCell ref="B55:B60"/>
    <mergeCell ref="B61:B63"/>
    <mergeCell ref="B66:B68"/>
    <mergeCell ref="B39:B41"/>
    <mergeCell ref="B44:B46"/>
    <mergeCell ref="B47:B50"/>
    <mergeCell ref="C51:D51"/>
    <mergeCell ref="C52:D52"/>
    <mergeCell ref="B33:B38"/>
    <mergeCell ref="B10:J10"/>
    <mergeCell ref="B32:J32"/>
    <mergeCell ref="B11:B16"/>
    <mergeCell ref="B17:B19"/>
    <mergeCell ref="B22:B24"/>
    <mergeCell ref="B25:B28"/>
    <mergeCell ref="C29:D29"/>
    <mergeCell ref="C30:D30"/>
    <mergeCell ref="C31:D31"/>
  </mergeCells>
  <pageMargins left="0.7" right="0.7" top="0.75" bottom="0.75" header="0.3" footer="0.3"/>
  <pageSetup orientation="portrait" r:id="rId1"/>
  <ignoredErrors>
    <ignoredError sqref="G31 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4"/>
  <sheetViews>
    <sheetView showGridLines="0" zoomScaleNormal="100" workbookViewId="0">
      <selection activeCell="Q20" sqref="Q20"/>
    </sheetView>
  </sheetViews>
  <sheetFormatPr defaultRowHeight="14.5"/>
  <cols>
    <col min="1" max="1" width="4.81640625" customWidth="1"/>
    <col min="2" max="2" width="32.1796875" bestFit="1" customWidth="1"/>
    <col min="3" max="14" width="9.7265625" customWidth="1"/>
  </cols>
  <sheetData>
    <row r="1" spans="1:14">
      <c r="A1" s="243"/>
      <c r="B1" s="243"/>
      <c r="C1" s="243"/>
    </row>
    <row r="2" spans="1:14">
      <c r="A2" s="243"/>
      <c r="B2" t="s">
        <v>161</v>
      </c>
    </row>
    <row r="3" spans="1:14">
      <c r="A3" s="243"/>
      <c r="B3" s="890"/>
      <c r="C3" s="892" t="s">
        <v>162</v>
      </c>
      <c r="D3" s="892"/>
      <c r="E3" s="892"/>
      <c r="F3" s="892"/>
      <c r="G3" s="892"/>
      <c r="H3" s="892"/>
      <c r="I3" s="892" t="s">
        <v>163</v>
      </c>
      <c r="J3" s="892"/>
      <c r="K3" s="892"/>
      <c r="L3" s="892"/>
      <c r="M3" s="892"/>
      <c r="N3" s="892"/>
    </row>
    <row r="4" spans="1:14">
      <c r="A4" s="243"/>
      <c r="B4" s="891"/>
      <c r="C4" s="183" t="s">
        <v>164</v>
      </c>
      <c r="D4" s="182" t="s">
        <v>165</v>
      </c>
      <c r="E4" s="182" t="s">
        <v>166</v>
      </c>
      <c r="F4" s="181" t="s">
        <v>167</v>
      </c>
      <c r="G4" s="180" t="s">
        <v>168</v>
      </c>
      <c r="H4" s="180" t="s">
        <v>169</v>
      </c>
      <c r="I4" s="183" t="s">
        <v>164</v>
      </c>
      <c r="J4" s="182" t="s">
        <v>165</v>
      </c>
      <c r="K4" s="182" t="s">
        <v>166</v>
      </c>
      <c r="L4" s="181" t="s">
        <v>167</v>
      </c>
      <c r="M4" s="180" t="s">
        <v>168</v>
      </c>
      <c r="N4" s="180" t="s">
        <v>169</v>
      </c>
    </row>
    <row r="5" spans="1:14">
      <c r="B5" s="13" t="s">
        <v>170</v>
      </c>
      <c r="C5" s="387">
        <v>3.8</v>
      </c>
      <c r="D5" s="387">
        <v>5.5</v>
      </c>
      <c r="E5" s="387">
        <v>3.2</v>
      </c>
      <c r="F5" s="388">
        <v>1.5</v>
      </c>
      <c r="G5" s="388">
        <v>2.9</v>
      </c>
      <c r="H5" s="388">
        <v>7.4</v>
      </c>
      <c r="I5" s="390">
        <f>'AP H - CostTest'!$G$61</f>
        <v>2.840395910297401</v>
      </c>
      <c r="J5" s="390">
        <f>'AP H - CostTest'!$G$23</f>
        <v>10.811831671147944</v>
      </c>
      <c r="K5" s="390">
        <f>'AP H - CostTest'!$G$26</f>
        <v>1.2873457863487727</v>
      </c>
      <c r="L5" s="390">
        <f>'AP H - CostTest'!$G$31</f>
        <v>0.28273716523155029</v>
      </c>
      <c r="M5" s="390">
        <f>'AP H - CostTest'!$G$18</f>
        <v>1.0874326337324414</v>
      </c>
      <c r="N5" s="390">
        <f>'AP H - CostTest'!$G$43</f>
        <v>1.3585175637955225</v>
      </c>
    </row>
    <row r="6" spans="1:14">
      <c r="B6" s="13" t="s">
        <v>101</v>
      </c>
      <c r="C6" s="387">
        <v>5.2</v>
      </c>
      <c r="D6" s="387">
        <v>6.5</v>
      </c>
      <c r="E6" s="387">
        <v>4.8</v>
      </c>
      <c r="F6" s="388">
        <v>2</v>
      </c>
      <c r="G6" s="388">
        <v>3.9</v>
      </c>
      <c r="H6" s="388">
        <v>11</v>
      </c>
      <c r="I6" s="390">
        <f>'AP H - CostTest'!$D$61</f>
        <v>2.8042055529042962</v>
      </c>
      <c r="J6" s="390">
        <f>'AP H - CostTest'!$D$23</f>
        <v>4.981097217616842</v>
      </c>
      <c r="K6" s="390">
        <f>'AP H - CostTest'!$D$26</f>
        <v>1.685498161961162</v>
      </c>
      <c r="L6" s="390">
        <f>'AP H - CostTest'!$D$31</f>
        <v>0.33196203789825252</v>
      </c>
      <c r="M6" s="390">
        <f>'AP H - CostTest'!$D$18</f>
        <v>1.1677251184613593</v>
      </c>
      <c r="N6" s="390">
        <f>'AP H - CostTest'!$D$43</f>
        <v>1.4620006796590546</v>
      </c>
    </row>
    <row r="7" spans="1:14">
      <c r="B7" s="13" t="s">
        <v>20</v>
      </c>
      <c r="C7" s="387">
        <v>3.1</v>
      </c>
      <c r="D7" s="387">
        <v>5.5</v>
      </c>
      <c r="E7" s="387">
        <v>2.7</v>
      </c>
      <c r="F7" s="388">
        <v>1.1000000000000001</v>
      </c>
      <c r="G7" s="388">
        <v>2.4</v>
      </c>
      <c r="H7" s="388">
        <v>5.2</v>
      </c>
      <c r="I7" s="390">
        <f>'AP H - CostTest'!$C$61</f>
        <v>2.9754664708710004</v>
      </c>
      <c r="J7" s="390">
        <f>'AP H - CostTest'!$C$23</f>
        <v>22.079557773618564</v>
      </c>
      <c r="K7" s="390">
        <f>'AP H - CostTest'!$C$26</f>
        <v>0.96455938840417799</v>
      </c>
      <c r="L7" s="390">
        <f>'AP H - CostTest'!$C$31</f>
        <v>0.23087846316130792</v>
      </c>
      <c r="M7" s="390">
        <f>'AP H - CostTest'!$C$18</f>
        <v>1.0180950657029855</v>
      </c>
      <c r="N7" s="390">
        <f>'AP H - CostTest'!$C$43</f>
        <v>1.2545176925018953</v>
      </c>
    </row>
    <row r="8" spans="1:14">
      <c r="B8" s="13" t="s">
        <v>149</v>
      </c>
      <c r="C8" s="387">
        <v>2.6</v>
      </c>
      <c r="D8" s="387">
        <v>4.7</v>
      </c>
      <c r="E8" s="387">
        <v>1.7</v>
      </c>
      <c r="F8" s="388">
        <v>1</v>
      </c>
      <c r="G8" s="388">
        <v>1.9</v>
      </c>
      <c r="H8" s="388">
        <v>4.8</v>
      </c>
      <c r="I8" s="390">
        <f>'AP H - CostTest'!$I$61</f>
        <v>0.38632735574499244</v>
      </c>
      <c r="J8" s="390">
        <f>'AP H - CostTest'!$I$23</f>
        <v>23.937691215800342</v>
      </c>
      <c r="K8" s="390">
        <f>'AP H - CostTest'!$I$26</f>
        <v>0.152384520112719</v>
      </c>
      <c r="L8" s="390">
        <f>'AP H - CostTest'!$I$31</f>
        <v>0.11336696704112061</v>
      </c>
      <c r="M8" s="390">
        <f>'AP H - CostTest'!$I$18</f>
        <v>0.1674845154675543</v>
      </c>
      <c r="N8" s="390">
        <f>'AP H - CostTest'!$I$43</f>
        <v>0.20729958296376408</v>
      </c>
    </row>
    <row r="9" spans="1:14">
      <c r="B9" s="13" t="s">
        <v>21</v>
      </c>
      <c r="C9" s="387">
        <v>4.5999999999999996</v>
      </c>
      <c r="D9" s="387">
        <v>10.199999999999999</v>
      </c>
      <c r="E9" s="387">
        <v>3.7</v>
      </c>
      <c r="F9" s="388">
        <v>1.2</v>
      </c>
      <c r="G9" s="388">
        <v>3.5</v>
      </c>
      <c r="H9" s="388">
        <v>7.5</v>
      </c>
      <c r="I9" s="390">
        <f>'AP H - CostTest'!$H$61</f>
        <v>4.2441274288614217</v>
      </c>
      <c r="J9" s="390">
        <f>'AP H - CostTest'!$H$23</f>
        <v>25.880052087197093</v>
      </c>
      <c r="K9" s="390">
        <f>'AP H - CostTest'!$H$26</f>
        <v>1.2495496924881939</v>
      </c>
      <c r="L9" s="390">
        <f>'AP H - CostTest'!$H$31</f>
        <v>0.24262713453190596</v>
      </c>
      <c r="M9" s="390">
        <f>'AP H - CostTest'!$H$18</f>
        <v>1.424690951800625</v>
      </c>
      <c r="N9" s="390">
        <f>'AP H - CostTest'!$H$43</f>
        <v>1.7894719951444111</v>
      </c>
    </row>
    <row r="10" spans="1:14">
      <c r="B10" s="13" t="s">
        <v>36</v>
      </c>
      <c r="C10" s="389">
        <v>7.3907289515709147</v>
      </c>
      <c r="D10" s="389">
        <v>7.7471539987534408</v>
      </c>
      <c r="E10" s="389">
        <v>10.376766467040156</v>
      </c>
      <c r="F10" s="389">
        <v>2.7950720036997025</v>
      </c>
      <c r="G10" s="389">
        <v>5.6959702145611315</v>
      </c>
      <c r="H10" s="389">
        <v>16.28771657135146</v>
      </c>
      <c r="I10" s="390">
        <f>'AP H - CostTest'!$J$61</f>
        <v>3.1976270638374418</v>
      </c>
      <c r="J10" s="390">
        <f>'AP H - CostTest'!$J$23</f>
        <v>4.8948971109618284</v>
      </c>
      <c r="K10" s="390">
        <f>'AP H - CostTest'!$J$26</f>
        <v>2.1229927916074387</v>
      </c>
      <c r="L10" s="390">
        <f>'AP H - CostTest'!$J$31</f>
        <v>0.3456120626586246</v>
      </c>
      <c r="M10" s="390">
        <f>'AP H - CostTest'!$J$18</f>
        <v>1.330477803765703</v>
      </c>
      <c r="N10" s="390">
        <f>'AP H - CostTest'!$J$43</f>
        <v>1.6661575316507233</v>
      </c>
    </row>
    <row r="11" spans="1:14">
      <c r="B11" s="13" t="s">
        <v>28</v>
      </c>
      <c r="C11" s="389">
        <v>1.6166741131827793</v>
      </c>
      <c r="D11" s="389">
        <v>2.7428497342627178</v>
      </c>
      <c r="E11" s="389">
        <v>1.2834301585087025</v>
      </c>
      <c r="F11" s="389">
        <v>0.76940907816116932</v>
      </c>
      <c r="G11" s="389">
        <v>1.1606292552553075</v>
      </c>
      <c r="H11" s="389">
        <v>2.7258823624604727</v>
      </c>
      <c r="I11" s="390">
        <f>'AP H - CostTest'!$K$61</f>
        <v>0.82184376441900653</v>
      </c>
      <c r="J11" s="390">
        <f>'AP H - CostTest'!$K$23</f>
        <v>4.991053401419415</v>
      </c>
      <c r="K11" s="390">
        <f>'AP H - CostTest'!$K$26</f>
        <v>0.29679777612438468</v>
      </c>
      <c r="L11" s="390">
        <f>'AP H - CostTest'!$K$31</f>
        <v>0.14520496531222146</v>
      </c>
      <c r="M11" s="390">
        <f>'AP H - CostTest'!$K$18</f>
        <v>0.27426469243271862</v>
      </c>
      <c r="N11" s="390">
        <f>'AP H - CostTest'!$K$43</f>
        <v>0.32706465501530185</v>
      </c>
    </row>
    <row r="12" spans="1:14">
      <c r="B12" s="13" t="s">
        <v>171</v>
      </c>
      <c r="C12" s="389">
        <v>2.9</v>
      </c>
      <c r="D12" s="389">
        <v>4.8</v>
      </c>
      <c r="E12" s="389">
        <v>2.6</v>
      </c>
      <c r="F12" s="389">
        <v>1.1000000000000001</v>
      </c>
      <c r="G12" s="389">
        <v>2.6</v>
      </c>
      <c r="H12" s="389">
        <v>3.9</v>
      </c>
      <c r="I12" s="390">
        <f>'AP H - CostTest'!$L$61</f>
        <v>3.9176506373629083</v>
      </c>
      <c r="J12" s="390">
        <f>'AP H - CostTest'!$L$23</f>
        <v>0</v>
      </c>
      <c r="K12" s="390">
        <f>'AP H - CostTest'!$L$26</f>
        <v>1.8363134418212921</v>
      </c>
      <c r="L12" s="390">
        <f>'AP H - CostTest'!$L$31</f>
        <v>0.31299824688480876</v>
      </c>
      <c r="M12" s="390">
        <f>'AP H - CostTest'!$L$18</f>
        <v>1.8363134418212921</v>
      </c>
      <c r="N12" s="390">
        <f>'AP H - CostTest'!$L$43</f>
        <v>1.8380274924438738</v>
      </c>
    </row>
    <row r="13" spans="1:14">
      <c r="B13" s="13" t="s">
        <v>40</v>
      </c>
      <c r="C13" s="389">
        <v>4.2</v>
      </c>
      <c r="D13" s="389">
        <v>6</v>
      </c>
      <c r="E13" s="389">
        <v>3.1</v>
      </c>
      <c r="F13" s="389">
        <v>1.2</v>
      </c>
      <c r="G13" s="389">
        <v>3.1</v>
      </c>
      <c r="H13" s="389">
        <v>6.9</v>
      </c>
      <c r="I13" s="390">
        <f>'AP H - CostTest'!$M$61</f>
        <v>1.9367665302515993</v>
      </c>
      <c r="J13" s="390">
        <f>'AP H - CostTest'!$M$23</f>
        <v>0</v>
      </c>
      <c r="K13" s="390">
        <f>'AP H - CostTest'!$M$26</f>
        <v>0.53881212036746051</v>
      </c>
      <c r="L13" s="390">
        <f>'AP H - CostTest'!$M$31</f>
        <v>0.18038932965923407</v>
      </c>
      <c r="M13" s="390">
        <f>'AP H - CostTest'!$M$18</f>
        <v>0.53881212036746051</v>
      </c>
      <c r="N13" s="390">
        <f>'AP H - CostTest'!$M$43</f>
        <v>0.81369036758414681</v>
      </c>
    </row>
    <row r="14" spans="1:14">
      <c r="I14" s="838"/>
      <c r="J14" s="838"/>
      <c r="K14" s="838"/>
      <c r="L14" s="838"/>
      <c r="M14" s="838"/>
      <c r="N14" s="838"/>
    </row>
  </sheetData>
  <mergeCells count="3">
    <mergeCell ref="B3:B4"/>
    <mergeCell ref="C3:H3"/>
    <mergeCell ref="I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7"/>
  <sheetViews>
    <sheetView showGridLines="0" zoomScale="120" zoomScaleNormal="120" workbookViewId="0">
      <selection activeCell="H8" sqref="H8"/>
    </sheetView>
  </sheetViews>
  <sheetFormatPr defaultRowHeight="14.5"/>
  <cols>
    <col min="1" max="3" width="20.1796875" customWidth="1"/>
    <col min="4" max="4" width="19.26953125" bestFit="1" customWidth="1"/>
    <col min="5" max="5" width="19.81640625" bestFit="1" customWidth="1"/>
    <col min="6" max="6" width="21.26953125" customWidth="1"/>
    <col min="7" max="9" width="20.1796875" customWidth="1"/>
  </cols>
  <sheetData>
    <row r="1" spans="1:8">
      <c r="A1" t="s">
        <v>172</v>
      </c>
    </row>
    <row r="2" spans="1:8">
      <c r="B2" s="581"/>
    </row>
    <row r="3" spans="1:8">
      <c r="B3" s="893" t="s">
        <v>173</v>
      </c>
      <c r="C3" s="893"/>
      <c r="D3" s="893" t="s">
        <v>174</v>
      </c>
      <c r="E3" s="893"/>
      <c r="F3" s="893"/>
      <c r="G3" s="894" t="s">
        <v>175</v>
      </c>
      <c r="H3" s="895"/>
    </row>
    <row r="4" spans="1:8" ht="29">
      <c r="A4" s="582" t="s">
        <v>6</v>
      </c>
      <c r="B4" s="583" t="s">
        <v>176</v>
      </c>
      <c r="C4" s="583" t="s">
        <v>177</v>
      </c>
      <c r="D4" s="584" t="s">
        <v>178</v>
      </c>
      <c r="E4" s="584" t="s">
        <v>179</v>
      </c>
      <c r="F4" s="584" t="s">
        <v>180</v>
      </c>
      <c r="G4" s="584" t="s">
        <v>181</v>
      </c>
      <c r="H4" s="584" t="s">
        <v>182</v>
      </c>
    </row>
    <row r="5" spans="1:8">
      <c r="A5" s="585" t="s">
        <v>19</v>
      </c>
      <c r="B5" s="592">
        <f>SUM(' Ap C - Qtr Electric LMI'!$F$12:$G$12)+475.9525</f>
        <v>1417.7404999999999</v>
      </c>
      <c r="C5" s="592">
        <f>SUM(' Ap C - Qtr Electric LMI'!$F$12:$G$12)+475.9525</f>
        <v>1417.7404999999999</v>
      </c>
      <c r="D5" s="587">
        <f>'Ap B - Qtr Electric Master'!Q16+2.918</f>
        <v>3.059091</v>
      </c>
      <c r="E5" s="586">
        <f>'Ap B - Qtr Electric Master'!N16+6280</f>
        <v>8315.248599999999</v>
      </c>
      <c r="F5" s="586">
        <f>'Ap B - Qtr Electric Master'!S16+6280</f>
        <v>33614.491000000002</v>
      </c>
      <c r="G5" s="586">
        <f>37965.295030772/10</f>
        <v>3796.5295030772004</v>
      </c>
      <c r="H5" s="586">
        <f>353721.326613492/10</f>
        <v>35372.132661349198</v>
      </c>
    </row>
    <row r="7" spans="1:8">
      <c r="A7" s="9"/>
    </row>
  </sheetData>
  <mergeCells count="3">
    <mergeCell ref="B3:C3"/>
    <mergeCell ref="D3:F3"/>
    <mergeCell ref="G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workbookViewId="0">
      <selection activeCell="J19" sqref="J19"/>
    </sheetView>
  </sheetViews>
  <sheetFormatPr defaultRowHeight="14.5"/>
  <sheetData>
    <row r="2" spans="2:2">
      <c r="B2" s="254" t="s">
        <v>183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K73"/>
  <sheetViews>
    <sheetView showGridLines="0" zoomScale="80" zoomScaleNormal="80" zoomScaleSheetLayoutView="100" workbookViewId="0">
      <pane xSplit="3" ySplit="7" topLeftCell="D8" activePane="bottomRight" state="frozen"/>
      <selection pane="topRight" activeCell="D1" sqref="D1"/>
      <selection pane="bottomLeft" activeCell="A8" sqref="A8"/>
      <selection pane="bottomRight" activeCell="J39" sqref="J39"/>
    </sheetView>
  </sheetViews>
  <sheetFormatPr defaultColWidth="9.26953125" defaultRowHeight="14.5"/>
  <cols>
    <col min="1" max="1" width="6.453125" customWidth="1"/>
    <col min="2" max="2" width="20.81640625" customWidth="1"/>
    <col min="3" max="3" width="31.54296875" bestFit="1" customWidth="1"/>
    <col min="4" max="4" width="10.54296875" customWidth="1"/>
    <col min="5" max="5" width="13" customWidth="1"/>
    <col min="6" max="6" width="12.1796875" customWidth="1"/>
    <col min="7" max="7" width="11.7265625" customWidth="1"/>
    <col min="8" max="8" width="12.453125" customWidth="1"/>
    <col min="9" max="9" width="15.1796875" customWidth="1"/>
    <col min="10" max="10" width="12.1796875" customWidth="1"/>
    <col min="11" max="11" width="11.54296875" customWidth="1"/>
    <col min="12" max="12" width="13.81640625" customWidth="1"/>
    <col min="13" max="13" width="15" customWidth="1"/>
    <col min="14" max="14" width="14.1796875" style="2" customWidth="1"/>
    <col min="15" max="15" width="14" style="2" customWidth="1"/>
    <col min="16" max="16" width="14.81640625" style="2" customWidth="1"/>
    <col min="17" max="17" width="15.1796875" style="3" customWidth="1"/>
    <col min="18" max="18" width="13" customWidth="1"/>
    <col min="19" max="19" width="13.453125" style="2" customWidth="1"/>
    <col min="20" max="20" width="14.81640625" customWidth="1"/>
    <col min="21" max="21" width="16.7265625" customWidth="1"/>
    <col min="22" max="22" width="15.453125" customWidth="1"/>
    <col min="23" max="23" width="28.1796875" bestFit="1" customWidth="1"/>
    <col min="24" max="24" width="0" hidden="1" customWidth="1"/>
    <col min="25" max="25" width="14.26953125" hidden="1" customWidth="1"/>
    <col min="26" max="26" width="50.7265625" hidden="1" customWidth="1"/>
    <col min="27" max="30" width="14.26953125" hidden="1" customWidth="1"/>
    <col min="31" max="31" width="13.7265625" hidden="1" customWidth="1"/>
    <col min="32" max="32" width="12" hidden="1" customWidth="1"/>
  </cols>
  <sheetData>
    <row r="1" spans="1:33" ht="23.5">
      <c r="A1" s="1" t="s">
        <v>184</v>
      </c>
      <c r="D1" s="676"/>
      <c r="E1" s="676"/>
      <c r="F1" s="676"/>
      <c r="G1" s="441"/>
      <c r="N1" s="557"/>
      <c r="O1" s="557"/>
      <c r="P1" s="557"/>
      <c r="S1" s="33"/>
    </row>
    <row r="2" spans="1:33" ht="18.5">
      <c r="D2" s="676"/>
      <c r="E2" s="676"/>
      <c r="F2" s="676"/>
      <c r="G2" s="676"/>
      <c r="H2" s="5"/>
      <c r="I2" s="245"/>
      <c r="J2" s="377"/>
      <c r="N2" s="557"/>
      <c r="O2" s="557"/>
      <c r="P2" s="557"/>
      <c r="S2" s="33"/>
    </row>
    <row r="3" spans="1:33" ht="19" thickBot="1">
      <c r="A3" s="5"/>
      <c r="B3" s="5" t="s">
        <v>185</v>
      </c>
      <c r="C3" s="5"/>
      <c r="F3" s="245"/>
      <c r="I3" s="5"/>
      <c r="J3" s="5"/>
      <c r="K3" s="5"/>
      <c r="L3" s="5"/>
      <c r="M3" s="5"/>
      <c r="Q3" s="9"/>
      <c r="S3" s="33"/>
    </row>
    <row r="4" spans="1:33" ht="15" thickBot="1">
      <c r="A4" t="s">
        <v>148</v>
      </c>
      <c r="B4" s="56"/>
      <c r="C4" s="591"/>
      <c r="D4" s="908" t="s">
        <v>186</v>
      </c>
      <c r="E4" s="909"/>
      <c r="F4" s="909"/>
      <c r="G4" s="910"/>
      <c r="H4" s="911" t="s">
        <v>187</v>
      </c>
      <c r="I4" s="912"/>
      <c r="J4" s="912"/>
      <c r="K4" s="912"/>
      <c r="L4" s="905" t="s">
        <v>188</v>
      </c>
      <c r="M4" s="906"/>
      <c r="N4" s="906"/>
      <c r="O4" s="906"/>
      <c r="P4" s="906"/>
      <c r="Q4" s="906"/>
      <c r="R4" s="906"/>
      <c r="S4" s="907"/>
      <c r="T4" s="903" t="s">
        <v>189</v>
      </c>
      <c r="U4" s="903"/>
      <c r="V4" s="904"/>
    </row>
    <row r="5" spans="1:33">
      <c r="B5" s="71"/>
      <c r="C5" s="233"/>
      <c r="D5" s="481" t="s">
        <v>190</v>
      </c>
      <c r="E5" s="14" t="s">
        <v>191</v>
      </c>
      <c r="F5" s="14" t="s">
        <v>192</v>
      </c>
      <c r="G5" s="235" t="s">
        <v>193</v>
      </c>
      <c r="H5" s="24" t="s">
        <v>194</v>
      </c>
      <c r="I5" s="25" t="s">
        <v>195</v>
      </c>
      <c r="J5" s="25" t="s">
        <v>196</v>
      </c>
      <c r="K5" s="208" t="s">
        <v>197</v>
      </c>
      <c r="L5" s="6" t="s">
        <v>198</v>
      </c>
      <c r="M5" s="21" t="s">
        <v>199</v>
      </c>
      <c r="N5" s="6" t="s">
        <v>200</v>
      </c>
      <c r="O5" s="21" t="s">
        <v>201</v>
      </c>
      <c r="P5" s="21" t="s">
        <v>202</v>
      </c>
      <c r="Q5" s="14" t="s">
        <v>203</v>
      </c>
      <c r="R5" s="43" t="s">
        <v>204</v>
      </c>
      <c r="S5" s="211" t="s">
        <v>205</v>
      </c>
      <c r="T5" s="471" t="s">
        <v>206</v>
      </c>
      <c r="U5" s="471" t="s">
        <v>207</v>
      </c>
      <c r="V5" s="472" t="s">
        <v>208</v>
      </c>
      <c r="W5" s="138"/>
      <c r="X5" s="138"/>
      <c r="Y5" s="138"/>
      <c r="Z5" s="138"/>
    </row>
    <row r="6" spans="1:33" ht="55.5" customHeight="1" thickBot="1">
      <c r="B6" s="72"/>
      <c r="C6" s="234"/>
      <c r="D6" s="482" t="s">
        <v>59</v>
      </c>
      <c r="E6" s="483" t="s">
        <v>209</v>
      </c>
      <c r="F6" s="483" t="s">
        <v>10</v>
      </c>
      <c r="G6" s="484" t="s">
        <v>210</v>
      </c>
      <c r="H6" s="26" t="s">
        <v>211</v>
      </c>
      <c r="I6" s="654" t="s">
        <v>212</v>
      </c>
      <c r="J6" s="27" t="s">
        <v>213</v>
      </c>
      <c r="K6" s="209" t="s">
        <v>214</v>
      </c>
      <c r="L6" s="212" t="s">
        <v>215</v>
      </c>
      <c r="M6" s="22" t="s">
        <v>216</v>
      </c>
      <c r="N6" s="12" t="s">
        <v>217</v>
      </c>
      <c r="O6" s="23" t="s">
        <v>218</v>
      </c>
      <c r="P6" s="23" t="s">
        <v>219</v>
      </c>
      <c r="Q6" s="7" t="s">
        <v>220</v>
      </c>
      <c r="R6" s="23" t="s">
        <v>221</v>
      </c>
      <c r="S6" s="213" t="s">
        <v>222</v>
      </c>
      <c r="T6" s="7" t="s">
        <v>223</v>
      </c>
      <c r="U6" s="7" t="s">
        <v>224</v>
      </c>
      <c r="V6" s="7" t="s">
        <v>225</v>
      </c>
      <c r="X6" s="442"/>
      <c r="Y6" s="442"/>
      <c r="Z6" s="442"/>
      <c r="AA6" s="443"/>
      <c r="AB6" s="443"/>
      <c r="AC6" s="443"/>
      <c r="AD6" s="443"/>
      <c r="AE6" s="443"/>
      <c r="AF6" s="443"/>
    </row>
    <row r="7" spans="1:33" ht="15.75" customHeight="1" thickBot="1">
      <c r="B7" s="48" t="s">
        <v>226</v>
      </c>
      <c r="C7" s="114" t="s">
        <v>227</v>
      </c>
      <c r="D7" s="314"/>
      <c r="E7" s="81"/>
      <c r="F7" s="140"/>
      <c r="G7" s="89"/>
      <c r="H7" s="678"/>
      <c r="I7" s="312"/>
      <c r="J7" s="679"/>
      <c r="K7" s="680"/>
      <c r="L7" s="109"/>
      <c r="M7" s="81"/>
      <c r="N7" s="110"/>
      <c r="O7" s="90"/>
      <c r="P7" s="110"/>
      <c r="Q7" s="110"/>
      <c r="R7" s="139"/>
      <c r="S7" s="214"/>
      <c r="T7" s="488"/>
      <c r="U7" s="489"/>
      <c r="V7" s="490"/>
      <c r="X7" s="351"/>
      <c r="Y7" s="351"/>
      <c r="Z7" s="351"/>
      <c r="AA7" s="352"/>
      <c r="AB7" s="352"/>
      <c r="AC7" s="352"/>
      <c r="AD7" s="444"/>
      <c r="AE7" s="444"/>
      <c r="AF7" s="444"/>
      <c r="AG7" s="570" t="s">
        <v>148</v>
      </c>
    </row>
    <row r="8" spans="1:33" ht="15.75" customHeight="1">
      <c r="B8" s="900" t="s">
        <v>228</v>
      </c>
      <c r="C8" s="77" t="s">
        <v>22</v>
      </c>
      <c r="D8" s="500">
        <v>545</v>
      </c>
      <c r="E8" s="804" t="s">
        <v>109</v>
      </c>
      <c r="F8" s="808">
        <v>1635</v>
      </c>
      <c r="G8" s="169" t="s">
        <v>109</v>
      </c>
      <c r="H8" s="656">
        <f>945.25575+1.96</f>
        <v>947.21575000000007</v>
      </c>
      <c r="I8" s="665" t="s">
        <v>229</v>
      </c>
      <c r="J8" s="657">
        <f>1262+H8</f>
        <v>2209.2157500000003</v>
      </c>
      <c r="K8" s="677" t="s">
        <v>109</v>
      </c>
      <c r="L8" s="500">
        <v>242.92011959999999</v>
      </c>
      <c r="M8" s="810" t="s">
        <v>229</v>
      </c>
      <c r="N8" s="168">
        <v>778.22423570000001</v>
      </c>
      <c r="O8" s="485" t="s">
        <v>229</v>
      </c>
      <c r="P8" s="168">
        <f>L8*$AD$8</f>
        <v>270.855933354</v>
      </c>
      <c r="Q8" s="813">
        <v>0.32473688499999998</v>
      </c>
      <c r="R8" s="804">
        <v>3838.0068348</v>
      </c>
      <c r="S8" s="817">
        <v>12310.982684899998</v>
      </c>
      <c r="T8" s="813">
        <v>0.104400283</v>
      </c>
      <c r="U8" s="804">
        <f t="shared" ref="U8:U12" si="0">R8*$AD$8</f>
        <v>4279.3776208019999</v>
      </c>
      <c r="V8" s="821">
        <f>T8*$AE$8</f>
        <v>0.11838992092199999</v>
      </c>
      <c r="W8" s="138"/>
      <c r="X8" s="351"/>
      <c r="Y8" s="351"/>
      <c r="Z8" s="351"/>
      <c r="AA8" s="352"/>
      <c r="AB8" s="352"/>
      <c r="AC8" s="352"/>
      <c r="AD8" s="444"/>
      <c r="AE8" s="444"/>
      <c r="AF8" s="444"/>
    </row>
    <row r="9" spans="1:33">
      <c r="B9" s="901"/>
      <c r="C9" s="137" t="s">
        <v>23</v>
      </c>
      <c r="D9" s="501">
        <v>795</v>
      </c>
      <c r="E9" s="805" t="s">
        <v>109</v>
      </c>
      <c r="F9" s="127">
        <v>3370</v>
      </c>
      <c r="G9" s="170" t="s">
        <v>109</v>
      </c>
      <c r="H9" s="658">
        <f>330.74076+1.71</f>
        <v>332.45076</v>
      </c>
      <c r="I9" s="659" t="s">
        <v>229</v>
      </c>
      <c r="J9" s="660">
        <f>1335+H9</f>
        <v>1667.4507599999999</v>
      </c>
      <c r="K9" s="171" t="s">
        <v>109</v>
      </c>
      <c r="L9" s="501">
        <v>75.752700000000004</v>
      </c>
      <c r="M9" s="811" t="s">
        <v>229</v>
      </c>
      <c r="N9" s="127">
        <v>397.4117</v>
      </c>
      <c r="O9" s="172" t="s">
        <v>229</v>
      </c>
      <c r="P9" s="119">
        <f t="shared" ref="P9:P13" si="1">L9*$AD$8</f>
        <v>84.464260500000009</v>
      </c>
      <c r="Q9" s="814">
        <v>4.6920999999999997E-2</v>
      </c>
      <c r="R9" s="805">
        <v>895.80809999999997</v>
      </c>
      <c r="S9" s="818">
        <v>4463.6868000000004</v>
      </c>
      <c r="T9" s="814">
        <v>8.5749999999999993E-3</v>
      </c>
      <c r="U9" s="805">
        <f t="shared" si="0"/>
        <v>998.8260315</v>
      </c>
      <c r="V9" s="822">
        <f t="shared" ref="V9:V13" si="2">T9*$AE$8</f>
        <v>9.724049999999998E-3</v>
      </c>
      <c r="X9" s="351"/>
      <c r="Y9" s="351"/>
      <c r="Z9" s="351"/>
      <c r="AA9" s="352"/>
      <c r="AB9" s="352"/>
      <c r="AC9" s="352"/>
      <c r="AD9" s="444"/>
      <c r="AE9" s="444"/>
      <c r="AF9" s="444"/>
    </row>
    <row r="10" spans="1:33">
      <c r="B10" s="901"/>
      <c r="C10" s="137" t="s">
        <v>24</v>
      </c>
      <c r="D10" s="501">
        <v>412</v>
      </c>
      <c r="E10" s="805" t="s">
        <v>109</v>
      </c>
      <c r="F10" s="127">
        <v>1815</v>
      </c>
      <c r="G10" s="170" t="s">
        <v>109</v>
      </c>
      <c r="H10" s="661">
        <f>189.67631+1.7</f>
        <v>191.37630999999999</v>
      </c>
      <c r="I10" s="662" t="s">
        <v>229</v>
      </c>
      <c r="J10" s="663">
        <f>575+H10</f>
        <v>766.37630999999999</v>
      </c>
      <c r="K10" s="172" t="s">
        <v>109</v>
      </c>
      <c r="L10" s="501">
        <v>460.517</v>
      </c>
      <c r="M10" s="811" t="s">
        <v>229</v>
      </c>
      <c r="N10" s="127">
        <v>2010.6659999999999</v>
      </c>
      <c r="O10" s="172" t="s">
        <v>229</v>
      </c>
      <c r="P10" s="119">
        <f t="shared" si="1"/>
        <v>513.47645499999999</v>
      </c>
      <c r="Q10" s="814">
        <v>0.32160499999999997</v>
      </c>
      <c r="R10" s="805">
        <v>2253.9769999999999</v>
      </c>
      <c r="S10" s="818">
        <v>9782.9770000000008</v>
      </c>
      <c r="T10" s="814">
        <v>7.2987999999999997E-2</v>
      </c>
      <c r="U10" s="805">
        <f t="shared" si="0"/>
        <v>2513.1843549999999</v>
      </c>
      <c r="V10" s="822">
        <f t="shared" si="2"/>
        <v>8.2768391999999996E-2</v>
      </c>
      <c r="X10" s="351"/>
      <c r="Y10" s="351"/>
      <c r="Z10" s="351"/>
      <c r="AA10" s="352"/>
      <c r="AB10" s="352"/>
      <c r="AC10" s="352"/>
      <c r="AD10" s="444"/>
      <c r="AE10" s="444"/>
      <c r="AF10" s="444"/>
    </row>
    <row r="11" spans="1:33">
      <c r="B11" s="901"/>
      <c r="C11" s="137" t="s">
        <v>25</v>
      </c>
      <c r="D11" s="501">
        <v>1831</v>
      </c>
      <c r="E11" s="805" t="s">
        <v>109</v>
      </c>
      <c r="F11" s="127">
        <v>3757</v>
      </c>
      <c r="G11" s="170" t="s">
        <v>109</v>
      </c>
      <c r="H11" s="661">
        <v>199.23813000000004</v>
      </c>
      <c r="I11" s="662" t="s">
        <v>229</v>
      </c>
      <c r="J11" s="663">
        <f>250.27+H11</f>
        <v>449.50813000000005</v>
      </c>
      <c r="K11" s="172" t="s">
        <v>109</v>
      </c>
      <c r="L11" s="501">
        <v>276.93521935499768</v>
      </c>
      <c r="M11" s="811" t="s">
        <v>109</v>
      </c>
      <c r="N11" s="127">
        <v>553.78832888349666</v>
      </c>
      <c r="O11" s="172" t="s">
        <v>229</v>
      </c>
      <c r="P11" s="119">
        <f t="shared" si="1"/>
        <v>308.78276958082239</v>
      </c>
      <c r="Q11" s="815">
        <v>6.9051219999999996E-3</v>
      </c>
      <c r="R11" s="805">
        <v>2160.5063903250057</v>
      </c>
      <c r="S11" s="818">
        <v>4582.2329082525011</v>
      </c>
      <c r="T11" s="815">
        <v>1.937123E-3</v>
      </c>
      <c r="U11" s="805">
        <f t="shared" si="0"/>
        <v>2408.9646252123812</v>
      </c>
      <c r="V11" s="822">
        <f t="shared" si="2"/>
        <v>2.1966974819999999E-3</v>
      </c>
      <c r="W11" s="138"/>
      <c r="X11" s="351"/>
      <c r="Y11" s="351"/>
      <c r="Z11" s="351"/>
      <c r="AA11" s="352"/>
      <c r="AB11" s="352"/>
      <c r="AC11" s="352"/>
      <c r="AD11" s="444"/>
      <c r="AE11" s="444"/>
      <c r="AF11" s="444"/>
    </row>
    <row r="12" spans="1:33">
      <c r="B12" s="901"/>
      <c r="C12" s="79" t="s">
        <v>26</v>
      </c>
      <c r="D12" s="501">
        <v>9714</v>
      </c>
      <c r="E12" s="806" t="s">
        <v>109</v>
      </c>
      <c r="F12" s="127">
        <v>26502</v>
      </c>
      <c r="G12" s="170" t="s">
        <v>109</v>
      </c>
      <c r="H12" s="661">
        <v>0</v>
      </c>
      <c r="I12" s="662" t="s">
        <v>229</v>
      </c>
      <c r="J12" s="663">
        <v>0</v>
      </c>
      <c r="K12" s="172" t="s">
        <v>109</v>
      </c>
      <c r="L12" s="501">
        <v>2627.1431173999999</v>
      </c>
      <c r="M12" s="811" t="s">
        <v>229</v>
      </c>
      <c r="N12" s="127">
        <v>7199.8902173000006</v>
      </c>
      <c r="O12" s="172" t="s">
        <v>229</v>
      </c>
      <c r="P12" s="119">
        <f t="shared" si="1"/>
        <v>2929.2645759009997</v>
      </c>
      <c r="Q12" s="814">
        <v>0.655449116</v>
      </c>
      <c r="R12" s="805">
        <v>32416.953761000001</v>
      </c>
      <c r="S12" s="818">
        <v>88927.514059499998</v>
      </c>
      <c r="T12" s="814">
        <v>0.24059669</v>
      </c>
      <c r="U12" s="805">
        <f t="shared" si="0"/>
        <v>36144.903443515002</v>
      </c>
      <c r="V12" s="822">
        <f t="shared" si="2"/>
        <v>0.27283664646</v>
      </c>
      <c r="X12" s="351"/>
      <c r="Y12" s="351"/>
      <c r="Z12" s="351"/>
      <c r="AA12" s="352"/>
      <c r="AB12" s="352"/>
      <c r="AC12" s="352"/>
      <c r="AD12" s="444"/>
      <c r="AE12" s="444"/>
      <c r="AF12" s="444"/>
    </row>
    <row r="13" spans="1:33" ht="15" thickBot="1">
      <c r="B13" s="901"/>
      <c r="C13" s="313" t="s">
        <v>27</v>
      </c>
      <c r="D13" s="502">
        <v>32679</v>
      </c>
      <c r="E13" s="807" t="s">
        <v>109</v>
      </c>
      <c r="F13" s="809">
        <v>165239</v>
      </c>
      <c r="G13" s="173" t="s">
        <v>109</v>
      </c>
      <c r="H13" s="664">
        <f>198.55442+1.71</f>
        <v>200.26442</v>
      </c>
      <c r="I13" s="665" t="s">
        <v>229</v>
      </c>
      <c r="J13" s="657">
        <f>697+H13</f>
        <v>897.26441999999997</v>
      </c>
      <c r="K13" s="174" t="s">
        <v>109</v>
      </c>
      <c r="L13" s="502">
        <v>5312.2106000000003</v>
      </c>
      <c r="M13" s="812" t="s">
        <v>229</v>
      </c>
      <c r="N13" s="809">
        <v>25374.545900000001</v>
      </c>
      <c r="O13" s="486" t="s">
        <v>229</v>
      </c>
      <c r="P13" s="120">
        <f t="shared" si="1"/>
        <v>5923.1148190000004</v>
      </c>
      <c r="Q13" s="816">
        <v>1.9019870000000001</v>
      </c>
      <c r="R13" s="820">
        <v>79683.159100000004</v>
      </c>
      <c r="S13" s="819">
        <v>380618.18900000001</v>
      </c>
      <c r="T13" s="816">
        <v>0.39818500000000001</v>
      </c>
      <c r="U13" s="820">
        <f>R13*$AD$8</f>
        <v>88846.722396500001</v>
      </c>
      <c r="V13" s="823">
        <f t="shared" si="2"/>
        <v>0.45154179</v>
      </c>
      <c r="X13" s="351"/>
      <c r="Y13" s="351"/>
      <c r="Z13" s="351"/>
      <c r="AA13" s="352"/>
      <c r="AB13" s="352"/>
      <c r="AC13" s="352"/>
      <c r="AD13" s="444"/>
      <c r="AE13" s="444"/>
      <c r="AF13" s="444"/>
    </row>
    <row r="14" spans="1:33" ht="15" thickBot="1">
      <c r="B14" s="902"/>
      <c r="C14" s="473" t="s">
        <v>230</v>
      </c>
      <c r="D14" s="681">
        <f>SUM(D8:D13)</f>
        <v>45976</v>
      </c>
      <c r="E14" s="682">
        <v>81204</v>
      </c>
      <c r="F14" s="682">
        <f>SUM(F8:F13)</f>
        <v>202318</v>
      </c>
      <c r="G14" s="683">
        <f>F14/E14</f>
        <v>2.491478252302842</v>
      </c>
      <c r="H14" s="684">
        <f>SUM(H8:H13)</f>
        <v>1870.54537</v>
      </c>
      <c r="I14" s="685">
        <v>5012.5690000000004</v>
      </c>
      <c r="J14" s="685">
        <f>SUM(J8:J13)</f>
        <v>5989.8153700000003</v>
      </c>
      <c r="K14" s="686">
        <f>J14/I14</f>
        <v>1.1949591855992405</v>
      </c>
      <c r="L14" s="681">
        <f>SUM(L8:L13)</f>
        <v>8995.478756354998</v>
      </c>
      <c r="M14" s="682">
        <v>11595.373</v>
      </c>
      <c r="N14" s="682">
        <f>SUM(N8:N13)</f>
        <v>36314.526381883494</v>
      </c>
      <c r="O14" s="440">
        <f>N14/M14</f>
        <v>3.1318118340723919</v>
      </c>
      <c r="P14" s="682">
        <f>L14*1.115</f>
        <v>10029.958813335823</v>
      </c>
      <c r="Q14" s="687">
        <f>SUM(Q8:Q13)</f>
        <v>3.2576041230000001</v>
      </c>
      <c r="R14" s="688">
        <f>SUM(R8:R13)</f>
        <v>121248.41118612501</v>
      </c>
      <c r="S14" s="689">
        <f>SUM(S8:S13)</f>
        <v>500685.58245265251</v>
      </c>
      <c r="T14" s="687">
        <f t="shared" ref="T14" si="3">SUM(T8:T13)</f>
        <v>0.82668209599999998</v>
      </c>
      <c r="U14" s="688">
        <f>SUM(U8:U13)</f>
        <v>135191.97847252939</v>
      </c>
      <c r="V14" s="690">
        <f>SUM(V8:V13)</f>
        <v>0.93745749686399993</v>
      </c>
      <c r="W14" s="138"/>
      <c r="X14" s="351"/>
      <c r="Y14" s="351"/>
      <c r="Z14" s="351"/>
      <c r="AA14" s="352"/>
      <c r="AB14" s="352"/>
      <c r="AC14" s="352"/>
      <c r="AD14" s="444"/>
      <c r="AE14" s="444"/>
      <c r="AF14" s="444"/>
    </row>
    <row r="15" spans="1:33" ht="30" customHeight="1">
      <c r="B15" s="916" t="s">
        <v>28</v>
      </c>
      <c r="C15" s="46" t="s">
        <v>231</v>
      </c>
      <c r="D15" s="691">
        <v>57</v>
      </c>
      <c r="E15" s="115">
        <v>281</v>
      </c>
      <c r="F15" s="115">
        <v>99</v>
      </c>
      <c r="G15" s="692">
        <f>F15/E15</f>
        <v>0.35231316725978645</v>
      </c>
      <c r="H15" s="693">
        <f>458.60956+4.31</f>
        <v>462.91955999999999</v>
      </c>
      <c r="I15" s="694">
        <v>2943.2649999999999</v>
      </c>
      <c r="J15" s="694">
        <f>950+H15</f>
        <v>1412.91956</v>
      </c>
      <c r="K15" s="695">
        <f>J15/I15</f>
        <v>0.48005176564121821</v>
      </c>
      <c r="L15" s="696">
        <v>34.017699999999998</v>
      </c>
      <c r="M15" s="697">
        <v>626.90599999999995</v>
      </c>
      <c r="N15" s="115">
        <v>72.181799999999996</v>
      </c>
      <c r="O15" s="91">
        <f>N15/M15</f>
        <v>0.11513974981895213</v>
      </c>
      <c r="P15" s="115">
        <f>L15*$AD$10</f>
        <v>37.9297355</v>
      </c>
      <c r="Q15" s="698">
        <v>0</v>
      </c>
      <c r="R15" s="115">
        <v>819.75620000000004</v>
      </c>
      <c r="S15" s="205">
        <v>1819.6721</v>
      </c>
      <c r="T15" s="698">
        <v>0</v>
      </c>
      <c r="U15" s="115">
        <f>R15*$AD$10</f>
        <v>914.02816300000006</v>
      </c>
      <c r="V15" s="498">
        <f>T15*$AE$10</f>
        <v>0</v>
      </c>
      <c r="X15" s="351"/>
      <c r="Y15" s="351"/>
      <c r="Z15" s="351"/>
      <c r="AA15" s="352"/>
      <c r="AB15" s="352"/>
      <c r="AC15" s="352"/>
      <c r="AD15" s="444"/>
      <c r="AE15" s="444"/>
      <c r="AF15" s="444"/>
    </row>
    <row r="16" spans="1:33" ht="21.75" customHeight="1">
      <c r="B16" s="917"/>
      <c r="C16" s="131" t="s">
        <v>232</v>
      </c>
      <c r="D16" s="699">
        <v>1118</v>
      </c>
      <c r="E16" s="700">
        <v>6500</v>
      </c>
      <c r="F16" s="700">
        <v>4108</v>
      </c>
      <c r="G16" s="701">
        <f>F16/E16</f>
        <v>0.63200000000000001</v>
      </c>
      <c r="H16" s="702">
        <f>189.591+3.14</f>
        <v>192.73099999999999</v>
      </c>
      <c r="I16" s="703">
        <v>3681.07</v>
      </c>
      <c r="J16" s="703">
        <f>519+H16</f>
        <v>711.73099999999999</v>
      </c>
      <c r="K16" s="704">
        <f>J16/I16</f>
        <v>0.19334894473617725</v>
      </c>
      <c r="L16" s="705">
        <v>615.61785897499999</v>
      </c>
      <c r="M16" s="116">
        <v>6835.1059999999998</v>
      </c>
      <c r="N16" s="116">
        <v>2035.2485999999999</v>
      </c>
      <c r="O16" s="92">
        <f>N16/M16</f>
        <v>0.29776401419378135</v>
      </c>
      <c r="P16" s="130">
        <f>L16*$AD$9</f>
        <v>686.41391275712499</v>
      </c>
      <c r="Q16" s="706">
        <v>0.14109099999999999</v>
      </c>
      <c r="R16" s="116">
        <v>8254.2890535269999</v>
      </c>
      <c r="S16" s="675">
        <v>27334.491000000002</v>
      </c>
      <c r="T16" s="706">
        <v>4.0987999999999997E-2</v>
      </c>
      <c r="U16" s="116">
        <f>R16*$AD$9</f>
        <v>9203.5322946826054</v>
      </c>
      <c r="V16" s="508">
        <f>T16*$AE$9</f>
        <v>4.6480391999999995E-2</v>
      </c>
      <c r="X16" s="351"/>
      <c r="Y16" s="351"/>
      <c r="Z16" s="351"/>
      <c r="AA16" s="352"/>
      <c r="AB16" s="352"/>
      <c r="AC16" s="352"/>
      <c r="AD16" s="444"/>
      <c r="AE16" s="444"/>
      <c r="AF16" s="444"/>
    </row>
    <row r="17" spans="2:37" ht="33" customHeight="1" thickBot="1">
      <c r="B17" s="917"/>
      <c r="C17" s="45" t="s">
        <v>31</v>
      </c>
      <c r="D17" s="707">
        <v>105</v>
      </c>
      <c r="E17" s="708">
        <v>450</v>
      </c>
      <c r="F17" s="708">
        <v>212</v>
      </c>
      <c r="G17" s="709">
        <f>F17/E17</f>
        <v>0.47111111111111109</v>
      </c>
      <c r="H17" s="710">
        <f>279.12789+3.38</f>
        <v>282.50788999999997</v>
      </c>
      <c r="I17" s="711">
        <v>4214.8360000000002</v>
      </c>
      <c r="J17" s="711">
        <f>642+H17</f>
        <v>924.50788999999997</v>
      </c>
      <c r="K17" s="712">
        <f>J17/I17</f>
        <v>0.21934611216189667</v>
      </c>
      <c r="L17" s="713">
        <v>171.81360000000001</v>
      </c>
      <c r="M17" s="714">
        <v>824.19899999999996</v>
      </c>
      <c r="N17" s="714">
        <v>281.21839999999997</v>
      </c>
      <c r="O17" s="715">
        <f>N17/M17</f>
        <v>0.34120206406462517</v>
      </c>
      <c r="P17" s="714">
        <f>L17*$AD$11</f>
        <v>191.57216400000001</v>
      </c>
      <c r="Q17" s="716">
        <v>1.6879000000000002E-2</v>
      </c>
      <c r="R17" s="714">
        <v>2285.9629</v>
      </c>
      <c r="S17" s="717">
        <v>3649.3631999999998</v>
      </c>
      <c r="T17" s="716">
        <v>9.4870000000000006E-3</v>
      </c>
      <c r="U17" s="714">
        <f>R17*$AD$11</f>
        <v>2548.8486334999998</v>
      </c>
      <c r="V17" s="718">
        <v>4.4999999999999998E-2</v>
      </c>
      <c r="X17" s="351"/>
      <c r="Y17" s="351"/>
      <c r="Z17" s="351"/>
      <c r="AA17" s="352"/>
      <c r="AB17" s="352"/>
      <c r="AC17" s="352"/>
      <c r="AD17" s="444"/>
      <c r="AE17" s="444"/>
      <c r="AF17" s="444"/>
    </row>
    <row r="18" spans="2:37" ht="29.5" thickBot="1">
      <c r="B18" s="32" t="s">
        <v>32</v>
      </c>
      <c r="C18" s="824" t="s">
        <v>233</v>
      </c>
      <c r="D18" s="790">
        <v>223011</v>
      </c>
      <c r="E18" s="733">
        <v>0</v>
      </c>
      <c r="F18" s="791">
        <v>223011</v>
      </c>
      <c r="G18" s="792" t="s">
        <v>109</v>
      </c>
      <c r="H18" s="793">
        <v>146.07578000000001</v>
      </c>
      <c r="I18" s="736">
        <v>0</v>
      </c>
      <c r="J18" s="794">
        <f>140+H18</f>
        <v>286.07578000000001</v>
      </c>
      <c r="K18" s="795" t="s">
        <v>109</v>
      </c>
      <c r="L18" s="796">
        <v>-94</v>
      </c>
      <c r="M18" s="733" t="s">
        <v>234</v>
      </c>
      <c r="N18" s="797">
        <v>8623</v>
      </c>
      <c r="O18" s="798" t="s">
        <v>109</v>
      </c>
      <c r="P18" s="733">
        <f>L18*$AD$7</f>
        <v>-104.81</v>
      </c>
      <c r="Q18" s="799">
        <v>2.2930000000000001</v>
      </c>
      <c r="R18" s="800">
        <f>L18</f>
        <v>-94</v>
      </c>
      <c r="S18" s="801">
        <f>N18</f>
        <v>8623</v>
      </c>
      <c r="T18" s="802">
        <v>-2.3E-2</v>
      </c>
      <c r="U18" s="800">
        <f>R18*AD7</f>
        <v>-104.81</v>
      </c>
      <c r="V18" s="803">
        <f>T18*AE7</f>
        <v>-2.6081999999999998E-2</v>
      </c>
    </row>
    <row r="19" spans="2:37" ht="15" thickBot="1">
      <c r="B19" s="49" t="s">
        <v>235</v>
      </c>
      <c r="C19" s="52"/>
      <c r="D19" s="98">
        <f>SUM(D14:D18)</f>
        <v>270267</v>
      </c>
      <c r="E19" s="99">
        <f>SUM(E14:E18)</f>
        <v>88435</v>
      </c>
      <c r="F19" s="99">
        <f>SUM(F14:F18)</f>
        <v>429748</v>
      </c>
      <c r="G19" s="85">
        <f t="shared" ref="G19" si="4">F19/E19</f>
        <v>4.859478713179171</v>
      </c>
      <c r="H19" s="122">
        <f>SUM(H14:H18)</f>
        <v>2954.7795999999998</v>
      </c>
      <c r="I19" s="123">
        <f>SUM(I14:I18)</f>
        <v>15851.740000000002</v>
      </c>
      <c r="J19" s="123">
        <f>SUM(J14:J18)</f>
        <v>9325.0496000000003</v>
      </c>
      <c r="K19" s="175">
        <f t="shared" ref="K19" si="5">J19/I19</f>
        <v>0.58826662561964804</v>
      </c>
      <c r="L19" s="98">
        <f>SUM(L14:L18)</f>
        <v>9722.9279153299976</v>
      </c>
      <c r="M19" s="99">
        <f>SUM(M14:M18)</f>
        <v>19881.583999999999</v>
      </c>
      <c r="N19" s="117">
        <f>SUM(N14:N18)</f>
        <v>47326.175181883489</v>
      </c>
      <c r="O19" s="93">
        <f>N19/M19</f>
        <v>2.3804026470870476</v>
      </c>
      <c r="P19" s="117">
        <f>SUM(P14:P18)</f>
        <v>10841.064625592948</v>
      </c>
      <c r="Q19" s="143">
        <f t="shared" ref="Q19" si="6">SUM(Q14:Q18)</f>
        <v>5.708574123</v>
      </c>
      <c r="R19" s="99">
        <f>SUM(R14:R18)</f>
        <v>132514.41933965203</v>
      </c>
      <c r="S19" s="132">
        <f>SUM(S14:S18)</f>
        <v>542112.10875265254</v>
      </c>
      <c r="T19" s="143">
        <f>SUM(T14:T18)</f>
        <v>0.854157096</v>
      </c>
      <c r="U19" s="99">
        <f>SUM(U14:U18)</f>
        <v>147753.577563712</v>
      </c>
      <c r="V19" s="494">
        <f>SUM(V14:V18)</f>
        <v>1.002855888864</v>
      </c>
    </row>
    <row r="20" spans="2:37" ht="15" thickBot="1">
      <c r="B20" s="16"/>
      <c r="C20" s="54"/>
      <c r="D20" s="721"/>
      <c r="E20" s="722"/>
      <c r="F20" s="722"/>
      <c r="G20" s="723"/>
      <c r="H20" s="724"/>
      <c r="I20" s="725"/>
      <c r="J20" s="725"/>
      <c r="K20" s="726"/>
      <c r="L20" s="721"/>
      <c r="M20" s="722"/>
      <c r="N20" s="727"/>
      <c r="O20" s="728"/>
      <c r="P20" s="727"/>
      <c r="Q20" s="729"/>
      <c r="R20" s="722"/>
      <c r="S20" s="730"/>
      <c r="T20" s="729"/>
      <c r="U20" s="722"/>
      <c r="V20" s="731"/>
    </row>
    <row r="21" spans="2:37" ht="15" thickBot="1">
      <c r="B21" s="53" t="s">
        <v>236</v>
      </c>
      <c r="C21" s="51" t="s">
        <v>9</v>
      </c>
      <c r="D21" s="100"/>
      <c r="E21" s="101"/>
      <c r="F21" s="101"/>
      <c r="G21" s="86"/>
      <c r="H21" s="83"/>
      <c r="I21" s="84"/>
      <c r="J21" s="84"/>
      <c r="K21" s="176"/>
      <c r="L21" s="100"/>
      <c r="M21" s="101"/>
      <c r="N21" s="118"/>
      <c r="O21" s="94"/>
      <c r="P21" s="118"/>
      <c r="Q21" s="144"/>
      <c r="R21" s="101"/>
      <c r="S21" s="177"/>
      <c r="T21" s="144"/>
      <c r="U21" s="101"/>
      <c r="V21" s="495"/>
    </row>
    <row r="22" spans="2:37" ht="15" thickBot="1">
      <c r="B22" s="47" t="s">
        <v>149</v>
      </c>
      <c r="C22" s="80" t="s">
        <v>237</v>
      </c>
      <c r="D22" s="732">
        <v>24</v>
      </c>
      <c r="E22" s="733">
        <v>180</v>
      </c>
      <c r="F22" s="733">
        <v>25</v>
      </c>
      <c r="G22" s="734">
        <f t="shared" ref="G22:G26" si="7">F22/E22</f>
        <v>0.1388888888888889</v>
      </c>
      <c r="H22" s="735">
        <f>625.06027+23.47</f>
        <v>648.53026999999997</v>
      </c>
      <c r="I22" s="736">
        <f>12369.521-3721.031</f>
        <v>8648.4900000000016</v>
      </c>
      <c r="J22" s="736">
        <f>1365+H22</f>
        <v>2013.53027</v>
      </c>
      <c r="K22" s="737">
        <f t="shared" ref="K22:K26" si="8">J22/I22</f>
        <v>0.23281870823692918</v>
      </c>
      <c r="L22" s="732">
        <v>357.95979999999997</v>
      </c>
      <c r="M22" s="733">
        <v>8363.3648321124692</v>
      </c>
      <c r="N22" s="128">
        <v>377.76420000000002</v>
      </c>
      <c r="O22" s="738">
        <f>N22/M22</f>
        <v>4.5168925137585088E-2</v>
      </c>
      <c r="P22" s="128">
        <f>L22*AD15</f>
        <v>393.39782019999996</v>
      </c>
      <c r="Q22" s="666">
        <v>4.3411999999999999E-2</v>
      </c>
      <c r="R22" s="128">
        <v>5318.2110000000002</v>
      </c>
      <c r="S22" s="667">
        <v>5615.2767000000003</v>
      </c>
      <c r="T22" s="666">
        <v>4.0286000000000002E-2</v>
      </c>
      <c r="U22" s="128">
        <f>R22*$AD$15</f>
        <v>5844.7138890000006</v>
      </c>
      <c r="V22" s="503">
        <f>T22*$AE$15</f>
        <v>4.5160606000000006E-2</v>
      </c>
    </row>
    <row r="23" spans="2:37" ht="16.5">
      <c r="B23" s="913" t="s">
        <v>36</v>
      </c>
      <c r="C23" s="77" t="s">
        <v>238</v>
      </c>
      <c r="D23" s="739">
        <v>68</v>
      </c>
      <c r="E23" s="740">
        <v>126542</v>
      </c>
      <c r="F23" s="504">
        <v>290</v>
      </c>
      <c r="G23" s="741">
        <f t="shared" si="7"/>
        <v>2.2917292282404263E-3</v>
      </c>
      <c r="H23" s="742">
        <f>1169.76843+8.27</f>
        <v>1178.0384300000001</v>
      </c>
      <c r="I23" s="743">
        <f>4062.402+3721.031</f>
        <v>7783.433</v>
      </c>
      <c r="J23" s="743">
        <f>4230+H23</f>
        <v>5408.0384300000005</v>
      </c>
      <c r="K23" s="741">
        <f t="shared" si="8"/>
        <v>0.69481402743493781</v>
      </c>
      <c r="L23" s="739">
        <v>6368.3311999999996</v>
      </c>
      <c r="M23" s="740">
        <v>27604.255000000001</v>
      </c>
      <c r="N23" s="504">
        <v>20686.080999999998</v>
      </c>
      <c r="O23" s="744">
        <f>N23/M23</f>
        <v>0.74938015896462329</v>
      </c>
      <c r="P23" s="127">
        <f>L23*AD13</f>
        <v>6947.8493391999991</v>
      </c>
      <c r="Q23" s="668">
        <v>3.1167760000000002</v>
      </c>
      <c r="R23" s="504">
        <v>89452.088600000003</v>
      </c>
      <c r="S23" s="669">
        <v>296445.1067</v>
      </c>
      <c r="T23" s="668">
        <v>0.63689099999999998</v>
      </c>
      <c r="U23" s="504">
        <f>R23*$AD$13</f>
        <v>97592.228662599999</v>
      </c>
      <c r="V23" s="505">
        <f>T23*$AE$13</f>
        <v>0.70885968300000002</v>
      </c>
    </row>
    <row r="24" spans="2:37">
      <c r="B24" s="914"/>
      <c r="C24" s="74" t="s">
        <v>38</v>
      </c>
      <c r="D24" s="720">
        <v>1</v>
      </c>
      <c r="E24" s="116">
        <v>25</v>
      </c>
      <c r="F24" s="116">
        <v>2</v>
      </c>
      <c r="G24" s="745">
        <f t="shared" si="7"/>
        <v>0.08</v>
      </c>
      <c r="H24" s="746">
        <f>153.83683+2.35</f>
        <v>156.18682999999999</v>
      </c>
      <c r="I24" s="747">
        <v>279.64699999999999</v>
      </c>
      <c r="J24" s="747">
        <f>404+H24</f>
        <v>560.18682999999999</v>
      </c>
      <c r="K24" s="745">
        <f t="shared" si="8"/>
        <v>2.0031927036585411</v>
      </c>
      <c r="L24" s="720">
        <v>241</v>
      </c>
      <c r="M24" s="116">
        <v>800.52599999999995</v>
      </c>
      <c r="N24" s="119">
        <v>482</v>
      </c>
      <c r="O24" s="748">
        <f t="shared" ref="O24:O25" si="9">N24/M24</f>
        <v>0.60210411654337281</v>
      </c>
      <c r="P24" s="119">
        <f>L24*AD16</f>
        <v>259.55700000000002</v>
      </c>
      <c r="Q24" s="670">
        <v>3.3000000000000002E-2</v>
      </c>
      <c r="R24" s="119">
        <v>2217.1999999999998</v>
      </c>
      <c r="S24" s="671">
        <v>4434.3999999999996</v>
      </c>
      <c r="T24" s="670">
        <v>1.6500000000000001E-2</v>
      </c>
      <c r="U24" s="119">
        <f>R24*$AD$16</f>
        <v>2387.9243999999999</v>
      </c>
      <c r="V24" s="506">
        <f>T24*$AE$16</f>
        <v>1.8018000000000003E-2</v>
      </c>
    </row>
    <row r="25" spans="2:37" ht="15" thickBot="1">
      <c r="B25" s="915"/>
      <c r="C25" s="78" t="s">
        <v>39</v>
      </c>
      <c r="D25" s="749">
        <v>0</v>
      </c>
      <c r="E25" s="750">
        <v>1</v>
      </c>
      <c r="F25" s="750">
        <v>0</v>
      </c>
      <c r="G25" s="751" t="s">
        <v>109</v>
      </c>
      <c r="H25" s="752">
        <f>252.22555+0.32</f>
        <v>252.54554999999999</v>
      </c>
      <c r="I25" s="753">
        <v>1146.1969999999999</v>
      </c>
      <c r="J25" s="753">
        <f>637+H25</f>
        <v>889.54555000000005</v>
      </c>
      <c r="K25" s="751">
        <f t="shared" si="8"/>
        <v>0.77608434675714566</v>
      </c>
      <c r="L25" s="749">
        <v>0</v>
      </c>
      <c r="M25" s="750">
        <v>607.87900000000002</v>
      </c>
      <c r="N25" s="120">
        <v>0</v>
      </c>
      <c r="O25" s="95">
        <f t="shared" si="9"/>
        <v>0</v>
      </c>
      <c r="P25" s="120">
        <f>L25*AD14</f>
        <v>0</v>
      </c>
      <c r="Q25" s="672">
        <v>0</v>
      </c>
      <c r="R25" s="120">
        <v>0</v>
      </c>
      <c r="S25" s="673">
        <v>0</v>
      </c>
      <c r="T25" s="672">
        <v>0</v>
      </c>
      <c r="U25" s="120">
        <f>R25*$AD$14</f>
        <v>0</v>
      </c>
      <c r="V25" s="507">
        <f>T25*$AE$14</f>
        <v>0</v>
      </c>
    </row>
    <row r="26" spans="2:37" s="9" customFormat="1" ht="15" thickBot="1">
      <c r="B26" s="111" t="s">
        <v>239</v>
      </c>
      <c r="C26" s="111"/>
      <c r="D26" s="113">
        <f>SUM(D22:D25)</f>
        <v>93</v>
      </c>
      <c r="E26" s="113">
        <f>SUM(E22:E25)</f>
        <v>126748</v>
      </c>
      <c r="F26" s="113">
        <f>SUM(F22:F25)</f>
        <v>317</v>
      </c>
      <c r="G26" s="87">
        <f t="shared" si="7"/>
        <v>2.5010256572095811E-3</v>
      </c>
      <c r="H26" s="82">
        <f>SUM(H22:H25)</f>
        <v>2235.3010799999997</v>
      </c>
      <c r="I26" s="82">
        <f>SUM(I22:I25)</f>
        <v>17857.767000000003</v>
      </c>
      <c r="J26" s="82">
        <f>SUM(J22:J25)</f>
        <v>8871.3010800000011</v>
      </c>
      <c r="K26" s="175">
        <f t="shared" si="8"/>
        <v>0.49677549718282243</v>
      </c>
      <c r="L26" s="102">
        <f>SUM(L22:L25)</f>
        <v>6967.2909999999993</v>
      </c>
      <c r="M26" s="99">
        <f>SUM(M22:M25)</f>
        <v>37376.024832112467</v>
      </c>
      <c r="N26" s="99">
        <f>SUM(N22:N25)</f>
        <v>21545.8452</v>
      </c>
      <c r="O26" s="93">
        <f>N26/M26</f>
        <v>0.57646165681826045</v>
      </c>
      <c r="P26" s="121">
        <f>SUM(P22:P25)</f>
        <v>7600.8041593999988</v>
      </c>
      <c r="Q26" s="143">
        <f>SUM(Q22:Q25)</f>
        <v>3.1931880000000001</v>
      </c>
      <c r="R26" s="99">
        <f>SUM(R22:R25)</f>
        <v>96987.499599999996</v>
      </c>
      <c r="S26" s="132">
        <f>SUM(S22:S25)</f>
        <v>306494.78340000001</v>
      </c>
      <c r="T26" s="143">
        <f t="shared" ref="T26:V26" si="10">SUM(T22:T25)</f>
        <v>0.69367699999999999</v>
      </c>
      <c r="U26" s="99">
        <f t="shared" si="10"/>
        <v>105824.86695160001</v>
      </c>
      <c r="V26" s="494">
        <f t="shared" si="10"/>
        <v>0.77203828900000004</v>
      </c>
      <c r="W26"/>
      <c r="X26"/>
      <c r="Y26"/>
      <c r="Z26"/>
      <c r="AA26"/>
      <c r="AB26"/>
      <c r="AC26"/>
      <c r="AD26"/>
      <c r="AE26"/>
      <c r="AF26"/>
      <c r="AG26"/>
      <c r="AH26"/>
      <c r="AI26"/>
      <c r="AJ26"/>
      <c r="AK26"/>
    </row>
    <row r="27" spans="2:37" ht="15" thickBot="1">
      <c r="B27" s="55"/>
      <c r="C27" s="54"/>
      <c r="D27" s="754"/>
      <c r="E27" s="755"/>
      <c r="F27" s="755"/>
      <c r="G27" s="756"/>
      <c r="H27" s="757"/>
      <c r="I27" s="758"/>
      <c r="J27" s="758"/>
      <c r="K27" s="759"/>
      <c r="L27" s="754"/>
      <c r="M27" s="755"/>
      <c r="N27" s="755"/>
      <c r="O27" s="760"/>
      <c r="P27" s="755"/>
      <c r="Q27" s="761"/>
      <c r="R27" s="755"/>
      <c r="S27" s="762"/>
      <c r="T27" s="761"/>
      <c r="U27" s="755"/>
      <c r="V27" s="763"/>
    </row>
    <row r="28" spans="2:37">
      <c r="B28" s="897" t="s">
        <v>240</v>
      </c>
      <c r="C28" s="46" t="s">
        <v>29</v>
      </c>
      <c r="D28" s="764">
        <v>3</v>
      </c>
      <c r="E28" s="115" t="s">
        <v>109</v>
      </c>
      <c r="F28" s="115">
        <v>3</v>
      </c>
      <c r="G28" s="692" t="s">
        <v>109</v>
      </c>
      <c r="H28" s="765">
        <v>0</v>
      </c>
      <c r="I28" s="178" t="s">
        <v>109</v>
      </c>
      <c r="J28" s="766">
        <v>0</v>
      </c>
      <c r="K28" s="767" t="s">
        <v>109</v>
      </c>
      <c r="L28" s="691">
        <v>0</v>
      </c>
      <c r="M28" s="115" t="s">
        <v>109</v>
      </c>
      <c r="N28" s="691">
        <v>0</v>
      </c>
      <c r="O28" s="91" t="s">
        <v>109</v>
      </c>
      <c r="P28" s="115">
        <f>L28*$AD$12</f>
        <v>0</v>
      </c>
      <c r="Q28" s="141">
        <v>0</v>
      </c>
      <c r="R28" s="115">
        <v>0</v>
      </c>
      <c r="S28" s="115">
        <v>0</v>
      </c>
      <c r="T28" s="141">
        <v>0</v>
      </c>
      <c r="U28" s="115">
        <f>R28*$AD$12</f>
        <v>0</v>
      </c>
      <c r="V28" s="498">
        <f>T28*$AE$12</f>
        <v>0</v>
      </c>
    </row>
    <row r="29" spans="2:37">
      <c r="B29" s="898"/>
      <c r="C29" s="45" t="s">
        <v>35</v>
      </c>
      <c r="D29" s="719">
        <v>137</v>
      </c>
      <c r="E29" s="116" t="s">
        <v>109</v>
      </c>
      <c r="F29" s="116">
        <v>1374</v>
      </c>
      <c r="G29" s="768" t="s">
        <v>109</v>
      </c>
      <c r="H29" s="769">
        <v>0</v>
      </c>
      <c r="I29" s="770" t="s">
        <v>109</v>
      </c>
      <c r="J29" s="770">
        <v>0</v>
      </c>
      <c r="K29" s="745" t="s">
        <v>109</v>
      </c>
      <c r="L29" s="720">
        <v>48.620399999999997</v>
      </c>
      <c r="M29" s="116" t="s">
        <v>109</v>
      </c>
      <c r="N29" s="116">
        <v>735.91510000000005</v>
      </c>
      <c r="O29" s="92" t="s">
        <v>109</v>
      </c>
      <c r="P29" s="116">
        <f t="shared" ref="P29:P31" si="11">L29*$AD$12</f>
        <v>54.211745999999998</v>
      </c>
      <c r="Q29" s="674">
        <v>3.3218999999999999E-2</v>
      </c>
      <c r="R29" s="116">
        <v>619.92750000000001</v>
      </c>
      <c r="S29" s="675">
        <v>8521.7417000000005</v>
      </c>
      <c r="T29" s="674">
        <v>4.2969999999999996E-3</v>
      </c>
      <c r="U29" s="116">
        <f>R29*$AD$12</f>
        <v>691.21916250000004</v>
      </c>
      <c r="V29" s="508">
        <f>T29*$AE$12</f>
        <v>4.8727979999999994E-3</v>
      </c>
    </row>
    <row r="30" spans="2:37">
      <c r="B30" s="898"/>
      <c r="C30" s="45" t="s">
        <v>241</v>
      </c>
      <c r="D30" s="719">
        <v>0</v>
      </c>
      <c r="E30" s="116" t="s">
        <v>109</v>
      </c>
      <c r="F30" s="116">
        <v>0</v>
      </c>
      <c r="G30" s="768" t="s">
        <v>109</v>
      </c>
      <c r="H30" s="769">
        <v>0</v>
      </c>
      <c r="I30" s="770" t="s">
        <v>109</v>
      </c>
      <c r="J30" s="770">
        <v>0</v>
      </c>
      <c r="K30" s="745" t="s">
        <v>109</v>
      </c>
      <c r="L30" s="720">
        <v>0</v>
      </c>
      <c r="M30" s="116" t="s">
        <v>109</v>
      </c>
      <c r="N30" s="116">
        <v>0</v>
      </c>
      <c r="O30" s="92" t="s">
        <v>109</v>
      </c>
      <c r="P30" s="116">
        <f t="shared" si="11"/>
        <v>0</v>
      </c>
      <c r="Q30" s="674">
        <v>0</v>
      </c>
      <c r="R30" s="116">
        <v>0</v>
      </c>
      <c r="S30" s="675">
        <v>0</v>
      </c>
      <c r="T30" s="674">
        <v>0</v>
      </c>
      <c r="U30" s="116">
        <f>R30*$AD$12</f>
        <v>0</v>
      </c>
      <c r="V30" s="508">
        <f>T30*$AE$12</f>
        <v>0</v>
      </c>
    </row>
    <row r="31" spans="2:37">
      <c r="B31" s="898"/>
      <c r="C31" s="45" t="s">
        <v>39</v>
      </c>
      <c r="D31" s="719">
        <v>0</v>
      </c>
      <c r="E31" s="116" t="s">
        <v>109</v>
      </c>
      <c r="F31" s="116">
        <v>0</v>
      </c>
      <c r="G31" s="768" t="s">
        <v>109</v>
      </c>
      <c r="H31" s="769">
        <v>0</v>
      </c>
      <c r="I31" s="770" t="s">
        <v>109</v>
      </c>
      <c r="J31" s="770">
        <v>0</v>
      </c>
      <c r="K31" s="745" t="s">
        <v>109</v>
      </c>
      <c r="L31" s="720">
        <v>0</v>
      </c>
      <c r="M31" s="116" t="s">
        <v>109</v>
      </c>
      <c r="N31" s="116">
        <v>0</v>
      </c>
      <c r="O31" s="92" t="s">
        <v>109</v>
      </c>
      <c r="P31" s="116">
        <f t="shared" si="11"/>
        <v>0</v>
      </c>
      <c r="Q31" s="674">
        <v>0</v>
      </c>
      <c r="R31" s="116">
        <v>0</v>
      </c>
      <c r="S31" s="675">
        <v>0</v>
      </c>
      <c r="T31" s="674">
        <v>0</v>
      </c>
      <c r="U31" s="116">
        <f>R31*$AD$12</f>
        <v>0</v>
      </c>
      <c r="V31" s="508">
        <f>T31*$AE$12</f>
        <v>0</v>
      </c>
    </row>
    <row r="32" spans="2:37" ht="15" thickBot="1">
      <c r="B32" s="899"/>
      <c r="C32" s="125" t="s">
        <v>242</v>
      </c>
      <c r="D32" s="771">
        <f>SUM(D28:D31)</f>
        <v>140</v>
      </c>
      <c r="E32" s="124">
        <v>2088</v>
      </c>
      <c r="F32" s="124">
        <f>SUM(F28:F31)</f>
        <v>1377</v>
      </c>
      <c r="G32" s="772">
        <f t="shared" ref="G32" si="12">F32/E32</f>
        <v>0.65948275862068961</v>
      </c>
      <c r="H32" s="773">
        <f>292.98381+1.14</f>
        <v>294.12380999999999</v>
      </c>
      <c r="I32" s="774">
        <v>1364.884</v>
      </c>
      <c r="J32" s="774">
        <f>462+H32</f>
        <v>756.12381000000005</v>
      </c>
      <c r="K32" s="775">
        <f>J32/I32</f>
        <v>0.55398393563115989</v>
      </c>
      <c r="L32" s="771">
        <f>SUM(L28:L31)</f>
        <v>48.620399999999997</v>
      </c>
      <c r="M32" s="124">
        <v>2298.1190000000001</v>
      </c>
      <c r="N32" s="124">
        <f>SUM(N28:N31)</f>
        <v>735.91510000000005</v>
      </c>
      <c r="O32" s="440">
        <f>N32/M32</f>
        <v>0.32022497529501304</v>
      </c>
      <c r="P32" s="126">
        <f t="shared" ref="P32:R32" si="13">SUM(P28:P31)</f>
        <v>54.211745999999998</v>
      </c>
      <c r="Q32" s="142">
        <f t="shared" si="13"/>
        <v>3.3218999999999999E-2</v>
      </c>
      <c r="R32" s="126">
        <f t="shared" si="13"/>
        <v>619.92750000000001</v>
      </c>
      <c r="S32" s="206">
        <f t="shared" ref="S32" si="14">SUM(S28:S31)</f>
        <v>8521.7417000000005</v>
      </c>
      <c r="T32" s="142">
        <f t="shared" ref="T32:U32" si="15">SUM(T28:T31)</f>
        <v>4.2969999999999996E-3</v>
      </c>
      <c r="U32" s="126">
        <f t="shared" si="15"/>
        <v>691.21916250000004</v>
      </c>
      <c r="V32" s="496">
        <f>SUM(V28:V31)</f>
        <v>4.8727979999999994E-3</v>
      </c>
    </row>
    <row r="33" spans="2:33" ht="15" thickBot="1">
      <c r="B33" s="55"/>
      <c r="C33" s="54"/>
      <c r="D33" s="754"/>
      <c r="E33" s="755"/>
      <c r="F33" s="755"/>
      <c r="G33" s="756"/>
      <c r="H33" s="776"/>
      <c r="I33" s="777"/>
      <c r="J33" s="777"/>
      <c r="K33" s="778"/>
      <c r="L33" s="754"/>
      <c r="M33" s="755"/>
      <c r="N33" s="755"/>
      <c r="O33" s="760"/>
      <c r="P33" s="755"/>
      <c r="Q33" s="761"/>
      <c r="R33" s="755"/>
      <c r="S33" s="762"/>
      <c r="T33" s="761"/>
      <c r="U33" s="755"/>
      <c r="V33" s="763"/>
    </row>
    <row r="34" spans="2:33" ht="15" hidden="1" thickBot="1"/>
    <row r="35" spans="2:33" hidden="1"/>
    <row r="36" spans="2:33" ht="15" hidden="1" thickBot="1"/>
    <row r="37" spans="2:33" ht="15" hidden="1" thickBot="1">
      <c r="B37" s="16"/>
      <c r="C37" s="17"/>
      <c r="D37" s="779"/>
      <c r="E37" s="722"/>
      <c r="F37" s="722"/>
      <c r="G37" s="780"/>
      <c r="H37" s="781"/>
      <c r="I37" s="782"/>
      <c r="J37" s="782"/>
      <c r="K37" s="783"/>
      <c r="L37" s="784"/>
      <c r="M37" s="785"/>
      <c r="N37" s="785"/>
      <c r="O37" s="786"/>
      <c r="P37" s="785"/>
      <c r="Q37" s="787"/>
      <c r="R37" s="785"/>
      <c r="S37" s="788"/>
      <c r="T37" s="787"/>
      <c r="U37" s="785"/>
      <c r="V37" s="789"/>
    </row>
    <row r="38" spans="2:33" ht="15" thickBot="1">
      <c r="B38" s="18" t="s">
        <v>243</v>
      </c>
      <c r="C38" s="19"/>
      <c r="D38" s="107"/>
      <c r="E38" s="108"/>
      <c r="F38" s="108"/>
      <c r="G38" s="135"/>
      <c r="H38" s="136">
        <f>53.84+804.44</f>
        <v>858.28000000000009</v>
      </c>
      <c r="I38" s="136">
        <v>950</v>
      </c>
      <c r="J38" s="136">
        <f>32+H38</f>
        <v>890.28000000000009</v>
      </c>
      <c r="K38" s="210">
        <f>J38/I38</f>
        <v>0.93713684210526327</v>
      </c>
      <c r="L38" s="107"/>
      <c r="M38" s="108"/>
      <c r="N38" s="108"/>
      <c r="O38" s="97"/>
      <c r="P38" s="108"/>
      <c r="Q38" s="108"/>
      <c r="R38" s="108"/>
      <c r="S38" s="207"/>
      <c r="T38" s="108"/>
      <c r="U38" s="108"/>
      <c r="V38" s="499"/>
      <c r="W38" s="9"/>
      <c r="X38" s="9"/>
      <c r="Y38" s="9"/>
      <c r="Z38" s="9"/>
      <c r="AA38" s="9"/>
      <c r="AB38" s="9"/>
      <c r="AC38" s="9"/>
      <c r="AD38" s="9"/>
      <c r="AE38" s="9"/>
      <c r="AF38" s="9"/>
      <c r="AG38" s="9"/>
    </row>
    <row r="39" spans="2:33" ht="15" thickBot="1">
      <c r="B39" s="8" t="s">
        <v>170</v>
      </c>
      <c r="C39" s="15"/>
      <c r="D39" s="104">
        <f>SUM(D36,D32,D26,D19)</f>
        <v>270500</v>
      </c>
      <c r="E39" s="105">
        <f>SUM(E36,E32,E26,E19)</f>
        <v>217271</v>
      </c>
      <c r="F39" s="105">
        <f>SUM(F36,F32,F26,F19)</f>
        <v>431442</v>
      </c>
      <c r="G39" s="88">
        <f>F39/E39</f>
        <v>1.9857321041464346</v>
      </c>
      <c r="H39" s="315">
        <f>SUM(H36,H32,H26,H19,H38)</f>
        <v>6342.4844899999998</v>
      </c>
      <c r="I39" s="312">
        <f>SUM(I36,I32,I26,I19,I38)</f>
        <v>36024.391000000003</v>
      </c>
      <c r="J39" s="312">
        <f>SUM(J36,J32,J26,J19,J38)</f>
        <v>19842.754489999999</v>
      </c>
      <c r="K39" s="210">
        <f>J39/I39</f>
        <v>0.55081443264370511</v>
      </c>
      <c r="L39" s="104">
        <f>SUM(L36,L32,L26,L19)</f>
        <v>16738.839315329998</v>
      </c>
      <c r="M39" s="105">
        <f>SUM(M36,M32,M26,M19)</f>
        <v>59555.727832112461</v>
      </c>
      <c r="N39" s="105">
        <f>SUM(N36,N32,N26,N19)</f>
        <v>69607.935481883484</v>
      </c>
      <c r="O39" s="96">
        <f>N39/M39</f>
        <v>1.1687865804966431</v>
      </c>
      <c r="P39" s="105">
        <f>SUM(P36,P32,P26,P19)</f>
        <v>18496.080530992946</v>
      </c>
      <c r="Q39" s="145">
        <f>SUM(Q36,Q32,Q26,Q19)</f>
        <v>8.934981123</v>
      </c>
      <c r="R39" s="105">
        <f>SUM(R36,R32,R26,R19)</f>
        <v>230121.84643965203</v>
      </c>
      <c r="S39" s="487">
        <f>SUM(S36,S32,S26,S19)</f>
        <v>857128.63385265251</v>
      </c>
      <c r="T39" s="491">
        <f t="shared" ref="T39:V39" si="16">SUM(T36,T32,T26,T19)</f>
        <v>1.5521310960000001</v>
      </c>
      <c r="U39" s="112">
        <f t="shared" si="16"/>
        <v>254269.663677812</v>
      </c>
      <c r="V39" s="497">
        <f t="shared" si="16"/>
        <v>1.779766975864</v>
      </c>
    </row>
    <row r="40" spans="2:33" ht="21" customHeight="1">
      <c r="B40" s="20" t="s">
        <v>244</v>
      </c>
      <c r="C40" s="9"/>
      <c r="D40" s="9"/>
      <c r="E40" s="9"/>
      <c r="F40" s="9"/>
      <c r="G40" s="9"/>
      <c r="H40" s="9"/>
      <c r="I40" s="9"/>
      <c r="J40" s="149"/>
      <c r="K40" s="9"/>
      <c r="L40" s="316"/>
      <c r="M40" s="9"/>
      <c r="N40" s="150"/>
      <c r="O40" s="9"/>
      <c r="P40" s="9"/>
      <c r="Q40" s="9"/>
      <c r="R40" s="316"/>
      <c r="S40" s="11"/>
      <c r="T40" s="9"/>
      <c r="U40" s="9"/>
      <c r="V40" s="9"/>
      <c r="W40" s="9"/>
      <c r="X40" s="9"/>
      <c r="Y40" s="9"/>
      <c r="Z40" s="9"/>
      <c r="AA40" s="9"/>
      <c r="AB40" s="9"/>
      <c r="AC40" s="9"/>
      <c r="AD40" s="9"/>
      <c r="AE40" s="9"/>
      <c r="AF40" s="9"/>
      <c r="AG40" s="9"/>
    </row>
    <row r="41" spans="2:33" ht="16.5">
      <c r="B41" s="588" t="s">
        <v>245</v>
      </c>
      <c r="C41" s="9"/>
      <c r="D41" s="9"/>
      <c r="E41" s="9"/>
      <c r="F41" s="9"/>
      <c r="G41" s="9"/>
      <c r="H41" s="9"/>
      <c r="I41" s="9"/>
      <c r="J41" s="9"/>
      <c r="K41" s="9"/>
      <c r="L41" s="9"/>
      <c r="M41" s="9"/>
      <c r="N41" s="9"/>
      <c r="O41" s="9"/>
      <c r="P41" s="9"/>
      <c r="Q41" s="9"/>
      <c r="R41" s="9"/>
    </row>
    <row r="42" spans="2:33" ht="31.5" customHeight="1">
      <c r="B42" s="896" t="s">
        <v>246</v>
      </c>
      <c r="C42" s="896"/>
      <c r="D42" s="896"/>
      <c r="E42" s="896"/>
      <c r="F42" s="896"/>
      <c r="G42" s="896"/>
      <c r="H42" s="896"/>
      <c r="I42" s="896"/>
      <c r="J42" s="896"/>
      <c r="K42" s="896"/>
      <c r="L42" s="896"/>
      <c r="M42" s="896"/>
      <c r="N42" s="896"/>
      <c r="O42" s="896"/>
      <c r="P42" s="896"/>
      <c r="Q42" s="896"/>
      <c r="R42" s="896"/>
      <c r="S42" s="896"/>
      <c r="T42" s="896"/>
      <c r="U42" s="896"/>
      <c r="V42" s="896"/>
    </row>
    <row r="43" spans="2:33" ht="16.5">
      <c r="B43" s="20" t="s">
        <v>247</v>
      </c>
    </row>
    <row r="44" spans="2:33" ht="16.5">
      <c r="B44" s="655" t="s">
        <v>248</v>
      </c>
    </row>
    <row r="45" spans="2:33">
      <c r="B45" t="s">
        <v>249</v>
      </c>
    </row>
    <row r="46" spans="2:33">
      <c r="M46" s="245"/>
    </row>
    <row r="47" spans="2:33">
      <c r="F47" s="245"/>
      <c r="G47" s="245"/>
    </row>
    <row r="49" spans="11:17">
      <c r="K49" s="129"/>
    </row>
    <row r="50" spans="11:17">
      <c r="K50" s="129"/>
    </row>
    <row r="51" spans="11:17">
      <c r="K51" s="129"/>
    </row>
    <row r="52" spans="11:17">
      <c r="K52" s="129"/>
    </row>
    <row r="53" spans="11:17">
      <c r="K53" s="129"/>
    </row>
    <row r="54" spans="11:17">
      <c r="K54" s="129"/>
    </row>
    <row r="55" spans="11:17">
      <c r="K55" s="129"/>
    </row>
    <row r="56" spans="11:17">
      <c r="K56" s="129"/>
    </row>
    <row r="57" spans="11:17">
      <c r="K57" s="129"/>
    </row>
    <row r="58" spans="11:17">
      <c r="K58" s="129"/>
    </row>
    <row r="59" spans="11:17">
      <c r="K59" s="129"/>
    </row>
    <row r="60" spans="11:17">
      <c r="K60" s="129"/>
    </row>
    <row r="62" spans="11:17">
      <c r="K62" s="129"/>
      <c r="M62" s="2"/>
      <c r="P62" s="3"/>
      <c r="Q62"/>
    </row>
    <row r="63" spans="11:17">
      <c r="K63" s="129"/>
      <c r="M63" s="2"/>
      <c r="P63" s="3"/>
      <c r="Q63"/>
    </row>
    <row r="64" spans="11:17">
      <c r="K64" s="129"/>
      <c r="M64" s="2"/>
      <c r="P64" s="3"/>
      <c r="Q64"/>
    </row>
    <row r="65" spans="11:17">
      <c r="K65" s="129"/>
      <c r="M65" s="2"/>
      <c r="P65" s="3"/>
      <c r="Q65"/>
    </row>
    <row r="66" spans="11:17">
      <c r="K66" s="129"/>
      <c r="M66" s="2"/>
      <c r="P66" s="3"/>
      <c r="Q66"/>
    </row>
    <row r="67" spans="11:17">
      <c r="K67" s="129"/>
      <c r="M67" s="2"/>
      <c r="P67" s="3"/>
      <c r="Q67"/>
    </row>
    <row r="68" spans="11:17">
      <c r="K68" s="129"/>
      <c r="M68" s="2"/>
      <c r="P68" s="3"/>
      <c r="Q68"/>
    </row>
    <row r="69" spans="11:17">
      <c r="K69" s="129"/>
      <c r="M69" s="2"/>
      <c r="P69" s="3"/>
      <c r="Q69"/>
    </row>
    <row r="70" spans="11:17">
      <c r="K70" s="129"/>
      <c r="M70" s="2"/>
      <c r="P70" s="3"/>
      <c r="Q70"/>
    </row>
    <row r="71" spans="11:17">
      <c r="K71" s="129"/>
      <c r="M71" s="2"/>
      <c r="P71" s="3"/>
      <c r="Q71"/>
    </row>
    <row r="72" spans="11:17">
      <c r="K72" s="129"/>
      <c r="M72" s="2"/>
      <c r="P72" s="3"/>
      <c r="Q72"/>
    </row>
    <row r="73" spans="11:17">
      <c r="K73" s="129"/>
      <c r="M73" s="2"/>
      <c r="P73" s="3"/>
      <c r="Q73"/>
    </row>
  </sheetData>
  <mergeCells count="9">
    <mergeCell ref="B42:V42"/>
    <mergeCell ref="B28:B32"/>
    <mergeCell ref="B8:B14"/>
    <mergeCell ref="T4:V4"/>
    <mergeCell ref="L4:S4"/>
    <mergeCell ref="D4:G4"/>
    <mergeCell ref="H4:K4"/>
    <mergeCell ref="B23:B25"/>
    <mergeCell ref="B15:B17"/>
  </mergeCells>
  <pageMargins left="0.25" right="0.25" top="0.75" bottom="0.75" header="0.3" footer="0.3"/>
  <pageSetup scale="52" fitToHeight="0" orientation="landscape" r:id="rId1"/>
  <headerFooter>
    <oddHeader xml:space="preserve">&amp;CACE Q2 of Program Year 2022 Portfolio Summary Reporting Table </oddHeader>
    <oddFooter>&amp;C&amp;N&amp;R&amp;D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4"/>
  <sheetViews>
    <sheetView showGridLines="0" topLeftCell="A5" zoomScaleNormal="100" zoomScaleSheetLayoutView="100" workbookViewId="0">
      <selection activeCell="L19" sqref="L19"/>
    </sheetView>
  </sheetViews>
  <sheetFormatPr defaultColWidth="9.26953125" defaultRowHeight="14.5"/>
  <cols>
    <col min="1" max="1" width="4.26953125" customWidth="1"/>
    <col min="2" max="2" width="22.1796875" customWidth="1"/>
    <col min="3" max="3" width="39.453125" customWidth="1"/>
    <col min="4" max="8" width="13.54296875" customWidth="1"/>
    <col min="9" max="9" width="14.54296875" customWidth="1"/>
    <col min="10" max="10" width="16.26953125" customWidth="1"/>
    <col min="11" max="11" width="16.26953125" style="4" customWidth="1"/>
    <col min="12" max="13" width="16.26953125" customWidth="1"/>
    <col min="14" max="15" width="15.7265625" style="2" customWidth="1"/>
    <col min="16" max="16" width="13.54296875" customWidth="1"/>
    <col min="20" max="20" width="9.26953125" customWidth="1"/>
  </cols>
  <sheetData>
    <row r="1" spans="1:15" ht="23.5">
      <c r="A1" s="1" t="s">
        <v>184</v>
      </c>
      <c r="K1" s="34"/>
      <c r="N1" s="33"/>
      <c r="O1" s="33"/>
    </row>
    <row r="2" spans="1:15">
      <c r="K2" s="34"/>
      <c r="N2" s="33"/>
      <c r="O2" s="33"/>
    </row>
    <row r="3" spans="1:15" ht="19" thickBot="1">
      <c r="A3" s="5"/>
      <c r="B3" s="5" t="s">
        <v>185</v>
      </c>
      <c r="C3" s="5"/>
      <c r="D3" s="5"/>
      <c r="E3" s="5"/>
      <c r="F3" s="5"/>
      <c r="G3" s="5"/>
      <c r="H3" s="5"/>
      <c r="K3" s="44"/>
      <c r="N3" s="33"/>
      <c r="O3" s="33"/>
    </row>
    <row r="4" spans="1:15" ht="43.15" customHeight="1" thickBot="1">
      <c r="A4" t="s">
        <v>148</v>
      </c>
      <c r="B4" s="447"/>
      <c r="C4" s="448"/>
      <c r="D4" s="925" t="s">
        <v>186</v>
      </c>
      <c r="E4" s="925"/>
      <c r="F4" s="926" t="s">
        <v>250</v>
      </c>
      <c r="G4" s="927"/>
      <c r="H4" s="928" t="s">
        <v>188</v>
      </c>
      <c r="I4" s="929"/>
      <c r="K4" s="34"/>
      <c r="M4" s="41"/>
      <c r="N4" s="41"/>
      <c r="O4" s="41"/>
    </row>
    <row r="5" spans="1:15" ht="21" customHeight="1" thickBot="1">
      <c r="B5" s="449"/>
      <c r="C5" s="233"/>
      <c r="D5" s="232" t="s">
        <v>190</v>
      </c>
      <c r="E5" s="61" t="s">
        <v>191</v>
      </c>
      <c r="F5" s="65" t="s">
        <v>192</v>
      </c>
      <c r="G5" s="66" t="s">
        <v>251</v>
      </c>
      <c r="H5" s="58" t="s">
        <v>194</v>
      </c>
      <c r="I5" s="450" t="s">
        <v>195</v>
      </c>
      <c r="K5" s="34"/>
      <c r="N5" s="33"/>
      <c r="O5" s="33"/>
    </row>
    <row r="6" spans="1:15" ht="52.5" customHeight="1" thickBot="1">
      <c r="B6" s="451"/>
      <c r="C6" s="234"/>
      <c r="D6" s="920" t="s">
        <v>10</v>
      </c>
      <c r="E6" s="920"/>
      <c r="F6" s="921" t="s">
        <v>252</v>
      </c>
      <c r="G6" s="922"/>
      <c r="H6" s="923" t="s">
        <v>253</v>
      </c>
      <c r="I6" s="924"/>
      <c r="K6" s="34"/>
      <c r="N6" s="33"/>
      <c r="O6" s="33"/>
    </row>
    <row r="7" spans="1:15" ht="29">
      <c r="B7" s="452" t="s">
        <v>226</v>
      </c>
      <c r="C7" s="336" t="s">
        <v>254</v>
      </c>
      <c r="D7" s="60" t="s">
        <v>255</v>
      </c>
      <c r="E7" s="73" t="s">
        <v>256</v>
      </c>
      <c r="F7" s="60" t="s">
        <v>255</v>
      </c>
      <c r="G7" s="73" t="s">
        <v>256</v>
      </c>
      <c r="H7" s="60" t="s">
        <v>255</v>
      </c>
      <c r="I7" s="453" t="s">
        <v>256</v>
      </c>
      <c r="J7" s="36"/>
      <c r="K7" s="37"/>
      <c r="L7" s="36"/>
      <c r="M7" s="36"/>
      <c r="N7" s="36"/>
      <c r="O7" s="36"/>
    </row>
    <row r="8" spans="1:15">
      <c r="B8" s="930" t="s">
        <v>21</v>
      </c>
      <c r="C8" s="337" t="s">
        <v>22</v>
      </c>
      <c r="D8" s="598">
        <v>16</v>
      </c>
      <c r="E8" s="599">
        <v>1619</v>
      </c>
      <c r="F8" s="639">
        <v>9.5719999999999992</v>
      </c>
      <c r="G8" s="640">
        <v>400.18099999999998</v>
      </c>
      <c r="H8" s="600">
        <v>12.775226851436388</v>
      </c>
      <c r="I8" s="601">
        <v>765.44900884856361</v>
      </c>
      <c r="J8" s="589"/>
      <c r="K8" s="38"/>
      <c r="L8" s="33"/>
      <c r="M8" s="33"/>
      <c r="N8" s="33"/>
      <c r="O8" s="33"/>
    </row>
    <row r="9" spans="1:15">
      <c r="B9" s="931"/>
      <c r="C9" s="338" t="s">
        <v>26</v>
      </c>
      <c r="D9" s="602">
        <v>26502</v>
      </c>
      <c r="E9" s="603">
        <v>0</v>
      </c>
      <c r="F9" s="641">
        <v>734.26700000000005</v>
      </c>
      <c r="G9" s="642">
        <v>0</v>
      </c>
      <c r="H9" s="604">
        <v>7199.8902173000006</v>
      </c>
      <c r="I9" s="605">
        <v>0</v>
      </c>
      <c r="J9" s="2"/>
      <c r="K9" s="38"/>
      <c r="L9" s="33"/>
      <c r="M9" s="33"/>
      <c r="N9" s="33"/>
      <c r="O9" s="33"/>
    </row>
    <row r="10" spans="1:15">
      <c r="B10" s="931"/>
      <c r="C10" s="201" t="s">
        <v>257</v>
      </c>
      <c r="D10" s="602">
        <v>106</v>
      </c>
      <c r="E10" s="603">
        <v>174075</v>
      </c>
      <c r="F10" s="643">
        <v>12.814</v>
      </c>
      <c r="G10" s="644">
        <v>847.89700000000005</v>
      </c>
      <c r="H10" s="606">
        <v>102</v>
      </c>
      <c r="I10" s="607">
        <v>28234</v>
      </c>
      <c r="J10" s="2"/>
      <c r="K10" s="38"/>
      <c r="L10" s="33"/>
      <c r="M10" s="33"/>
      <c r="N10" s="33"/>
      <c r="O10" s="33"/>
    </row>
    <row r="11" spans="1:15" ht="14.5" customHeight="1">
      <c r="B11" s="930" t="s">
        <v>28</v>
      </c>
      <c r="C11" s="337" t="s">
        <v>258</v>
      </c>
      <c r="D11" s="598">
        <v>14</v>
      </c>
      <c r="E11" s="599">
        <v>85</v>
      </c>
      <c r="F11" s="608">
        <v>49.54</v>
      </c>
      <c r="G11" s="609">
        <v>340.03199999999998</v>
      </c>
      <c r="H11" s="610">
        <v>14.626713779999999</v>
      </c>
      <c r="I11" s="611">
        <v>57.55253167</v>
      </c>
      <c r="J11" s="42"/>
      <c r="K11" s="42"/>
      <c r="L11" s="42"/>
      <c r="M11" s="33"/>
      <c r="N11" s="33"/>
      <c r="O11" s="33"/>
    </row>
    <row r="12" spans="1:15" ht="14.5" customHeight="1">
      <c r="B12" s="931"/>
      <c r="C12" s="339" t="s">
        <v>30</v>
      </c>
      <c r="D12" s="602">
        <v>2715</v>
      </c>
      <c r="E12" s="603">
        <v>1393</v>
      </c>
      <c r="F12" s="612">
        <v>590.64099999999996</v>
      </c>
      <c r="G12" s="613">
        <v>351.14699999999999</v>
      </c>
      <c r="H12" s="614">
        <v>1213.5060000000001</v>
      </c>
      <c r="I12" s="615">
        <v>821.74249999999995</v>
      </c>
      <c r="J12" s="42"/>
      <c r="K12" s="42"/>
      <c r="L12" s="42"/>
      <c r="M12" s="33"/>
      <c r="N12" s="33"/>
      <c r="O12" s="33"/>
    </row>
    <row r="13" spans="1:15" ht="14.5" customHeight="1" thickBot="1">
      <c r="B13" s="931"/>
      <c r="C13" s="340" t="s">
        <v>31</v>
      </c>
      <c r="D13" s="616">
        <f>'Ap B - Qtr Electric Master'!F17</f>
        <v>212</v>
      </c>
      <c r="E13" s="617" t="s">
        <v>109</v>
      </c>
      <c r="F13" s="618">
        <v>128</v>
      </c>
      <c r="G13" s="619" t="s">
        <v>109</v>
      </c>
      <c r="H13" s="620">
        <f>'Ap B - Qtr Electric Master'!N17</f>
        <v>281.21839999999997</v>
      </c>
      <c r="I13" s="621" t="s">
        <v>109</v>
      </c>
      <c r="J13" s="42"/>
      <c r="K13" s="42"/>
      <c r="L13" s="42"/>
      <c r="M13" s="33"/>
      <c r="N13" s="33"/>
      <c r="O13" s="33"/>
    </row>
    <row r="14" spans="1:15" ht="29.5" thickBot="1">
      <c r="B14" s="454" t="s">
        <v>32</v>
      </c>
      <c r="C14" s="571" t="s">
        <v>33</v>
      </c>
      <c r="D14" s="622" t="s">
        <v>109</v>
      </c>
      <c r="E14" s="623" t="s">
        <v>109</v>
      </c>
      <c r="F14" s="624" t="s">
        <v>109</v>
      </c>
      <c r="G14" s="625" t="s">
        <v>109</v>
      </c>
      <c r="H14" s="622" t="s">
        <v>109</v>
      </c>
      <c r="I14" s="623" t="s">
        <v>109</v>
      </c>
      <c r="J14" s="2" t="s">
        <v>148</v>
      </c>
      <c r="K14" s="34"/>
      <c r="L14" s="33"/>
      <c r="M14" s="33"/>
      <c r="N14" s="33"/>
      <c r="O14" s="33"/>
    </row>
    <row r="15" spans="1:15" ht="15" thickBot="1">
      <c r="B15" s="455" t="s">
        <v>235</v>
      </c>
      <c r="C15" s="341"/>
      <c r="D15" s="572">
        <f t="shared" ref="D15:I15" si="0">SUM(D8:D14)</f>
        <v>29565</v>
      </c>
      <c r="E15" s="573">
        <f t="shared" si="0"/>
        <v>177172</v>
      </c>
      <c r="F15" s="574">
        <f t="shared" si="0"/>
        <v>1524.8339999999998</v>
      </c>
      <c r="G15" s="575">
        <f t="shared" si="0"/>
        <v>1939.2569999999998</v>
      </c>
      <c r="H15" s="576">
        <f t="shared" si="0"/>
        <v>8824.0165579314362</v>
      </c>
      <c r="I15" s="577">
        <f t="shared" si="0"/>
        <v>29878.744040518563</v>
      </c>
      <c r="J15" s="579"/>
      <c r="K15" s="446"/>
      <c r="L15" s="36"/>
      <c r="M15" s="36"/>
      <c r="N15" s="36"/>
      <c r="O15" s="36"/>
    </row>
    <row r="16" spans="1:15" ht="15" thickBot="1">
      <c r="B16" s="457"/>
      <c r="C16" s="342"/>
      <c r="D16" s="50"/>
      <c r="E16" s="63"/>
      <c r="F16" s="568"/>
      <c r="G16" s="569"/>
      <c r="H16" s="16"/>
      <c r="I16" s="458"/>
      <c r="J16" s="39"/>
      <c r="K16" s="39"/>
      <c r="L16" s="39"/>
      <c r="M16" s="39"/>
      <c r="N16" s="39"/>
      <c r="O16" s="39"/>
    </row>
    <row r="17" spans="2:30">
      <c r="B17" s="918" t="s">
        <v>40</v>
      </c>
      <c r="C17" s="68" t="s">
        <v>29</v>
      </c>
      <c r="D17" s="610">
        <v>3</v>
      </c>
      <c r="E17" s="626">
        <v>0</v>
      </c>
      <c r="F17" s="627">
        <v>156</v>
      </c>
      <c r="G17" s="628">
        <v>0</v>
      </c>
      <c r="H17" s="610">
        <v>0</v>
      </c>
      <c r="I17" s="611">
        <v>0</v>
      </c>
      <c r="J17" s="4"/>
      <c r="L17" s="4"/>
      <c r="M17" s="33"/>
      <c r="N17" s="39"/>
      <c r="O17" s="39"/>
    </row>
    <row r="18" spans="2:30" ht="16.5">
      <c r="B18" s="919"/>
      <c r="C18" s="405" t="s">
        <v>259</v>
      </c>
      <c r="D18" s="620">
        <v>1250</v>
      </c>
      <c r="E18" s="629">
        <v>124</v>
      </c>
      <c r="F18" s="630">
        <v>188.47300000000001</v>
      </c>
      <c r="G18" s="631">
        <v>15.833</v>
      </c>
      <c r="H18" s="620">
        <v>711</v>
      </c>
      <c r="I18" s="621">
        <v>25</v>
      </c>
      <c r="J18" s="4"/>
      <c r="L18" s="4"/>
      <c r="M18" s="33"/>
      <c r="N18" s="39"/>
      <c r="O18" s="39"/>
    </row>
    <row r="19" spans="2:30">
      <c r="B19" s="455" t="s">
        <v>260</v>
      </c>
      <c r="C19" s="341"/>
      <c r="D19" s="227">
        <f>SUM(D17:D18)</f>
        <v>1253</v>
      </c>
      <c r="E19" s="335">
        <f t="shared" ref="E19" si="1">SUM(E17:E18)</f>
        <v>124</v>
      </c>
      <c r="F19" s="346">
        <f>SUM(F17:F18)</f>
        <v>344.47300000000001</v>
      </c>
      <c r="G19" s="347">
        <f>SUM(G17:G18)</f>
        <v>15.833</v>
      </c>
      <c r="H19" s="227">
        <f>SUM(H17:H18)</f>
        <v>711</v>
      </c>
      <c r="I19" s="456">
        <f>SUM(I17:I18)</f>
        <v>25</v>
      </c>
      <c r="J19" s="39"/>
      <c r="K19" s="39"/>
      <c r="L19" s="39"/>
      <c r="M19" s="39"/>
      <c r="N19" s="39"/>
      <c r="O19" s="39"/>
    </row>
    <row r="20" spans="2:30" ht="15" thickBot="1">
      <c r="B20" s="457"/>
      <c r="C20" s="343"/>
      <c r="D20" s="106"/>
      <c r="E20" s="219"/>
      <c r="F20" s="220"/>
      <c r="G20" s="221"/>
      <c r="H20" s="106"/>
      <c r="I20" s="459"/>
      <c r="J20" s="36"/>
      <c r="K20" s="37"/>
      <c r="L20" s="36"/>
      <c r="M20" s="36"/>
      <c r="N20" s="36"/>
      <c r="O20" s="36"/>
    </row>
    <row r="21" spans="2:30" ht="15" thickBot="1">
      <c r="B21" s="455" t="s">
        <v>171</v>
      </c>
      <c r="C21" s="341"/>
      <c r="D21" s="223"/>
      <c r="E21" s="224"/>
      <c r="F21" s="225"/>
      <c r="G21" s="226"/>
      <c r="H21" s="227"/>
      <c r="I21" s="456"/>
      <c r="J21" s="36"/>
      <c r="K21" s="37"/>
      <c r="L21" s="36"/>
      <c r="M21" s="36"/>
      <c r="N21" s="36"/>
      <c r="O21" s="36"/>
    </row>
    <row r="22" spans="2:30">
      <c r="B22" s="460" t="s">
        <v>261</v>
      </c>
      <c r="C22" s="344"/>
      <c r="D22" s="103" t="s">
        <v>109</v>
      </c>
      <c r="E22" s="228" t="s">
        <v>109</v>
      </c>
      <c r="F22" s="229" t="s">
        <v>109</v>
      </c>
      <c r="G22" s="230" t="s">
        <v>109</v>
      </c>
      <c r="H22" s="103" t="s">
        <v>109</v>
      </c>
      <c r="I22" s="461" t="s">
        <v>109</v>
      </c>
      <c r="J22" s="35"/>
      <c r="K22" s="34"/>
      <c r="L22" s="35"/>
      <c r="M22" s="35"/>
      <c r="N22" s="33"/>
      <c r="O22" s="33"/>
    </row>
    <row r="23" spans="2:30" ht="15" thickBot="1">
      <c r="B23" s="462" t="s">
        <v>262</v>
      </c>
      <c r="C23" s="345"/>
      <c r="D23" s="215">
        <f>SUM(D22)</f>
        <v>0</v>
      </c>
      <c r="E23" s="216">
        <f t="shared" ref="E23:G23" si="2">SUM(E22)</f>
        <v>0</v>
      </c>
      <c r="F23" s="217">
        <f t="shared" si="2"/>
        <v>0</v>
      </c>
      <c r="G23" s="218">
        <f t="shared" si="2"/>
        <v>0</v>
      </c>
      <c r="H23" s="215">
        <f>SUM(H22)</f>
        <v>0</v>
      </c>
      <c r="I23" s="463">
        <f>SUM(I22)</f>
        <v>0</v>
      </c>
      <c r="J23" s="40"/>
      <c r="K23" s="37"/>
      <c r="L23" s="40"/>
      <c r="M23" s="40"/>
      <c r="N23" s="36"/>
      <c r="O23" s="36"/>
    </row>
    <row r="24" spans="2:30">
      <c r="B24" s="457"/>
      <c r="C24" s="343"/>
      <c r="D24" s="106"/>
      <c r="E24" s="219"/>
      <c r="F24" s="220"/>
      <c r="G24" s="221"/>
      <c r="H24" s="106"/>
      <c r="I24" s="459"/>
      <c r="J24" s="39"/>
      <c r="K24" s="39"/>
      <c r="L24" s="39"/>
      <c r="M24" s="39"/>
      <c r="N24" s="39"/>
      <c r="O24" s="39"/>
    </row>
    <row r="25" spans="2:30" ht="15" thickBot="1">
      <c r="B25" s="462" t="s">
        <v>170</v>
      </c>
      <c r="C25" s="345"/>
      <c r="D25" s="215">
        <f t="shared" ref="D25:I25" si="3">SUM(D23,D19,D15)</f>
        <v>30818</v>
      </c>
      <c r="E25" s="216">
        <f t="shared" si="3"/>
        <v>177296</v>
      </c>
      <c r="F25" s="217">
        <f t="shared" si="3"/>
        <v>1869.3069999999998</v>
      </c>
      <c r="G25" s="218">
        <f t="shared" si="3"/>
        <v>1955.09</v>
      </c>
      <c r="H25" s="215">
        <f t="shared" si="3"/>
        <v>9535.0165579314362</v>
      </c>
      <c r="I25" s="463">
        <f t="shared" si="3"/>
        <v>29903.744040518563</v>
      </c>
      <c r="J25" s="39"/>
      <c r="K25" s="39"/>
      <c r="L25" s="39"/>
      <c r="M25" s="39"/>
      <c r="N25" s="39"/>
      <c r="O25" s="39"/>
    </row>
    <row r="26" spans="2:30" ht="15" thickBot="1">
      <c r="B26" s="464" t="s">
        <v>243</v>
      </c>
      <c r="C26" s="465"/>
      <c r="D26" s="466"/>
      <c r="E26" s="467"/>
      <c r="F26" s="468"/>
      <c r="G26" s="469"/>
      <c r="H26" s="466"/>
      <c r="I26" s="470"/>
      <c r="J26" s="39"/>
      <c r="K26" s="39"/>
      <c r="L26" s="39"/>
      <c r="M26" s="39"/>
      <c r="N26" s="39"/>
      <c r="O26" s="39"/>
    </row>
    <row r="27" spans="2:30" ht="16.5">
      <c r="B27" s="348" t="s">
        <v>263</v>
      </c>
      <c r="J27" s="36"/>
      <c r="K27" s="37"/>
      <c r="L27" s="36"/>
      <c r="M27" s="36"/>
      <c r="N27" s="36"/>
      <c r="O27" s="36"/>
    </row>
    <row r="28" spans="2:30">
      <c r="B28" s="348"/>
      <c r="J28" s="36"/>
      <c r="K28" s="37"/>
      <c r="L28" s="36"/>
      <c r="M28" s="36"/>
      <c r="N28" s="36"/>
      <c r="O28" s="36"/>
    </row>
    <row r="29" spans="2:30">
      <c r="B29" s="20"/>
      <c r="C29" s="9"/>
      <c r="D29" s="9"/>
      <c r="E29" s="9"/>
      <c r="F29" s="9"/>
      <c r="G29" s="9"/>
      <c r="H29" s="9"/>
      <c r="I29" s="9"/>
      <c r="J29" s="9"/>
      <c r="K29" s="10"/>
      <c r="L29" s="9"/>
      <c r="M29" s="9"/>
      <c r="N29" s="11"/>
      <c r="O29" s="11"/>
      <c r="P29" s="9"/>
      <c r="Q29" s="9"/>
      <c r="R29" s="9"/>
      <c r="S29" s="9"/>
      <c r="T29" s="9"/>
      <c r="U29" s="9"/>
      <c r="V29" s="9"/>
      <c r="W29" s="9"/>
      <c r="X29" s="9"/>
      <c r="Y29" s="9"/>
      <c r="Z29" s="9"/>
      <c r="AA29" s="9"/>
      <c r="AB29" s="9"/>
      <c r="AC29" s="9"/>
      <c r="AD29" s="9"/>
    </row>
    <row r="30" spans="2:30">
      <c r="C30" s="441"/>
      <c r="D30" s="441"/>
      <c r="J30" s="245"/>
    </row>
    <row r="32" spans="2:30">
      <c r="H32" s="580"/>
    </row>
    <row r="34" spans="9:9">
      <c r="I34" s="240"/>
    </row>
  </sheetData>
  <mergeCells count="9">
    <mergeCell ref="B17:B18"/>
    <mergeCell ref="D6:E6"/>
    <mergeCell ref="F6:G6"/>
    <mergeCell ref="H6:I6"/>
    <mergeCell ref="D4:E4"/>
    <mergeCell ref="F4:G4"/>
    <mergeCell ref="H4:I4"/>
    <mergeCell ref="B8:B10"/>
    <mergeCell ref="B11:B13"/>
  </mergeCells>
  <phoneticPr fontId="54" type="noConversion"/>
  <pageMargins left="0.25" right="0.25" top="0.75" bottom="0.75" header="0.3" footer="0.3"/>
  <pageSetup scale="90" fitToHeight="0" orientation="landscape" r:id="rId1"/>
  <headerFooter>
    <oddHeader>&amp;CACE Q2 of Program Year 2022 LMI Reporting Table</oddHeader>
    <oddFooter>&amp;C&amp;N&amp;R&amp;D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1" ma:contentTypeDescription="Create a new document." ma:contentTypeScope="" ma:versionID="f20c3d4365552be1c5bd30722e582e5f">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180636fadeb78575c5e826a9f6f2c4e"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Props1.xml><?xml version="1.0" encoding="utf-8"?>
<ds:datastoreItem xmlns:ds="http://schemas.openxmlformats.org/officeDocument/2006/customXml" ds:itemID="{20C72123-CAE0-423E-B454-C0D785190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1BAE6B-A719-4485-989D-FF83BF8056CF}">
  <ds:schemaRefs>
    <ds:schemaRef ds:uri="http://schemas.microsoft.com/sharepoint/v3/contenttype/forms"/>
  </ds:schemaRefs>
</ds:datastoreItem>
</file>

<file path=customXml/itemProps3.xml><?xml version="1.0" encoding="utf-8"?>
<ds:datastoreItem xmlns:ds="http://schemas.openxmlformats.org/officeDocument/2006/customXml" ds:itemID="{3ABA3218-46AE-4A85-9E29-3FBAD78A7292}">
  <ds:schemaRefs>
    <ds:schemaRef ds:uri="http://purl.org/dc/terms/"/>
    <ds:schemaRef ds:uri="http://www.w3.org/XML/1998/namespace"/>
    <ds:schemaRef ds:uri="http://schemas.microsoft.com/office/2006/documentManagement/types"/>
    <ds:schemaRef ds:uri="http://schemas.microsoft.com/office/infopath/2007/PartnerControls"/>
    <ds:schemaRef ds:uri="39c968e2-ee87-41b9-8fa8-4cd604c6e882"/>
    <ds:schemaRef ds:uri="http://schemas.openxmlformats.org/package/2006/metadata/core-properties"/>
    <ds:schemaRef ds:uri="http://purl.org/dc/elements/1.1/"/>
    <ds:schemaRef ds:uri="ba291332-5843-45d8-bfc3-9844fb3e26d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ACE</vt:lpstr>
      <vt:lpstr>Table 1</vt:lpstr>
      <vt:lpstr>Tables 2-6</vt:lpstr>
      <vt:lpstr>Table 7</vt:lpstr>
      <vt:lpstr>Table 8</vt:lpstr>
      <vt:lpstr>Table 9</vt:lpstr>
      <vt:lpstr>Ap A - Participant Def</vt:lpstr>
      <vt:lpstr>Ap B - Qtr Electric Master</vt:lpstr>
      <vt:lpstr> Ap C - Qtr Electric LMI</vt:lpstr>
      <vt:lpstr> Ap D - Qtr Electric Business</vt:lpstr>
      <vt:lpstr>Ap E - NJ CEA Benchmarks</vt:lpstr>
      <vt:lpstr>AP F - Secondary Metrics</vt:lpstr>
      <vt:lpstr>AP G - Transfer</vt:lpstr>
      <vt:lpstr>AP H - CostTest</vt:lpstr>
      <vt:lpstr>AP I - Program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Trautman, Alexis</dc:creator>
  <cp:lastModifiedBy>Trautman, Alexis</cp:lastModifiedBy>
  <dcterms:created xsi:type="dcterms:W3CDTF">1900-01-01T05:00:00Z</dcterms:created>
  <dcterms:modified xsi:type="dcterms:W3CDTF">2023-11-17T19:33:53Z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2022-01-25T14:13:43Z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a86b1542-9f49-4e02-9f21-8be907b69305</vt:lpwstr>
  </property>
  <property fmtid="{D5CDD505-2E9C-101B-9397-08002B2CF9AE}" pid="8" name="MSIP_Label_c968b3d1-e05f-4796-9c23-acaf26d588cb_ContentBits">
    <vt:lpwstr>0</vt:lpwstr>
  </property>
  <property fmtid="{D5CDD505-2E9C-101B-9397-08002B2CF9AE}" pid="9" name="ContentTypeId">
    <vt:lpwstr>0x0101001344E40FD4B6E44E8C95B60B306FD587</vt:lpwstr>
  </property>
</Properties>
</file>