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.sharepoint.com/sites/EETeam/Shared Documents/Reports/PY2023/"/>
    </mc:Choice>
  </mc:AlternateContent>
  <xr:revisionPtr revIDLastSave="3" documentId="13_ncr:1_{1E6B861D-931E-48FC-9BED-4589DE07D3E5}" xr6:coauthVersionLast="47" xr6:coauthVersionMax="47" xr10:uidLastSave="{C1F20A41-601D-41D2-9273-FE7A88FF5CB1}"/>
  <bookViews>
    <workbookView xWindow="-108" yWindow="-108" windowWidth="23256" windowHeight="12576" tabRatio="871" firstSheet="1" activeTab="1" xr2:uid="{00000000-000D-0000-FFFF-FFFF00000000}"/>
  </bookViews>
  <sheets>
    <sheet name="Sheet1" sheetId="16" state="hidden" r:id="rId1"/>
    <sheet name="Statewide Totals" sheetId="28" r:id="rId2"/>
    <sheet name="Current Year Programs" sheetId="22" r:id="rId3"/>
    <sheet name="Legacy Programs" sheetId="29" r:id="rId4"/>
    <sheet name="Budgets, Expenses &amp; Incentives" sheetId="20" r:id="rId5"/>
    <sheet name="Participants" sheetId="23" r:id="rId6"/>
    <sheet name="Electric Savings" sheetId="24" r:id="rId7"/>
    <sheet name="Gas Savings" sheetId="25" r:id="rId8"/>
    <sheet name="Emissions Reductions" sheetId="26" r:id="rId9"/>
    <sheet name="Goals" sheetId="30" r:id="rId10"/>
    <sheet name="Energy Savings % Retail Sales" sheetId="31" r:id="rId11"/>
    <sheet name="Performance vs Goals" sheetId="32" r:id="rId12"/>
    <sheet name="Qtr Electric Master" sheetId="21" state="hidden" r:id="rId13"/>
  </sheets>
  <externalReferences>
    <externalReference r:id="rId14"/>
  </externalReferences>
  <definedNames>
    <definedName name="_xlnm._FilterDatabase" localSheetId="4" hidden="1">'Budgets, Expenses &amp; Incentives'!#REF!</definedName>
    <definedName name="_xlnm.Print_Area" localSheetId="2">'Current Year Programs'!$A$1:$J$62</definedName>
    <definedName name="wrn.CFC._.QUARTER." localSheetId="10" hidden="1">{"CFC COMPARISON",#N/A,FALSE,"CFCCOMP";"CREDIT LETTER",#N/A,FALSE,"CFCCOMP";"DEBT OBLIGATION",#N/A,FALSE,"CFCCOMP";"OFFICERS CERTIFICATE",#N/A,FALSE,"CFCCOMP"}</definedName>
    <definedName name="wrn.CFC._.QUARTER." localSheetId="9" hidden="1">{"CFC COMPARISON",#N/A,FALSE,"CFCCOMP";"CREDIT LETTER",#N/A,FALSE,"CFCCOMP";"DEBT OBLIGATION",#N/A,FALSE,"CFCCOMP";"OFFICERS CERTIFICATE",#N/A,FALSE,"CFCCOMP"}</definedName>
    <definedName name="wrn.CFC._.QUARTER." localSheetId="11" hidden="1">{"CFC COMPARISON",#N/A,FALSE,"CFCCOMP";"CREDIT LETTER",#N/A,FALSE,"CFCCOMP";"DEBT OBLIGATION",#N/A,FALSE,"CFCCOMP";"OFFICERS CERTIFICATE",#N/A,FALSE,"CFCCOMP"}</definedName>
    <definedName name="wrn.CFC._.QUARTER." localSheetId="12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10" hidden="1">{"COVER",#N/A,FALSE,"COVERPMT";"COMPANY ORDER",#N/A,FALSE,"COVERPMT";"EXHIBIT A",#N/A,FALSE,"COVERPMT"}</definedName>
    <definedName name="wrn.FUEL._.SCHEDULE." localSheetId="9" hidden="1">{"COVER",#N/A,FALSE,"COVERPMT";"COMPANY ORDER",#N/A,FALSE,"COVERPMT";"EXHIBIT A",#N/A,FALSE,"COVERPMT"}</definedName>
    <definedName name="wrn.FUEL._.SCHEDULE." localSheetId="11" hidden="1">{"COVER",#N/A,FALSE,"COVERPMT";"COMPANY ORDER",#N/A,FALSE,"COVERPMT";"EXHIBIT A",#N/A,FALSE,"COVERPMT"}</definedName>
    <definedName name="wrn.FUEL._.SCHEDULE." localSheetId="12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12" hidden="1">'Qtr Electric Master'!#REF!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6" l="1"/>
  <c r="B9" i="32"/>
  <c r="F9" i="32"/>
  <c r="G9" i="32"/>
  <c r="C9" i="32" s="1"/>
  <c r="I9" i="32"/>
  <c r="J9" i="32"/>
  <c r="L9" i="32" s="1"/>
  <c r="B10" i="32"/>
  <c r="F10" i="32"/>
  <c r="F14" i="32" s="1"/>
  <c r="G10" i="32"/>
  <c r="H10" i="32" s="1"/>
  <c r="J10" i="32"/>
  <c r="L10" i="32"/>
  <c r="M10" i="32"/>
  <c r="B11" i="32"/>
  <c r="F11" i="32"/>
  <c r="G11" i="32"/>
  <c r="C11" i="32" s="1"/>
  <c r="D11" i="32" s="1"/>
  <c r="H11" i="32"/>
  <c r="I11" i="32"/>
  <c r="J11" i="32"/>
  <c r="M11" i="32" s="1"/>
  <c r="L11" i="32"/>
  <c r="B12" i="32"/>
  <c r="F12" i="32"/>
  <c r="G12" i="32"/>
  <c r="I12" i="32" s="1"/>
  <c r="H12" i="32"/>
  <c r="J12" i="32"/>
  <c r="L12" i="32"/>
  <c r="M12" i="32"/>
  <c r="B14" i="32"/>
  <c r="D14" i="32"/>
  <c r="J14" i="32"/>
  <c r="K14" i="32"/>
  <c r="L14" i="32" s="1"/>
  <c r="M14" i="32"/>
  <c r="B22" i="32"/>
  <c r="F22" i="32"/>
  <c r="G22" i="32"/>
  <c r="C22" i="32" s="1"/>
  <c r="I22" i="32"/>
  <c r="J22" i="32"/>
  <c r="L22" i="32" s="1"/>
  <c r="B23" i="32"/>
  <c r="F23" i="32"/>
  <c r="F27" i="32" s="1"/>
  <c r="G23" i="32"/>
  <c r="H23" i="32" s="1"/>
  <c r="J23" i="32"/>
  <c r="L23" i="32"/>
  <c r="M23" i="32"/>
  <c r="B24" i="32"/>
  <c r="F24" i="32"/>
  <c r="G24" i="32"/>
  <c r="C24" i="32" s="1"/>
  <c r="D24" i="32" s="1"/>
  <c r="H24" i="32"/>
  <c r="I24" i="32"/>
  <c r="J24" i="32"/>
  <c r="M24" i="32" s="1"/>
  <c r="L24" i="32"/>
  <c r="B25" i="32"/>
  <c r="F25" i="32"/>
  <c r="G25" i="32"/>
  <c r="I25" i="32" s="1"/>
  <c r="H25" i="32"/>
  <c r="J25" i="32"/>
  <c r="L25" i="32"/>
  <c r="M25" i="32"/>
  <c r="B27" i="32"/>
  <c r="J27" i="32"/>
  <c r="K27" i="32"/>
  <c r="L27" i="32" s="1"/>
  <c r="M27" i="32"/>
  <c r="B8" i="31"/>
  <c r="F8" i="31" s="1"/>
  <c r="F13" i="31" s="1"/>
  <c r="D8" i="31"/>
  <c r="G8" i="31"/>
  <c r="H8" i="31"/>
  <c r="J8" i="31"/>
  <c r="K8" i="31"/>
  <c r="M8" i="31" s="1"/>
  <c r="L8" i="31"/>
  <c r="B9" i="31"/>
  <c r="J9" i="31" s="1"/>
  <c r="J13" i="31" s="1"/>
  <c r="D9" i="31"/>
  <c r="F9" i="31"/>
  <c r="G9" i="31"/>
  <c r="I9" i="31" s="1"/>
  <c r="H9" i="31"/>
  <c r="K9" i="31"/>
  <c r="L9" i="31"/>
  <c r="B10" i="31"/>
  <c r="F10" i="31" s="1"/>
  <c r="D10" i="31"/>
  <c r="G10" i="31"/>
  <c r="I10" i="31" s="1"/>
  <c r="H10" i="31"/>
  <c r="J10" i="31"/>
  <c r="K10" i="31"/>
  <c r="M10" i="31" s="1"/>
  <c r="L10" i="31"/>
  <c r="B11" i="31"/>
  <c r="D11" i="31"/>
  <c r="F11" i="31"/>
  <c r="G11" i="31"/>
  <c r="I11" i="31" s="1"/>
  <c r="H11" i="31"/>
  <c r="J11" i="31"/>
  <c r="K11" i="31"/>
  <c r="M11" i="31" s="1"/>
  <c r="L11" i="31"/>
  <c r="B13" i="31"/>
  <c r="D13" i="31"/>
  <c r="H13" i="31"/>
  <c r="L13" i="31"/>
  <c r="B21" i="31"/>
  <c r="D21" i="31"/>
  <c r="F21" i="31"/>
  <c r="G21" i="31"/>
  <c r="C21" i="31" s="1"/>
  <c r="H21" i="31"/>
  <c r="J21" i="31"/>
  <c r="K21" i="31"/>
  <c r="M21" i="31" s="1"/>
  <c r="L21" i="31"/>
  <c r="B22" i="31"/>
  <c r="B26" i="31" s="1"/>
  <c r="D22" i="31"/>
  <c r="G22" i="31"/>
  <c r="H22" i="31"/>
  <c r="J22" i="31"/>
  <c r="J26" i="31" s="1"/>
  <c r="K22" i="31"/>
  <c r="L22" i="31"/>
  <c r="B23" i="31"/>
  <c r="D23" i="31"/>
  <c r="F23" i="31"/>
  <c r="G23" i="31"/>
  <c r="H23" i="31"/>
  <c r="J23" i="31"/>
  <c r="K23" i="31"/>
  <c r="M23" i="31" s="1"/>
  <c r="L23" i="31"/>
  <c r="B24" i="31"/>
  <c r="F24" i="31" s="1"/>
  <c r="D24" i="31"/>
  <c r="G24" i="31"/>
  <c r="I24" i="31" s="1"/>
  <c r="H24" i="31"/>
  <c r="J24" i="31"/>
  <c r="K24" i="31"/>
  <c r="L24" i="31"/>
  <c r="D26" i="31"/>
  <c r="H26" i="31"/>
  <c r="L26" i="31"/>
  <c r="C9" i="30"/>
  <c r="D9" i="30"/>
  <c r="F9" i="30"/>
  <c r="F14" i="30" s="1"/>
  <c r="E14" i="30" s="1"/>
  <c r="H9" i="30"/>
  <c r="C10" i="30"/>
  <c r="D10" i="30" s="1"/>
  <c r="D14" i="30" s="1"/>
  <c r="C14" i="30" s="1"/>
  <c r="F10" i="30"/>
  <c r="H10" i="30"/>
  <c r="H14" i="30" s="1"/>
  <c r="G14" i="30" s="1"/>
  <c r="C11" i="30"/>
  <c r="D11" i="30"/>
  <c r="F11" i="30"/>
  <c r="H11" i="30"/>
  <c r="C12" i="30"/>
  <c r="D12" i="30"/>
  <c r="F12" i="30"/>
  <c r="H12" i="30"/>
  <c r="B14" i="30"/>
  <c r="C21" i="30"/>
  <c r="D21" i="30"/>
  <c r="F21" i="30"/>
  <c r="F26" i="30" s="1"/>
  <c r="E26" i="30" s="1"/>
  <c r="H21" i="30"/>
  <c r="H26" i="30" s="1"/>
  <c r="G26" i="30" s="1"/>
  <c r="C22" i="30"/>
  <c r="D22" i="30" s="1"/>
  <c r="D26" i="30" s="1"/>
  <c r="C26" i="30" s="1"/>
  <c r="F22" i="30"/>
  <c r="H22" i="30"/>
  <c r="C23" i="30"/>
  <c r="D23" i="30"/>
  <c r="F23" i="30"/>
  <c r="H23" i="30"/>
  <c r="C24" i="30"/>
  <c r="D24" i="30" s="1"/>
  <c r="F24" i="30"/>
  <c r="H24" i="30"/>
  <c r="B26" i="30"/>
  <c r="C10" i="32" l="1"/>
  <c r="G26" i="31"/>
  <c r="I26" i="31" s="1"/>
  <c r="C24" i="31"/>
  <c r="E24" i="31" s="1"/>
  <c r="C23" i="32"/>
  <c r="D22" i="32"/>
  <c r="E22" i="32"/>
  <c r="D9" i="32"/>
  <c r="E9" i="32"/>
  <c r="C14" i="32"/>
  <c r="E14" i="32" s="1"/>
  <c r="H22" i="32"/>
  <c r="H9" i="32"/>
  <c r="K26" i="31"/>
  <c r="M26" i="31" s="1"/>
  <c r="C25" i="32"/>
  <c r="C27" i="32" s="1"/>
  <c r="I23" i="32"/>
  <c r="M22" i="32"/>
  <c r="C12" i="32"/>
  <c r="I10" i="32"/>
  <c r="M9" i="32"/>
  <c r="C23" i="31"/>
  <c r="E23" i="31" s="1"/>
  <c r="G27" i="32"/>
  <c r="E24" i="32"/>
  <c r="G14" i="32"/>
  <c r="E11" i="32"/>
  <c r="K13" i="31"/>
  <c r="M13" i="31" s="1"/>
  <c r="I22" i="31"/>
  <c r="E21" i="31"/>
  <c r="M9" i="31"/>
  <c r="I8" i="31"/>
  <c r="C22" i="31"/>
  <c r="E22" i="31" s="1"/>
  <c r="C10" i="31"/>
  <c r="E10" i="31" s="1"/>
  <c r="C8" i="31"/>
  <c r="G13" i="31"/>
  <c r="I13" i="31" s="1"/>
  <c r="C11" i="31"/>
  <c r="E11" i="31" s="1"/>
  <c r="C9" i="31"/>
  <c r="E9" i="31" s="1"/>
  <c r="F22" i="31"/>
  <c r="F26" i="31" s="1"/>
  <c r="M24" i="31"/>
  <c r="I23" i="31"/>
  <c r="M22" i="31"/>
  <c r="I21" i="31"/>
  <c r="C26" i="31" l="1"/>
  <c r="E26" i="31" s="1"/>
  <c r="E10" i="32"/>
  <c r="D10" i="32"/>
  <c r="D23" i="32"/>
  <c r="E23" i="32"/>
  <c r="E27" i="32"/>
  <c r="D27" i="32"/>
  <c r="D12" i="32"/>
  <c r="E12" i="32"/>
  <c r="H27" i="32"/>
  <c r="I27" i="32"/>
  <c r="H14" i="32"/>
  <c r="I14" i="32"/>
  <c r="D25" i="32"/>
  <c r="E25" i="32"/>
  <c r="E8" i="31"/>
  <c r="C13" i="31"/>
  <c r="E13" i="31" s="1"/>
  <c r="E23" i="26" l="1"/>
  <c r="D25" i="26"/>
  <c r="D21" i="26"/>
  <c r="D22" i="26"/>
  <c r="D23" i="26"/>
  <c r="D20" i="26"/>
  <c r="B25" i="26"/>
  <c r="B21" i="26"/>
  <c r="B22" i="26"/>
  <c r="B23" i="26"/>
  <c r="B20" i="26"/>
  <c r="C41" i="28" l="1"/>
  <c r="B41" i="28"/>
  <c r="C37" i="28"/>
  <c r="B37" i="28"/>
  <c r="C28" i="28"/>
  <c r="D28" i="28"/>
  <c r="B28" i="28"/>
  <c r="C25" i="28"/>
  <c r="D25" i="28"/>
  <c r="B25" i="28"/>
  <c r="C23" i="28"/>
  <c r="D23" i="28"/>
  <c r="B23" i="28"/>
  <c r="C35" i="29"/>
  <c r="B35" i="29"/>
  <c r="C24" i="29"/>
  <c r="E41" i="29" s="1"/>
  <c r="D24" i="29"/>
  <c r="F41" i="29" s="1"/>
  <c r="B24" i="29"/>
  <c r="B42" i="29" l="1"/>
  <c r="C42" i="29"/>
  <c r="G42" i="29"/>
  <c r="F42" i="29"/>
  <c r="G41" i="29"/>
  <c r="B41" i="29"/>
  <c r="B43" i="29" s="1"/>
  <c r="C41" i="29"/>
  <c r="D41" i="29"/>
  <c r="H41" i="29"/>
  <c r="I41" i="29"/>
  <c r="I43" i="29" l="1"/>
  <c r="H43" i="29"/>
  <c r="G43" i="29"/>
  <c r="F43" i="29"/>
  <c r="E43" i="29"/>
  <c r="D43" i="29"/>
  <c r="C43" i="29"/>
  <c r="B12" i="29"/>
  <c r="C12" i="29"/>
  <c r="F11" i="23"/>
  <c r="F15" i="23" s="1"/>
  <c r="G5" i="23"/>
  <c r="G6" i="23"/>
  <c r="G7" i="23"/>
  <c r="G8" i="23"/>
  <c r="G9" i="23"/>
  <c r="G10" i="23"/>
  <c r="B25" i="22" s="1"/>
  <c r="G4" i="23"/>
  <c r="C42" i="20"/>
  <c r="C46" i="20" s="1"/>
  <c r="D42" i="20"/>
  <c r="D46" i="20" s="1"/>
  <c r="E42" i="20"/>
  <c r="E46" i="20" s="1"/>
  <c r="F42" i="20"/>
  <c r="F46" i="20" s="1"/>
  <c r="G42" i="20"/>
  <c r="G46" i="20" s="1"/>
  <c r="H36" i="20"/>
  <c r="H37" i="20"/>
  <c r="H38" i="20"/>
  <c r="H39" i="20"/>
  <c r="H40" i="20"/>
  <c r="H41" i="20"/>
  <c r="D11" i="22" s="1"/>
  <c r="H35" i="20"/>
  <c r="F27" i="20"/>
  <c r="F31" i="20" s="1"/>
  <c r="G27" i="20"/>
  <c r="G31" i="20" s="1"/>
  <c r="H26" i="20"/>
  <c r="H25" i="20"/>
  <c r="H24" i="20"/>
  <c r="H23" i="20"/>
  <c r="H22" i="20"/>
  <c r="H21" i="20"/>
  <c r="H20" i="20"/>
  <c r="F12" i="20"/>
  <c r="F16" i="20" s="1"/>
  <c r="G12" i="20"/>
  <c r="G16" i="20" s="1"/>
  <c r="H6" i="20"/>
  <c r="H7" i="20"/>
  <c r="H8" i="20"/>
  <c r="H9" i="20"/>
  <c r="H10" i="20"/>
  <c r="H11" i="20"/>
  <c r="B11" i="22" s="1"/>
  <c r="H5" i="20"/>
  <c r="G17" i="25"/>
  <c r="G18" i="25"/>
  <c r="G19" i="25"/>
  <c r="G16" i="25"/>
  <c r="G6" i="25"/>
  <c r="G7" i="25"/>
  <c r="G8" i="25"/>
  <c r="G5" i="25"/>
  <c r="G28" i="24"/>
  <c r="G29" i="24"/>
  <c r="G30" i="24"/>
  <c r="G27" i="24"/>
  <c r="G17" i="24"/>
  <c r="G18" i="24"/>
  <c r="G19" i="24"/>
  <c r="G16" i="24"/>
  <c r="G6" i="24"/>
  <c r="G7" i="24"/>
  <c r="G8" i="24"/>
  <c r="G5" i="24"/>
  <c r="C11" i="22"/>
  <c r="G10" i="24" l="1"/>
  <c r="G23" i="25"/>
  <c r="F23" i="25"/>
  <c r="F12" i="25"/>
  <c r="E12" i="25"/>
  <c r="E23" i="25"/>
  <c r="G21" i="25"/>
  <c r="G10" i="25"/>
  <c r="F34" i="24"/>
  <c r="F23" i="24"/>
  <c r="F12" i="24"/>
  <c r="C11" i="23"/>
  <c r="C15" i="23" s="1"/>
  <c r="D11" i="23"/>
  <c r="D15" i="23" s="1"/>
  <c r="E11" i="23"/>
  <c r="E15" i="23" s="1"/>
  <c r="B11" i="23"/>
  <c r="B15" i="23" s="1"/>
  <c r="H44" i="20"/>
  <c r="D13" i="22" s="1"/>
  <c r="H42" i="20"/>
  <c r="B42" i="20"/>
  <c r="B46" i="20" s="1"/>
  <c r="H29" i="20"/>
  <c r="C13" i="22" s="1"/>
  <c r="E27" i="20"/>
  <c r="E31" i="20" s="1"/>
  <c r="D27" i="20"/>
  <c r="D31" i="20" s="1"/>
  <c r="C27" i="20"/>
  <c r="C31" i="20" s="1"/>
  <c r="B27" i="20"/>
  <c r="B31" i="20" s="1"/>
  <c r="C12" i="20"/>
  <c r="C16" i="20" s="1"/>
  <c r="D12" i="20"/>
  <c r="D16" i="20" s="1"/>
  <c r="E12" i="20"/>
  <c r="E16" i="20" s="1"/>
  <c r="B12" i="20"/>
  <c r="B16" i="20" s="1"/>
  <c r="H14" i="20"/>
  <c r="B13" i="22" s="1"/>
  <c r="D10" i="22"/>
  <c r="D9" i="22"/>
  <c r="D8" i="22"/>
  <c r="D7" i="22"/>
  <c r="D6" i="22"/>
  <c r="D5" i="22"/>
  <c r="G11" i="23" l="1"/>
  <c r="H46" i="20"/>
  <c r="D15" i="22"/>
  <c r="D23" i="25"/>
  <c r="D12" i="25"/>
  <c r="C51" i="22"/>
  <c r="C49" i="22"/>
  <c r="C48" i="22"/>
  <c r="C46" i="22"/>
  <c r="B51" i="22"/>
  <c r="B49" i="22"/>
  <c r="B47" i="22"/>
  <c r="B46" i="22"/>
  <c r="G32" i="24"/>
  <c r="D39" i="22" s="1"/>
  <c r="G21" i="24"/>
  <c r="B39" i="22"/>
  <c r="E34" i="24"/>
  <c r="D34" i="24"/>
  <c r="E23" i="24"/>
  <c r="D23" i="24"/>
  <c r="D36" i="22"/>
  <c r="D35" i="22"/>
  <c r="D34" i="22"/>
  <c r="C36" i="22"/>
  <c r="C35" i="22"/>
  <c r="B37" i="22"/>
  <c r="B36" i="22"/>
  <c r="B35" i="22"/>
  <c r="E12" i="24"/>
  <c r="D12" i="24"/>
  <c r="G13" i="23"/>
  <c r="B24" i="22"/>
  <c r="B23" i="22"/>
  <c r="B21" i="22"/>
  <c r="B20" i="22"/>
  <c r="B19" i="22"/>
  <c r="C10" i="22"/>
  <c r="C9" i="22"/>
  <c r="C8" i="22"/>
  <c r="C7" i="22"/>
  <c r="C6" i="22"/>
  <c r="B10" i="22"/>
  <c r="B9" i="22"/>
  <c r="B8" i="22"/>
  <c r="B7" i="22"/>
  <c r="B6" i="22"/>
  <c r="C23" i="25"/>
  <c r="B23" i="25"/>
  <c r="C12" i="25"/>
  <c r="B12" i="25"/>
  <c r="C34" i="24"/>
  <c r="B34" i="24"/>
  <c r="C23" i="24"/>
  <c r="B23" i="24"/>
  <c r="C12" i="24"/>
  <c r="B12" i="24"/>
  <c r="C23" i="26" l="1"/>
  <c r="H8" i="26"/>
  <c r="F8" i="26"/>
  <c r="G8" i="26"/>
  <c r="I8" i="26"/>
  <c r="I12" i="26"/>
  <c r="H12" i="26"/>
  <c r="G12" i="26"/>
  <c r="F12" i="26"/>
  <c r="F7" i="26"/>
  <c r="H7" i="26"/>
  <c r="G7" i="26"/>
  <c r="I7" i="26"/>
  <c r="G9" i="26"/>
  <c r="I9" i="26"/>
  <c r="F9" i="26"/>
  <c r="H9" i="26"/>
  <c r="E20" i="26"/>
  <c r="E8" i="26"/>
  <c r="D8" i="26"/>
  <c r="C8" i="26"/>
  <c r="B8" i="26"/>
  <c r="C20" i="26"/>
  <c r="C9" i="26"/>
  <c r="B9" i="26"/>
  <c r="E9" i="26"/>
  <c r="D9" i="26"/>
  <c r="E22" i="26"/>
  <c r="C21" i="26"/>
  <c r="C25" i="26"/>
  <c r="E25" i="26"/>
  <c r="B27" i="22"/>
  <c r="G15" i="23"/>
  <c r="C5" i="22"/>
  <c r="H27" i="20"/>
  <c r="H31" i="20" s="1"/>
  <c r="H12" i="20"/>
  <c r="H16" i="20" s="1"/>
  <c r="E13" i="22"/>
  <c r="B5" i="22"/>
  <c r="G12" i="25"/>
  <c r="E8" i="22"/>
  <c r="E6" i="22"/>
  <c r="E9" i="22"/>
  <c r="E7" i="22"/>
  <c r="E10" i="22"/>
  <c r="C37" i="22"/>
  <c r="G12" i="24"/>
  <c r="B22" i="22"/>
  <c r="C39" i="22"/>
  <c r="D37" i="22"/>
  <c r="B48" i="22"/>
  <c r="C47" i="22"/>
  <c r="B34" i="22"/>
  <c r="B41" i="22" s="1"/>
  <c r="C34" i="22"/>
  <c r="G34" i="24"/>
  <c r="G23" i="24"/>
  <c r="G36" i="21"/>
  <c r="F36" i="21"/>
  <c r="G32" i="21"/>
  <c r="F32" i="21"/>
  <c r="G26" i="21"/>
  <c r="F26" i="21"/>
  <c r="G13" i="21"/>
  <c r="G19" i="21" s="1"/>
  <c r="F13" i="21"/>
  <c r="F19" i="21" s="1"/>
  <c r="D41" i="22" l="1"/>
  <c r="G10" i="26"/>
  <c r="I10" i="26"/>
  <c r="H10" i="26"/>
  <c r="F10" i="26"/>
  <c r="E12" i="26"/>
  <c r="B12" i="26"/>
  <c r="C12" i="26"/>
  <c r="D12" i="26"/>
  <c r="D7" i="26"/>
  <c r="E7" i="26"/>
  <c r="C7" i="26"/>
  <c r="I14" i="26"/>
  <c r="B10" i="26"/>
  <c r="E10" i="26"/>
  <c r="D10" i="26"/>
  <c r="C10" i="26"/>
  <c r="C53" i="22"/>
  <c r="E21" i="26"/>
  <c r="B53" i="22"/>
  <c r="C22" i="26"/>
  <c r="C41" i="22"/>
  <c r="E5" i="22"/>
  <c r="E11" i="22"/>
  <c r="F38" i="21"/>
  <c r="G38" i="21"/>
  <c r="E36" i="21"/>
  <c r="D36" i="21"/>
  <c r="C36" i="21"/>
  <c r="E32" i="21"/>
  <c r="D32" i="21"/>
  <c r="C32" i="21"/>
  <c r="E26" i="21"/>
  <c r="D26" i="21"/>
  <c r="C26" i="21"/>
  <c r="E13" i="21"/>
  <c r="E19" i="21" s="1"/>
  <c r="D13" i="21"/>
  <c r="D19" i="21" s="1"/>
  <c r="C13" i="21"/>
  <c r="C19" i="21" s="1"/>
  <c r="B15" i="22"/>
  <c r="C15" i="22"/>
  <c r="B29" i="22"/>
  <c r="D38" i="21" l="1"/>
  <c r="C38" i="21"/>
  <c r="E38" i="21"/>
  <c r="E15" i="22"/>
  <c r="H14" i="16" l="1"/>
  <c r="H28" i="16" s="1"/>
  <c r="H13" i="16"/>
  <c r="H27" i="16" s="1"/>
  <c r="H12" i="16"/>
  <c r="H26" i="16" s="1"/>
  <c r="H11" i="16"/>
  <c r="H25" i="16" s="1"/>
  <c r="H7" i="16"/>
  <c r="H21" i="16" s="1"/>
  <c r="H6" i="16"/>
  <c r="H20" i="16" s="1"/>
  <c r="H5" i="16"/>
  <c r="H19" i="16" s="1"/>
  <c r="H4" i="16"/>
  <c r="H18" i="16" s="1"/>
  <c r="F14" i="16"/>
  <c r="E28" i="16" s="1"/>
  <c r="F13" i="16"/>
  <c r="E27" i="16" s="1"/>
  <c r="F12" i="16"/>
  <c r="E26" i="16" s="1"/>
  <c r="F11" i="16"/>
  <c r="E25" i="16" s="1"/>
  <c r="F7" i="16"/>
  <c r="E21" i="16" s="1"/>
  <c r="F6" i="16"/>
  <c r="E20" i="16" s="1"/>
  <c r="F5" i="16"/>
  <c r="E19" i="16" s="1"/>
  <c r="F4" i="16"/>
  <c r="E18" i="16" s="1"/>
  <c r="D14" i="16"/>
  <c r="B28" i="16" s="1"/>
  <c r="D13" i="16"/>
  <c r="B27" i="16" s="1"/>
  <c r="D12" i="16"/>
  <c r="B26" i="16" s="1"/>
  <c r="D11" i="16"/>
  <c r="B25" i="16" s="1"/>
  <c r="D7" i="16"/>
  <c r="B21" i="16" s="1"/>
  <c r="D6" i="16"/>
  <c r="B20" i="16" s="1"/>
  <c r="D5" i="16"/>
  <c r="B19" i="16" s="1"/>
  <c r="D4" i="16"/>
  <c r="B18" i="16" s="1"/>
  <c r="C44" i="28" l="1"/>
  <c r="B44" i="28"/>
  <c r="C42" i="28"/>
  <c r="B42" i="28"/>
  <c r="C40" i="28"/>
  <c r="B40" i="28"/>
  <c r="C39" i="28"/>
  <c r="B39" i="28"/>
  <c r="C38" i="28"/>
  <c r="C46" i="28" s="1"/>
  <c r="B38" i="28"/>
  <c r="B46" i="28" s="1"/>
  <c r="D30" i="28"/>
  <c r="C30" i="28"/>
  <c r="B30" i="28"/>
  <c r="D27" i="28"/>
  <c r="C27" i="28"/>
  <c r="B27" i="28"/>
  <c r="D26" i="28"/>
  <c r="C26" i="28"/>
  <c r="B26" i="28"/>
  <c r="D24" i="28"/>
  <c r="C24" i="28"/>
  <c r="B24" i="28"/>
  <c r="D22" i="28"/>
  <c r="D32" i="28" s="1"/>
  <c r="C22" i="28"/>
  <c r="B22" i="28"/>
  <c r="D13" i="28"/>
  <c r="C13" i="28"/>
  <c r="B13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B5" i="28"/>
  <c r="C32" i="28" l="1"/>
  <c r="B32" i="28"/>
  <c r="D15" i="28"/>
  <c r="B15" i="28"/>
  <c r="C15" i="28"/>
  <c r="D14" i="26" l="1"/>
  <c r="D59" i="22" s="1"/>
  <c r="D61" i="22" s="1"/>
  <c r="E27" i="26"/>
  <c r="G60" i="22" s="1"/>
  <c r="B14" i="26"/>
  <c r="B59" i="22" s="1"/>
  <c r="C27" i="26"/>
  <c r="C60" i="22" s="1"/>
  <c r="G14" i="26"/>
  <c r="G59" i="22" s="1"/>
  <c r="B27" i="26"/>
  <c r="B60" i="22" s="1"/>
  <c r="H14" i="26"/>
  <c r="H59" i="22" s="1"/>
  <c r="H61" i="22" s="1"/>
  <c r="D27" i="26"/>
  <c r="F60" i="22" s="1"/>
  <c r="E14" i="26"/>
  <c r="E59" i="22" s="1"/>
  <c r="E61" i="22" s="1"/>
  <c r="I59" i="22"/>
  <c r="I61" i="22" s="1"/>
  <c r="C14" i="26"/>
  <c r="C59" i="22" s="1"/>
  <c r="F14" i="26"/>
  <c r="F59" i="22" s="1"/>
  <c r="G61" i="22" l="1"/>
  <c r="C61" i="22"/>
  <c r="F61" i="22"/>
  <c r="B61" i="22"/>
  <c r="G53" i="28" l="1"/>
  <c r="F53" i="28"/>
  <c r="C53" i="28"/>
  <c r="B53" i="28"/>
  <c r="I52" i="28"/>
  <c r="I54" i="28" s="1"/>
  <c r="H52" i="28"/>
  <c r="H54" i="28" s="1"/>
  <c r="G52" i="28"/>
  <c r="F52" i="28"/>
  <c r="E52" i="28"/>
  <c r="E54" i="28" s="1"/>
  <c r="B52" i="28"/>
  <c r="C52" i="28"/>
  <c r="D52" i="28"/>
  <c r="D54" i="28" s="1"/>
  <c r="G54" i="28" l="1"/>
  <c r="F54" i="28"/>
  <c r="C54" i="28"/>
  <c r="B54" i="28"/>
</calcChain>
</file>

<file path=xl/sharedStrings.xml><?xml version="1.0" encoding="utf-8"?>
<sst xmlns="http://schemas.openxmlformats.org/spreadsheetml/2006/main" count="615" uniqueCount="184">
  <si>
    <t>Savings Goals PY2</t>
  </si>
  <si>
    <t>Retail Sales (MWH)</t>
  </si>
  <si>
    <t>PY2 Statewide Goal %</t>
  </si>
  <si>
    <t>Statewide Goal (MWh)</t>
  </si>
  <si>
    <t>Utility Program Goal %</t>
  </si>
  <si>
    <t>Utility Goal MWh</t>
  </si>
  <si>
    <t>BPU Run Program Goal %</t>
  </si>
  <si>
    <t>BPU Program Goal MWh</t>
  </si>
  <si>
    <t>Electric</t>
  </si>
  <si>
    <t>PSE&amp;G</t>
  </si>
  <si>
    <t>JCP&amp;L</t>
  </si>
  <si>
    <t>ACE</t>
  </si>
  <si>
    <t>RECo</t>
  </si>
  <si>
    <t>Retail Sales (therms)</t>
  </si>
  <si>
    <t>Statewide Goal (therms)</t>
  </si>
  <si>
    <t>Utility Goal Therms</t>
  </si>
  <si>
    <t>BPU Program Goal Therms</t>
  </si>
  <si>
    <t>Natural Gas</t>
  </si>
  <si>
    <t>NJNG</t>
  </si>
  <si>
    <t>SJG</t>
  </si>
  <si>
    <t>ETG</t>
  </si>
  <si>
    <t>Performance vs Goal</t>
  </si>
  <si>
    <t>Total Goal</t>
  </si>
  <si>
    <t>Total Savings</t>
  </si>
  <si>
    <t>Savings as % of Goal</t>
  </si>
  <si>
    <t>Utility Program Goal</t>
  </si>
  <si>
    <t>Utility Program Savings</t>
  </si>
  <si>
    <t>Utility Savigs as % of Goal</t>
  </si>
  <si>
    <t>BPU Program Goal</t>
  </si>
  <si>
    <t>BPU Program Savings</t>
  </si>
  <si>
    <t>BPU Savings as % of Goal</t>
  </si>
  <si>
    <t>STATEWIDE TOTALS - CURRENT YEAR PROGRAMS AND LEGACY PROGRAMS</t>
  </si>
  <si>
    <t>Reporting Period: 07/01/2022 to 06/30/2023</t>
  </si>
  <si>
    <t>EXPENSES</t>
  </si>
  <si>
    <t>Total Budget   ($000)</t>
  </si>
  <si>
    <t>Total Expenses    ($000)</t>
  </si>
  <si>
    <r>
      <t xml:space="preserve">Incentives                         </t>
    </r>
    <r>
      <rPr>
        <i/>
        <sz val="11"/>
        <color rgb="FF000000"/>
        <rFont val="Calibri"/>
        <family val="2"/>
      </rPr>
      <t>(Current Year Only)</t>
    </r>
  </si>
  <si>
    <t>Atlantic City Electric (ACE)</t>
  </si>
  <si>
    <t>Elizabethtown Gas (ETG)</t>
  </si>
  <si>
    <t>Jersey Central Power &amp; Light (JCP&amp;L)</t>
  </si>
  <si>
    <t>New Jersey Natural Gas (NJNG)</t>
  </si>
  <si>
    <t>Public Service Electric &amp; Gas Company (PSE&amp;G)</t>
  </si>
  <si>
    <t>Rockland Electric (RECO)</t>
  </si>
  <si>
    <t>South Jersey Gas (SJG)</t>
  </si>
  <si>
    <r>
      <t xml:space="preserve">NJCEP </t>
    </r>
    <r>
      <rPr>
        <sz val="11"/>
        <rFont val="Calibri"/>
        <family val="2"/>
      </rPr>
      <t>(Current Year Only)</t>
    </r>
    <r>
      <rPr>
        <vertAlign val="superscript"/>
        <sz val="11"/>
        <color rgb="FF000000"/>
        <rFont val="Calibri"/>
        <family val="2"/>
      </rPr>
      <t>1</t>
    </r>
  </si>
  <si>
    <t>TOTAL</t>
  </si>
  <si>
    <t xml:space="preserve">                                                                                                                                                                 </t>
  </si>
  <si>
    <t>Demand Savings</t>
  </si>
  <si>
    <t>Annual Savings</t>
  </si>
  <si>
    <t>Lifetime Savings</t>
  </si>
  <si>
    <t>ELECTRIC SAVINGS</t>
  </si>
  <si>
    <t>Installed</t>
  </si>
  <si>
    <t>kW</t>
  </si>
  <si>
    <t>MWh</t>
  </si>
  <si>
    <t>RECO</t>
  </si>
  <si>
    <t>GAS &amp; OTHER FUEL SAVINGS</t>
  </si>
  <si>
    <t>MMBtu</t>
  </si>
  <si>
    <t>Annual Emissions Reductions</t>
  </si>
  <si>
    <t>Lifetime Emissions Reductions</t>
  </si>
  <si>
    <t>TOTAL EMISSIONS REDUCTIONS                                      (ELECTRIC &amp; GAS)</t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</si>
  <si>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</si>
  <si>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
(metric tons)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</si>
  <si>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</si>
  <si>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t>Hg
(grams)</t>
  </si>
  <si>
    <t>Electric Programs</t>
  </si>
  <si>
    <t>Gas Programs</t>
  </si>
  <si>
    <t>Total - Electric &amp; Gas</t>
  </si>
  <si>
    <r>
      <rPr>
        <i/>
        <vertAlign val="superscript"/>
        <sz val="11"/>
        <color rgb="FF000000"/>
        <rFont val="Calibri"/>
        <family val="2"/>
      </rPr>
      <t>1</t>
    </r>
    <r>
      <rPr>
        <i/>
        <sz val="11"/>
        <color rgb="FF000000"/>
        <rFont val="Calibri"/>
        <family val="2"/>
      </rPr>
      <t>Excluding Comfort Partners - which is included in the Utilities totals.</t>
    </r>
  </si>
  <si>
    <t>STATEWIDE TOTALS - CURRENT YEAR PROGRAMS</t>
  </si>
  <si>
    <t>Total Budget           ($000)</t>
  </si>
  <si>
    <t>Total Expenses             ($000)</t>
  </si>
  <si>
    <t>Incentives              ($000)</t>
  </si>
  <si>
    <t>Expenses as % of Budget</t>
  </si>
  <si>
    <t>NJCEP</t>
  </si>
  <si>
    <t>NUMBER OF PARTICIPANTS</t>
  </si>
  <si>
    <t>Total # Participants</t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</si>
  <si>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</si>
  <si>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
(metric tons)</t>
    </r>
  </si>
  <si>
    <r>
      <t>SO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</si>
  <si>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STATEWIDE TOTALS - LEGACY PROGRAMS</t>
  </si>
  <si>
    <t>Total Budget    ($000)</t>
  </si>
  <si>
    <t>Total Expenses  ($000)</t>
  </si>
  <si>
    <t>Budgets, Expenses &amp; Incentives</t>
  </si>
  <si>
    <t>Budget ($000)</t>
  </si>
  <si>
    <t>Residential</t>
  </si>
  <si>
    <t>Commercial</t>
  </si>
  <si>
    <t>Multi-family</t>
  </si>
  <si>
    <t xml:space="preserve">Pilot Program </t>
  </si>
  <si>
    <t>Supportive Costs Outside Portfolio</t>
  </si>
  <si>
    <t>Comfort Partners</t>
  </si>
  <si>
    <t>Total</t>
  </si>
  <si>
    <t>Utilities Total</t>
  </si>
  <si>
    <t>NJCEP (incl. EE, DER)</t>
  </si>
  <si>
    <t>Expenses ($000)</t>
  </si>
  <si>
    <t>Incentives ($000)</t>
  </si>
  <si>
    <t>Number of Participants</t>
  </si>
  <si>
    <t>PSEG</t>
  </si>
  <si>
    <t>Electric Savings</t>
  </si>
  <si>
    <t>Peak Demand Installed Savings (kW)</t>
  </si>
  <si>
    <t>NJCEP (excl. CP)</t>
  </si>
  <si>
    <t>Annual Electric Installed Savings (MWh)</t>
  </si>
  <si>
    <t>Lifetime Electric Installed Savings (MWh)</t>
  </si>
  <si>
    <t>Gas &amp; Other Fuel Savings</t>
  </si>
  <si>
    <t>Annual Installed Savings (MMBtu)</t>
  </si>
  <si>
    <t>Lifetime Installed Savings (MMBtu)</t>
  </si>
  <si>
    <t>Emissions Reductions</t>
  </si>
  <si>
    <t>ELECTRIC</t>
  </si>
  <si>
    <t>TOTAL - Electric</t>
  </si>
  <si>
    <t>GAS</t>
  </si>
  <si>
    <t>TOTAL - Gas</t>
  </si>
  <si>
    <t>New Jersey's Clean Energy Program</t>
  </si>
  <si>
    <t>Energy Savings vs. Annual Goals</t>
  </si>
  <si>
    <t>Electric Savings Goals</t>
  </si>
  <si>
    <t>Average Retail Sales</t>
  </si>
  <si>
    <t>Statewide Goal</t>
  </si>
  <si>
    <t>BPU Run Program Goal</t>
  </si>
  <si>
    <t>Electric Utility</t>
  </si>
  <si>
    <t>%</t>
  </si>
  <si>
    <t>B</t>
  </si>
  <si>
    <t>BL</t>
  </si>
  <si>
    <t>TL</t>
  </si>
  <si>
    <t>Gas Savings Goals</t>
  </si>
  <si>
    <t>Natural Gas Utility</t>
  </si>
  <si>
    <t>Energy Savings as % of Retail Sales</t>
  </si>
  <si>
    <t>Annual Electric Savings &amp; Generation as % of Retail Sales</t>
  </si>
  <si>
    <t>Statewide</t>
  </si>
  <si>
    <t>Utility Programs</t>
  </si>
  <si>
    <t>BPU Programs in each Utility Service Territory</t>
  </si>
  <si>
    <t>Utility</t>
  </si>
  <si>
    <t>Retail Sales</t>
  </si>
  <si>
    <t>Ex Ante Energy Savings</t>
  </si>
  <si>
    <t>Target</t>
  </si>
  <si>
    <t>Actual</t>
  </si>
  <si>
    <t>Annual Natural Gas Savings as % of Retail Sales</t>
  </si>
  <si>
    <t>New Jersey Statewide EE Savings vs Goals</t>
  </si>
  <si>
    <t>Annual Electric Savings &amp; Generation</t>
  </si>
  <si>
    <t>Goal</t>
  </si>
  <si>
    <t>Ex Ante Energy Savings                 as % of Goal</t>
  </si>
  <si>
    <t>Annual Natural Gas Savings</t>
  </si>
  <si>
    <t>Energy Efficiency and PDR Savings Summary</t>
  </si>
  <si>
    <t>Utility Name:</t>
  </si>
  <si>
    <t>Reporting Period:</t>
  </si>
  <si>
    <t>PY22 Q1</t>
  </si>
  <si>
    <t>Participation</t>
  </si>
  <si>
    <t>Actual Expenditures</t>
  </si>
  <si>
    <t>Reported Participation Number YTD</t>
  </si>
  <si>
    <t>Reported Program Costs YTD ($000)</t>
  </si>
  <si>
    <t>Reported Retail Energy Savings YTD (MWh)</t>
  </si>
  <si>
    <t>Peak Demand Savings YTD (MW)</t>
  </si>
  <si>
    <t>Lifetime Retail Savings (MWh)</t>
  </si>
  <si>
    <t>Residential Programs</t>
  </si>
  <si>
    <r>
      <t>Sub Program or Category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</si>
  <si>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Efficient Products*</t>
  </si>
  <si>
    <t>HVAC</t>
  </si>
  <si>
    <t>Food Banks</t>
  </si>
  <si>
    <t>Others</t>
  </si>
  <si>
    <t>Subtotal Efficient Products</t>
  </si>
  <si>
    <t>Existing Homes</t>
  </si>
  <si>
    <t>Home Performance with Energy Star*</t>
  </si>
  <si>
    <t>Quick Home Energy Check-Up</t>
  </si>
  <si>
    <t>Moderate Income Weatherization</t>
  </si>
  <si>
    <t>Home Energy Education &amp; Management</t>
  </si>
  <si>
    <t>Behavioral</t>
  </si>
  <si>
    <t>Total Residential</t>
  </si>
  <si>
    <t>Business Programs</t>
  </si>
  <si>
    <t>Sub-Program</t>
  </si>
  <si>
    <t>C&amp;I Direct Install</t>
  </si>
  <si>
    <t>Direct Install*</t>
  </si>
  <si>
    <t>Energy Solutions for Business</t>
  </si>
  <si>
    <t>Prescriptive/Custom*</t>
  </si>
  <si>
    <t>Energy Management</t>
  </si>
  <si>
    <t>Engineered Solutions</t>
  </si>
  <si>
    <t>Total Business</t>
  </si>
  <si>
    <t>Multi-Family*</t>
  </si>
  <si>
    <t>HPwES</t>
  </si>
  <si>
    <t>Direct Install</t>
  </si>
  <si>
    <t>Total Multi Family</t>
  </si>
  <si>
    <t>Other Programs</t>
  </si>
  <si>
    <t>Home Optimization &amp; Peak Demand Reduction</t>
  </si>
  <si>
    <t>Total Other</t>
  </si>
  <si>
    <t>PORTFOLIO TOTAL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</si>
  <si>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Subprograms provide relevant forecasts as included in the Company's approved EE/PDR Plans.  Program delivery elements are generally listed as categories for informational purposes only.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</si>
  <si>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Annual Forecasted Program Costs reflect values anticipated in Board-approved Utility EE/PDR proposals and may incorporate budget adjustments as provided for in the June 10, 2020 Board Order.</t>
    </r>
  </si>
  <si>
    <t>* Denotes a core EE program. Home Performance with Energy Star only includes non-LMI; the comparable program for LMI participants is Comfort Partners, which is jointly administered by the State and Utilities.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</si>
</sst>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&quot;$&quot;#,##0.00"/>
    <numFmt numFmtId="168" formatCode="#,##0.000"/>
    <numFmt numFmtId="169" formatCode="0.000"/>
    <numFmt numFmtId="170" formatCode="&quot;$&quot;#,##0"/>
    <numFmt numFmtId="171" formatCode="\$#,##0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i/>
      <sz val="14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vertAlign val="subscript"/>
      <sz val="11"/>
      <name val="Calibri"/>
      <family val="2"/>
    </font>
    <font>
      <b/>
      <sz val="11"/>
      <color rgb="FFFF0000"/>
      <name val="Calibri"/>
      <family val="2"/>
    </font>
    <font>
      <i/>
      <vertAlign val="superscript"/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</font>
    <font>
      <b/>
      <sz val="12"/>
      <name val="Calibri"/>
      <family val="2"/>
    </font>
    <font>
      <b/>
      <i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fgColor theme="1" tint="0.2499465926084170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mediumGray">
        <fgColor rgb="FF404040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3A3838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>
      <alignment vertical="top"/>
    </xf>
    <xf numFmtId="0" fontId="10" fillId="0" borderId="0"/>
    <xf numFmtId="0" fontId="21" fillId="0" borderId="0" applyNumberFormat="0" applyFill="0" applyBorder="0" applyAlignment="0" applyProtection="0"/>
  </cellStyleXfs>
  <cellXfs count="309">
    <xf numFmtId="0" fontId="0" fillId="0" borderId="0" xfId="0"/>
    <xf numFmtId="3" fontId="0" fillId="0" borderId="0" xfId="0" applyNumberFormat="1"/>
    <xf numFmtId="10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2" applyNumberFormat="1" applyFont="1"/>
    <xf numFmtId="43" fontId="0" fillId="0" borderId="0" xfId="2" applyFont="1"/>
    <xf numFmtId="0" fontId="3" fillId="0" borderId="0" xfId="0" applyFont="1"/>
    <xf numFmtId="164" fontId="4" fillId="0" borderId="0" xfId="2" applyNumberFormat="1" applyFont="1" applyFill="1" applyBorder="1" applyAlignment="1"/>
    <xf numFmtId="164" fontId="0" fillId="0" borderId="0" xfId="2" applyNumberFormat="1" applyFont="1" applyFill="1" applyBorder="1"/>
    <xf numFmtId="165" fontId="0" fillId="0" borderId="0" xfId="3" applyNumberFormat="1" applyFont="1" applyFill="1" applyBorder="1"/>
    <xf numFmtId="9" fontId="0" fillId="0" borderId="0" xfId="1" applyFont="1" applyFill="1" applyBorder="1"/>
    <xf numFmtId="0" fontId="2" fillId="0" borderId="0" xfId="4"/>
    <xf numFmtId="0" fontId="6" fillId="0" borderId="0" xfId="5" applyFont="1"/>
    <xf numFmtId="3" fontId="11" fillId="4" borderId="3" xfId="5" applyNumberFormat="1" applyFont="1" applyFill="1" applyBorder="1"/>
    <xf numFmtId="3" fontId="12" fillId="0" borderId="9" xfId="5" applyNumberFormat="1" applyFont="1" applyBorder="1"/>
    <xf numFmtId="3" fontId="12" fillId="0" borderId="6" xfId="5" applyNumberFormat="1" applyFont="1" applyBorder="1"/>
    <xf numFmtId="0" fontId="2" fillId="0" borderId="10" xfId="4" applyBorder="1"/>
    <xf numFmtId="0" fontId="2" fillId="0" borderId="6" xfId="4" applyBorder="1"/>
    <xf numFmtId="0" fontId="2" fillId="0" borderId="5" xfId="4" applyBorder="1"/>
    <xf numFmtId="0" fontId="11" fillId="0" borderId="0" xfId="5" applyFont="1" applyAlignment="1">
      <alignment wrapText="1"/>
    </xf>
    <xf numFmtId="0" fontId="14" fillId="0" borderId="0" xfId="5" applyFont="1" applyAlignment="1">
      <alignment wrapText="1"/>
    </xf>
    <xf numFmtId="0" fontId="2" fillId="0" borderId="8" xfId="4" applyBorder="1"/>
    <xf numFmtId="166" fontId="8" fillId="0" borderId="0" xfId="5" applyNumberFormat="1" applyFont="1"/>
    <xf numFmtId="3" fontId="8" fillId="0" borderId="0" xfId="5" applyNumberFormat="1" applyFont="1"/>
    <xf numFmtId="0" fontId="8" fillId="0" borderId="0" xfId="6" applyFont="1">
      <alignment vertical="top"/>
    </xf>
    <xf numFmtId="3" fontId="8" fillId="4" borderId="10" xfId="5" applyNumberFormat="1" applyFont="1" applyFill="1" applyBorder="1"/>
    <xf numFmtId="3" fontId="8" fillId="4" borderId="3" xfId="5" applyNumberFormat="1" applyFont="1" applyFill="1" applyBorder="1"/>
    <xf numFmtId="0" fontId="8" fillId="4" borderId="1" xfId="6" applyFont="1" applyFill="1" applyBorder="1">
      <alignment vertical="top"/>
    </xf>
    <xf numFmtId="3" fontId="0" fillId="5" borderId="10" xfId="0" applyNumberFormat="1" applyFill="1" applyBorder="1"/>
    <xf numFmtId="3" fontId="6" fillId="0" borderId="6" xfId="5" applyNumberFormat="1" applyFont="1" applyBorder="1"/>
    <xf numFmtId="3" fontId="6" fillId="0" borderId="7" xfId="5" applyNumberFormat="1" applyFont="1" applyBorder="1"/>
    <xf numFmtId="0" fontId="6" fillId="0" borderId="10" xfId="7" applyFont="1" applyBorder="1"/>
    <xf numFmtId="3" fontId="6" fillId="0" borderId="4" xfId="5" applyNumberFormat="1" applyFont="1" applyBorder="1"/>
    <xf numFmtId="0" fontId="6" fillId="0" borderId="9" xfId="7" applyFont="1" applyBorder="1"/>
    <xf numFmtId="167" fontId="2" fillId="0" borderId="0" xfId="4" applyNumberFormat="1"/>
    <xf numFmtId="0" fontId="4" fillId="0" borderId="0" xfId="4" applyFont="1"/>
    <xf numFmtId="0" fontId="2" fillId="0" borderId="4" xfId="4" applyBorder="1"/>
    <xf numFmtId="167" fontId="4" fillId="0" borderId="0" xfId="4" applyNumberFormat="1" applyFont="1"/>
    <xf numFmtId="3" fontId="2" fillId="0" borderId="0" xfId="4" applyNumberFormat="1" applyAlignment="1">
      <alignment horizontal="center"/>
    </xf>
    <xf numFmtId="3" fontId="0" fillId="0" borderId="0" xfId="0" applyNumberFormat="1" applyAlignment="1">
      <alignment horizontal="center"/>
    </xf>
    <xf numFmtId="0" fontId="15" fillId="0" borderId="0" xfId="4" applyFont="1"/>
    <xf numFmtId="0" fontId="4" fillId="0" borderId="7" xfId="0" applyFont="1" applyBorder="1" applyAlignment="1">
      <alignment vertical="center" wrapText="1"/>
    </xf>
    <xf numFmtId="0" fontId="2" fillId="0" borderId="2" xfId="4" applyBorder="1"/>
    <xf numFmtId="3" fontId="2" fillId="0" borderId="2" xfId="4" applyNumberFormat="1" applyBorder="1" applyAlignment="1">
      <alignment horizontal="center"/>
    </xf>
    <xf numFmtId="0" fontId="6" fillId="0" borderId="0" xfId="6" applyFont="1" applyAlignment="1">
      <alignment horizontal="center"/>
    </xf>
    <xf numFmtId="0" fontId="8" fillId="0" borderId="0" xfId="5" applyFont="1" applyAlignment="1">
      <alignment horizontal="center"/>
    </xf>
    <xf numFmtId="0" fontId="6" fillId="0" borderId="0" xfId="0" applyFont="1"/>
    <xf numFmtId="165" fontId="3" fillId="0" borderId="0" xfId="3" applyNumberFormat="1" applyFont="1" applyFill="1"/>
    <xf numFmtId="164" fontId="3" fillId="0" borderId="0" xfId="2" applyNumberFormat="1" applyFont="1" applyFill="1"/>
    <xf numFmtId="164" fontId="0" fillId="0" borderId="0" xfId="2" applyNumberFormat="1" applyFont="1" applyFill="1"/>
    <xf numFmtId="43" fontId="0" fillId="0" borderId="0" xfId="2" applyFont="1" applyFill="1"/>
    <xf numFmtId="165" fontId="0" fillId="0" borderId="0" xfId="3" applyNumberFormat="1" applyFont="1" applyFill="1"/>
    <xf numFmtId="164" fontId="0" fillId="0" borderId="0" xfId="2" applyNumberFormat="1" applyFont="1" applyBorder="1"/>
    <xf numFmtId="43" fontId="0" fillId="0" borderId="0" xfId="2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0" fillId="7" borderId="11" xfId="0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18" fillId="0" borderId="0" xfId="0" applyFont="1"/>
    <xf numFmtId="167" fontId="18" fillId="0" borderId="0" xfId="4" applyNumberFormat="1" applyFont="1"/>
    <xf numFmtId="0" fontId="18" fillId="0" borderId="0" xfId="4" applyFont="1"/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6" borderId="10" xfId="4" applyFont="1" applyFill="1" applyBorder="1" applyAlignment="1">
      <alignment horizontal="center" vertical="center"/>
    </xf>
    <xf numFmtId="4" fontId="2" fillId="0" borderId="0" xfId="4" applyNumberFormat="1" applyAlignment="1">
      <alignment horizontal="right"/>
    </xf>
    <xf numFmtId="4" fontId="4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4" fillId="0" borderId="0" xfId="4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0" fillId="2" borderId="0" xfId="0" applyFill="1"/>
    <xf numFmtId="0" fontId="4" fillId="2" borderId="0" xfId="0" applyFont="1" applyFill="1"/>
    <xf numFmtId="3" fontId="2" fillId="0" borderId="0" xfId="4" applyNumberFormat="1"/>
    <xf numFmtId="168" fontId="8" fillId="4" borderId="10" xfId="5" applyNumberFormat="1" applyFont="1" applyFill="1" applyBorder="1"/>
    <xf numFmtId="169" fontId="11" fillId="4" borderId="3" xfId="5" applyNumberFormat="1" applyFont="1" applyFill="1" applyBorder="1"/>
    <xf numFmtId="168" fontId="11" fillId="4" borderId="3" xfId="5" applyNumberFormat="1" applyFont="1" applyFill="1" applyBorder="1"/>
    <xf numFmtId="0" fontId="8" fillId="0" borderId="0" xfId="6" applyFont="1" applyAlignment="1">
      <alignment horizontal="right" vertical="top"/>
    </xf>
    <xf numFmtId="3" fontId="4" fillId="0" borderId="0" xfId="0" applyNumberFormat="1" applyFont="1"/>
    <xf numFmtId="3" fontId="2" fillId="0" borderId="9" xfId="4" applyNumberFormat="1" applyBorder="1" applyAlignment="1">
      <alignment horizontal="center"/>
    </xf>
    <xf numFmtId="3" fontId="22" fillId="0" borderId="0" xfId="0" applyNumberFormat="1" applyFont="1"/>
    <xf numFmtId="0" fontId="26" fillId="0" borderId="0" xfId="4" applyFont="1"/>
    <xf numFmtId="0" fontId="23" fillId="0" borderId="0" xfId="4" applyFont="1"/>
    <xf numFmtId="0" fontId="27" fillId="0" borderId="0" xfId="4" applyFont="1"/>
    <xf numFmtId="0" fontId="25" fillId="0" borderId="0" xfId="4" applyFont="1"/>
    <xf numFmtId="0" fontId="28" fillId="0" borderId="0" xfId="4" applyFont="1"/>
    <xf numFmtId="0" fontId="28" fillId="0" borderId="0" xfId="0" applyFont="1" applyAlignment="1">
      <alignment horizontal="left" vertical="center" wrapText="1"/>
    </xf>
    <xf numFmtId="0" fontId="23" fillId="0" borderId="4" xfId="4" applyFont="1" applyBorder="1"/>
    <xf numFmtId="167" fontId="23" fillId="0" borderId="0" xfId="4" applyNumberFormat="1" applyFont="1"/>
    <xf numFmtId="167" fontId="28" fillId="0" borderId="0" xfId="4" applyNumberFormat="1" applyFont="1"/>
    <xf numFmtId="0" fontId="28" fillId="0" borderId="7" xfId="0" applyFont="1" applyBorder="1" applyAlignment="1">
      <alignment vertical="center" wrapText="1"/>
    </xf>
    <xf numFmtId="0" fontId="30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3" fontId="23" fillId="0" borderId="0" xfId="4" applyNumberFormat="1" applyFont="1" applyAlignment="1">
      <alignment horizontal="center"/>
    </xf>
    <xf numFmtId="3" fontId="30" fillId="0" borderId="0" xfId="0" applyNumberFormat="1" applyFont="1"/>
    <xf numFmtId="3" fontId="23" fillId="0" borderId="0" xfId="4" applyNumberFormat="1" applyFont="1"/>
    <xf numFmtId="3" fontId="30" fillId="0" borderId="0" xfId="0" applyNumberFormat="1" applyFont="1" applyAlignment="1">
      <alignment horizontal="center"/>
    </xf>
    <xf numFmtId="3" fontId="28" fillId="0" borderId="0" xfId="0" applyNumberFormat="1" applyFont="1"/>
    <xf numFmtId="167" fontId="33" fillId="0" borderId="0" xfId="4" applyNumberFormat="1" applyFont="1"/>
    <xf numFmtId="0" fontId="22" fillId="0" borderId="0" xfId="5" applyFont="1"/>
    <xf numFmtId="0" fontId="22" fillId="0" borderId="9" xfId="7" applyFont="1" applyBorder="1"/>
    <xf numFmtId="3" fontId="22" fillId="0" borderId="7" xfId="5" applyNumberFormat="1" applyFont="1" applyBorder="1"/>
    <xf numFmtId="0" fontId="22" fillId="0" borderId="10" xfId="7" applyFont="1" applyBorder="1"/>
    <xf numFmtId="3" fontId="30" fillId="12" borderId="10" xfId="0" applyNumberFormat="1" applyFont="1" applyFill="1" applyBorder="1"/>
    <xf numFmtId="0" fontId="32" fillId="11" borderId="1" xfId="6" applyFont="1" applyFill="1" applyBorder="1">
      <alignment vertical="top"/>
    </xf>
    <xf numFmtId="3" fontId="32" fillId="11" borderId="3" xfId="5" applyNumberFormat="1" applyFont="1" applyFill="1" applyBorder="1"/>
    <xf numFmtId="3" fontId="32" fillId="11" borderId="10" xfId="5" applyNumberFormat="1" applyFont="1" applyFill="1" applyBorder="1"/>
    <xf numFmtId="168" fontId="32" fillId="11" borderId="10" xfId="5" applyNumberFormat="1" applyFont="1" applyFill="1" applyBorder="1"/>
    <xf numFmtId="0" fontId="35" fillId="0" borderId="0" xfId="4" applyFont="1"/>
    <xf numFmtId="0" fontId="29" fillId="0" borderId="0" xfId="4" applyFont="1"/>
    <xf numFmtId="0" fontId="37" fillId="0" borderId="0" xfId="8" applyFont="1" applyFill="1" applyBorder="1" applyProtection="1"/>
    <xf numFmtId="3" fontId="22" fillId="14" borderId="8" xfId="5" applyNumberFormat="1" applyFont="1" applyFill="1" applyBorder="1"/>
    <xf numFmtId="3" fontId="30" fillId="14" borderId="10" xfId="0" applyNumberFormat="1" applyFont="1" applyFill="1" applyBorder="1"/>
    <xf numFmtId="0" fontId="32" fillId="0" borderId="0" xfId="6" applyFont="1">
      <alignment vertical="top"/>
    </xf>
    <xf numFmtId="3" fontId="32" fillId="0" borderId="0" xfId="5" applyNumberFormat="1" applyFont="1"/>
    <xf numFmtId="166" fontId="32" fillId="0" borderId="0" xfId="5" applyNumberFormat="1" applyFont="1"/>
    <xf numFmtId="0" fontId="38" fillId="0" borderId="0" xfId="4" applyFont="1"/>
    <xf numFmtId="0" fontId="33" fillId="0" borderId="0" xfId="4" applyFont="1"/>
    <xf numFmtId="168" fontId="32" fillId="11" borderId="3" xfId="5" applyNumberFormat="1" applyFont="1" applyFill="1" applyBorder="1"/>
    <xf numFmtId="0" fontId="4" fillId="6" borderId="10" xfId="4" applyFont="1" applyFill="1" applyBorder="1" applyAlignment="1">
      <alignment horizontal="center" vertical="center" wrapText="1"/>
    </xf>
    <xf numFmtId="171" fontId="39" fillId="0" borderId="12" xfId="0" applyNumberFormat="1" applyFont="1" applyBorder="1"/>
    <xf numFmtId="170" fontId="23" fillId="0" borderId="0" xfId="4" applyNumberFormat="1" applyFont="1"/>
    <xf numFmtId="170" fontId="2" fillId="0" borderId="0" xfId="4" applyNumberFormat="1"/>
    <xf numFmtId="171" fontId="22" fillId="0" borderId="12" xfId="0" applyNumberFormat="1" applyFont="1" applyBorder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 wrapText="1"/>
    </xf>
    <xf numFmtId="10" fontId="0" fillId="0" borderId="0" xfId="1" applyNumberFormat="1" applyFont="1"/>
    <xf numFmtId="10" fontId="0" fillId="2" borderId="0" xfId="1" applyNumberFormat="1" applyFont="1" applyFill="1"/>
    <xf numFmtId="10" fontId="0" fillId="0" borderId="0" xfId="1" applyNumberFormat="1" applyFont="1" applyFill="1"/>
    <xf numFmtId="3" fontId="0" fillId="2" borderId="0" xfId="0" applyNumberFormat="1" applyFill="1"/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0" fillId="0" borderId="0" xfId="0" applyFont="1"/>
    <xf numFmtId="0" fontId="0" fillId="0" borderId="7" xfId="0" applyBorder="1"/>
    <xf numFmtId="0" fontId="0" fillId="0" borderId="9" xfId="0" applyBorder="1"/>
    <xf numFmtId="3" fontId="0" fillId="0" borderId="7" xfId="0" applyNumberFormat="1" applyBorder="1"/>
    <xf numFmtId="10" fontId="0" fillId="2" borderId="7" xfId="1" applyNumberFormat="1" applyFont="1" applyFill="1" applyBorder="1"/>
    <xf numFmtId="10" fontId="0" fillId="0" borderId="7" xfId="1" applyNumberFormat="1" applyFont="1" applyFill="1" applyBorder="1"/>
    <xf numFmtId="3" fontId="0" fillId="2" borderId="9" xfId="0" applyNumberFormat="1" applyFill="1" applyBorder="1"/>
    <xf numFmtId="3" fontId="0" fillId="0" borderId="14" xfId="0" applyNumberFormat="1" applyBorder="1"/>
    <xf numFmtId="10" fontId="0" fillId="2" borderId="14" xfId="1" applyNumberFormat="1" applyFont="1" applyFill="1" applyBorder="1"/>
    <xf numFmtId="10" fontId="0" fillId="0" borderId="14" xfId="1" applyNumberFormat="1" applyFont="1" applyFill="1" applyBorder="1"/>
    <xf numFmtId="3" fontId="0" fillId="2" borderId="4" xfId="0" applyNumberFormat="1" applyFill="1" applyBorder="1"/>
    <xf numFmtId="0" fontId="41" fillId="0" borderId="0" xfId="0" applyFont="1" applyAlignment="1">
      <alignment vertical="top"/>
    </xf>
    <xf numFmtId="0" fontId="41" fillId="0" borderId="0" xfId="0" applyFont="1" applyAlignment="1">
      <alignment horizontal="center" vertical="top"/>
    </xf>
    <xf numFmtId="0" fontId="42" fillId="0" borderId="0" xfId="0" applyFont="1" applyAlignment="1">
      <alignment vertical="center"/>
    </xf>
    <xf numFmtId="2" fontId="0" fillId="0" borderId="0" xfId="0" applyNumberFormat="1"/>
    <xf numFmtId="0" fontId="1" fillId="6" borderId="3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3" fontId="0" fillId="0" borderId="9" xfId="0" applyNumberFormat="1" applyBorder="1"/>
    <xf numFmtId="3" fontId="45" fillId="0" borderId="0" xfId="0" applyNumberFormat="1" applyFont="1"/>
    <xf numFmtId="0" fontId="45" fillId="0" borderId="0" xfId="0" applyFont="1"/>
    <xf numFmtId="3" fontId="6" fillId="0" borderId="0" xfId="0" applyNumberFormat="1" applyFont="1"/>
    <xf numFmtId="0" fontId="24" fillId="0" borderId="0" xfId="4" applyFont="1"/>
    <xf numFmtId="0" fontId="32" fillId="0" borderId="0" xfId="6" applyFont="1" applyAlignment="1">
      <alignment horizontal="center" vertical="center" wrapText="1"/>
    </xf>
    <xf numFmtId="0" fontId="8" fillId="0" borderId="0" xfId="6" applyFont="1" applyAlignment="1">
      <alignment horizontal="center" vertical="center" wrapText="1"/>
    </xf>
    <xf numFmtId="0" fontId="43" fillId="0" borderId="0" xfId="0" applyFont="1" applyAlignment="1">
      <alignment horizontal="left" vertical="top"/>
    </xf>
    <xf numFmtId="0" fontId="28" fillId="9" borderId="12" xfId="0" applyFont="1" applyFill="1" applyBorder="1" applyAlignment="1">
      <alignment horizontal="center" vertical="center"/>
    </xf>
    <xf numFmtId="0" fontId="28" fillId="10" borderId="12" xfId="4" applyFont="1" applyFill="1" applyBorder="1" applyAlignment="1">
      <alignment horizontal="center" vertical="center" wrapText="1"/>
    </xf>
    <xf numFmtId="0" fontId="23" fillId="0" borderId="12" xfId="4" applyFont="1" applyBorder="1"/>
    <xf numFmtId="170" fontId="23" fillId="0" borderId="12" xfId="4" applyNumberFormat="1" applyFont="1" applyBorder="1"/>
    <xf numFmtId="0" fontId="30" fillId="0" borderId="12" xfId="4" applyFont="1" applyBorder="1"/>
    <xf numFmtId="0" fontId="28" fillId="11" borderId="12" xfId="4" applyFont="1" applyFill="1" applyBorder="1"/>
    <xf numFmtId="170" fontId="28" fillId="11" borderId="12" xfId="4" applyNumberFormat="1" applyFont="1" applyFill="1" applyBorder="1"/>
    <xf numFmtId="0" fontId="32" fillId="11" borderId="12" xfId="6" applyFont="1" applyFill="1" applyBorder="1" applyAlignment="1">
      <alignment horizontal="center" vertical="center" wrapText="1"/>
    </xf>
    <xf numFmtId="3" fontId="22" fillId="0" borderId="12" xfId="6" applyNumberFormat="1" applyFont="1" applyBorder="1" applyAlignment="1">
      <alignment horizontal="right" vertical="center" wrapText="1"/>
    </xf>
    <xf numFmtId="0" fontId="2" fillId="0" borderId="12" xfId="4" applyBorder="1"/>
    <xf numFmtId="0" fontId="28" fillId="11" borderId="12" xfId="0" applyFont="1" applyFill="1" applyBorder="1"/>
    <xf numFmtId="3" fontId="28" fillId="11" borderId="12" xfId="0" applyNumberFormat="1" applyFont="1" applyFill="1" applyBorder="1"/>
    <xf numFmtId="0" fontId="32" fillId="10" borderId="12" xfId="6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6" borderId="12" xfId="4" applyFont="1" applyFill="1" applyBorder="1" applyAlignment="1">
      <alignment horizontal="center" vertical="center" wrapText="1"/>
    </xf>
    <xf numFmtId="170" fontId="2" fillId="0" borderId="12" xfId="4" applyNumberFormat="1" applyBorder="1"/>
    <xf numFmtId="9" fontId="0" fillId="0" borderId="12" xfId="0" applyNumberFormat="1" applyBorder="1"/>
    <xf numFmtId="0" fontId="4" fillId="4" borderId="12" xfId="4" applyFont="1" applyFill="1" applyBorder="1"/>
    <xf numFmtId="170" fontId="4" fillId="4" borderId="12" xfId="4" applyNumberFormat="1" applyFont="1" applyFill="1" applyBorder="1"/>
    <xf numFmtId="9" fontId="4" fillId="4" borderId="12" xfId="0" applyNumberFormat="1" applyFont="1" applyFill="1" applyBorder="1"/>
    <xf numFmtId="3" fontId="0" fillId="0" borderId="12" xfId="0" applyNumberFormat="1" applyBorder="1" applyAlignment="1">
      <alignment horizontal="center"/>
    </xf>
    <xf numFmtId="3" fontId="4" fillId="4" borderId="12" xfId="4" applyNumberFormat="1" applyFont="1" applyFill="1" applyBorder="1" applyAlignment="1">
      <alignment horizontal="center"/>
    </xf>
    <xf numFmtId="0" fontId="8" fillId="4" borderId="12" xfId="6" applyFont="1" applyFill="1" applyBorder="1" applyAlignment="1">
      <alignment horizontal="center" vertical="center" wrapText="1"/>
    </xf>
    <xf numFmtId="3" fontId="6" fillId="0" borderId="12" xfId="6" applyNumberFormat="1" applyFont="1" applyBorder="1" applyAlignment="1">
      <alignment horizontal="right" vertical="center" wrapText="1"/>
    </xf>
    <xf numFmtId="3" fontId="0" fillId="0" borderId="12" xfId="0" applyNumberFormat="1" applyBorder="1"/>
    <xf numFmtId="0" fontId="4" fillId="4" borderId="12" xfId="0" applyFont="1" applyFill="1" applyBorder="1"/>
    <xf numFmtId="3" fontId="4" fillId="4" borderId="12" xfId="0" applyNumberFormat="1" applyFont="1" applyFill="1" applyBorder="1"/>
    <xf numFmtId="0" fontId="8" fillId="6" borderId="12" xfId="6" applyFont="1" applyFill="1" applyBorder="1" applyAlignment="1">
      <alignment horizontal="center" vertical="center" wrapText="1"/>
    </xf>
    <xf numFmtId="3" fontId="8" fillId="4" borderId="12" xfId="5" applyNumberFormat="1" applyFont="1" applyFill="1" applyBorder="1"/>
    <xf numFmtId="167" fontId="23" fillId="13" borderId="12" xfId="4" applyNumberFormat="1" applyFont="1" applyFill="1" applyBorder="1"/>
    <xf numFmtId="3" fontId="39" fillId="0" borderId="12" xfId="0" applyNumberFormat="1" applyFont="1" applyBorder="1"/>
    <xf numFmtId="3" fontId="22" fillId="13" borderId="12" xfId="6" applyNumberFormat="1" applyFont="1" applyFill="1" applyBorder="1" applyAlignment="1">
      <alignment horizontal="right" vertical="center" wrapText="1"/>
    </xf>
    <xf numFmtId="3" fontId="30" fillId="13" borderId="12" xfId="0" applyNumberFormat="1" applyFont="1" applyFill="1" applyBorder="1"/>
    <xf numFmtId="0" fontId="0" fillId="0" borderId="12" xfId="4" applyFont="1" applyBorder="1"/>
    <xf numFmtId="3" fontId="28" fillId="11" borderId="12" xfId="0" applyNumberFormat="1" applyFont="1" applyFill="1" applyBorder="1" applyAlignment="1">
      <alignment horizontal="right"/>
    </xf>
    <xf numFmtId="3" fontId="32" fillId="11" borderId="12" xfId="5" applyNumberFormat="1" applyFont="1" applyFill="1" applyBorder="1"/>
    <xf numFmtId="0" fontId="8" fillId="6" borderId="12" xfId="4" applyFont="1" applyFill="1" applyBorder="1" applyAlignment="1">
      <alignment horizontal="center" vertical="center"/>
    </xf>
    <xf numFmtId="0" fontId="4" fillId="6" borderId="12" xfId="4" applyFont="1" applyFill="1" applyBorder="1" applyAlignment="1">
      <alignment horizontal="center" vertical="center"/>
    </xf>
    <xf numFmtId="0" fontId="4" fillId="0" borderId="12" xfId="4" applyFont="1" applyBorder="1"/>
    <xf numFmtId="170" fontId="4" fillId="0" borderId="12" xfId="0" applyNumberFormat="1" applyFont="1" applyBorder="1" applyAlignment="1">
      <alignment horizontal="right"/>
    </xf>
    <xf numFmtId="0" fontId="4" fillId="0" borderId="12" xfId="4" applyFont="1" applyBorder="1" applyAlignment="1">
      <alignment horizontal="right"/>
    </xf>
    <xf numFmtId="170" fontId="4" fillId="6" borderId="12" xfId="0" applyNumberFormat="1" applyFont="1" applyFill="1" applyBorder="1" applyAlignment="1">
      <alignment horizontal="right"/>
    </xf>
    <xf numFmtId="170" fontId="4" fillId="4" borderId="12" xfId="4" applyNumberFormat="1" applyFont="1" applyFill="1" applyBorder="1" applyAlignment="1">
      <alignment horizontal="right"/>
    </xf>
    <xf numFmtId="0" fontId="8" fillId="6" borderId="12" xfId="4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/>
    </xf>
    <xf numFmtId="3" fontId="2" fillId="0" borderId="12" xfId="4" applyNumberFormat="1" applyBorder="1" applyAlignment="1">
      <alignment horizontal="right"/>
    </xf>
    <xf numFmtId="3" fontId="4" fillId="4" borderId="12" xfId="4" applyNumberFormat="1" applyFont="1" applyFill="1" applyBorder="1" applyAlignment="1">
      <alignment horizontal="right"/>
    </xf>
    <xf numFmtId="3" fontId="12" fillId="0" borderId="12" xfId="5" applyNumberFormat="1" applyFont="1" applyBorder="1"/>
    <xf numFmtId="3" fontId="11" fillId="4" borderId="12" xfId="5" applyNumberFormat="1" applyFont="1" applyFill="1" applyBorder="1"/>
    <xf numFmtId="0" fontId="8" fillId="4" borderId="12" xfId="0" applyFont="1" applyFill="1" applyBorder="1" applyAlignment="1">
      <alignment horizontal="center" vertical="center" wrapText="1"/>
    </xf>
    <xf numFmtId="164" fontId="8" fillId="6" borderId="12" xfId="2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164" fontId="4" fillId="6" borderId="12" xfId="2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2" xfId="0" applyFont="1" applyFill="1" applyBorder="1"/>
    <xf numFmtId="0" fontId="0" fillId="0" borderId="12" xfId="0" applyBorder="1" applyAlignment="1">
      <alignment vertical="center"/>
    </xf>
    <xf numFmtId="167" fontId="6" fillId="0" borderId="12" xfId="0" applyNumberFormat="1" applyFont="1" applyBorder="1" applyAlignment="1">
      <alignment vertical="center"/>
    </xf>
    <xf numFmtId="37" fontId="6" fillId="0" borderId="12" xfId="2" applyNumberFormat="1" applyFont="1" applyFill="1" applyBorder="1" applyAlignment="1">
      <alignment horizontal="right"/>
    </xf>
    <xf numFmtId="0" fontId="0" fillId="0" borderId="12" xfId="0" applyBorder="1" applyAlignment="1">
      <alignment vertical="center" wrapText="1"/>
    </xf>
    <xf numFmtId="0" fontId="0" fillId="0" borderId="12" xfId="0" applyBorder="1"/>
    <xf numFmtId="0" fontId="5" fillId="7" borderId="12" xfId="0" applyFont="1" applyFill="1" applyBorder="1" applyAlignment="1">
      <alignment vertical="center"/>
    </xf>
    <xf numFmtId="167" fontId="5" fillId="7" borderId="12" xfId="0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164" fontId="6" fillId="0" borderId="12" xfId="2" applyNumberFormat="1" applyFont="1" applyFill="1" applyBorder="1"/>
    <xf numFmtId="0" fontId="4" fillId="3" borderId="12" xfId="0" applyFont="1" applyFill="1" applyBorder="1"/>
    <xf numFmtId="167" fontId="4" fillId="3" borderId="12" xfId="0" applyNumberFormat="1" applyFont="1" applyFill="1" applyBorder="1"/>
    <xf numFmtId="43" fontId="6" fillId="0" borderId="12" xfId="2" applyFont="1" applyFill="1" applyBorder="1"/>
    <xf numFmtId="0" fontId="0" fillId="2" borderId="12" xfId="0" applyFill="1" applyBorder="1" applyAlignment="1">
      <alignment horizontal="left" vertical="center" wrapText="1"/>
    </xf>
    <xf numFmtId="0" fontId="6" fillId="0" borderId="12" xfId="0" applyFont="1" applyBorder="1"/>
    <xf numFmtId="0" fontId="4" fillId="8" borderId="12" xfId="0" applyFont="1" applyFill="1" applyBorder="1"/>
    <xf numFmtId="167" fontId="4" fillId="8" borderId="12" xfId="0" applyNumberFormat="1" applyFont="1" applyFill="1" applyBorder="1"/>
    <xf numFmtId="0" fontId="28" fillId="9" borderId="4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32" fillId="10" borderId="1" xfId="6" applyFont="1" applyFill="1" applyBorder="1" applyAlignment="1">
      <alignment horizontal="center" vertical="center" wrapText="1"/>
    </xf>
    <xf numFmtId="0" fontId="32" fillId="10" borderId="2" xfId="6" applyFont="1" applyFill="1" applyBorder="1" applyAlignment="1">
      <alignment horizontal="center" vertical="center" wrapText="1"/>
    </xf>
    <xf numFmtId="0" fontId="32" fillId="10" borderId="3" xfId="6" applyFont="1" applyFill="1" applyBorder="1" applyAlignment="1">
      <alignment horizontal="center" vertical="center" wrapText="1"/>
    </xf>
    <xf numFmtId="0" fontId="32" fillId="0" borderId="0" xfId="6" applyFont="1" applyAlignment="1">
      <alignment horizontal="center" vertical="center" wrapText="1"/>
    </xf>
    <xf numFmtId="0" fontId="24" fillId="0" borderId="0" xfId="4" applyFont="1"/>
    <xf numFmtId="0" fontId="32" fillId="10" borderId="12" xfId="6" applyFont="1" applyFill="1" applyBorder="1" applyAlignment="1">
      <alignment horizontal="center" vertical="center" wrapText="1"/>
    </xf>
    <xf numFmtId="0" fontId="32" fillId="10" borderId="12" xfId="5" applyFont="1" applyFill="1" applyBorder="1" applyAlignment="1">
      <alignment horizontal="center" vertical="center" wrapText="1"/>
    </xf>
    <xf numFmtId="0" fontId="32" fillId="10" borderId="12" xfId="5" applyFont="1" applyFill="1" applyBorder="1" applyAlignment="1">
      <alignment horizontal="center" vertical="center"/>
    </xf>
    <xf numFmtId="0" fontId="32" fillId="10" borderId="3" xfId="5" applyFont="1" applyFill="1" applyBorder="1" applyAlignment="1">
      <alignment horizontal="center" vertical="center" wrapText="1"/>
    </xf>
    <xf numFmtId="0" fontId="32" fillId="10" borderId="3" xfId="5" applyFont="1" applyFill="1" applyBorder="1" applyAlignment="1">
      <alignment horizontal="center" vertical="center"/>
    </xf>
    <xf numFmtId="0" fontId="32" fillId="9" borderId="12" xfId="5" applyFont="1" applyFill="1" applyBorder="1" applyAlignment="1">
      <alignment horizontal="center" vertical="center" wrapText="1"/>
    </xf>
    <xf numFmtId="0" fontId="32" fillId="11" borderId="1" xfId="5" applyFont="1" applyFill="1" applyBorder="1" applyAlignment="1">
      <alignment horizontal="center" vertical="center" wrapText="1"/>
    </xf>
    <xf numFmtId="0" fontId="32" fillId="11" borderId="2" xfId="5" applyFont="1" applyFill="1" applyBorder="1" applyAlignment="1">
      <alignment horizontal="center" vertical="center" wrapText="1"/>
    </xf>
    <xf numFmtId="0" fontId="32" fillId="11" borderId="3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/>
    </xf>
    <xf numFmtId="0" fontId="8" fillId="0" borderId="0" xfId="6" applyFont="1" applyAlignment="1">
      <alignment horizontal="center" vertical="center" wrapText="1"/>
    </xf>
    <xf numFmtId="0" fontId="8" fillId="6" borderId="1" xfId="6" applyFont="1" applyFill="1" applyBorder="1" applyAlignment="1">
      <alignment horizontal="center" vertical="center" wrapText="1"/>
    </xf>
    <xf numFmtId="0" fontId="8" fillId="6" borderId="2" xfId="6" applyFont="1" applyFill="1" applyBorder="1" applyAlignment="1">
      <alignment horizontal="center" vertical="center" wrapText="1"/>
    </xf>
    <xf numFmtId="0" fontId="8" fillId="6" borderId="3" xfId="6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center" vertical="center" wrapText="1"/>
    </xf>
    <xf numFmtId="0" fontId="8" fillId="6" borderId="3" xfId="5" applyFont="1" applyFill="1" applyBorder="1" applyAlignment="1">
      <alignment horizontal="center" vertical="center" wrapText="1"/>
    </xf>
    <xf numFmtId="0" fontId="8" fillId="6" borderId="3" xfId="5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 vertical="center" wrapText="1"/>
    </xf>
    <xf numFmtId="0" fontId="8" fillId="4" borderId="2" xfId="5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0" fillId="0" borderId="0" xfId="4" applyFont="1"/>
    <xf numFmtId="0" fontId="8" fillId="3" borderId="12" xfId="5" applyFont="1" applyFill="1" applyBorder="1" applyAlignment="1">
      <alignment horizontal="center" vertical="center" wrapText="1"/>
    </xf>
    <xf numFmtId="0" fontId="32" fillId="11" borderId="12" xfId="5" applyFont="1" applyFill="1" applyBorder="1" applyAlignment="1">
      <alignment horizontal="center" vertical="center" wrapText="1"/>
    </xf>
    <xf numFmtId="0" fontId="32" fillId="11" borderId="12" xfId="5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8" fillId="3" borderId="12" xfId="5" applyFont="1" applyFill="1" applyBorder="1" applyAlignment="1">
      <alignment horizontal="center" vertical="center"/>
    </xf>
    <xf numFmtId="0" fontId="8" fillId="6" borderId="4" xfId="5" applyFont="1" applyFill="1" applyBorder="1" applyAlignment="1">
      <alignment horizontal="center" vertical="center" wrapText="1"/>
    </xf>
    <xf numFmtId="0" fontId="8" fillId="6" borderId="9" xfId="5" applyFont="1" applyFill="1" applyBorder="1" applyAlignment="1">
      <alignment horizontal="center" vertical="center" wrapText="1"/>
    </xf>
    <xf numFmtId="0" fontId="8" fillId="6" borderId="10" xfId="5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readingOrder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1" fillId="0" borderId="0" xfId="0" applyFont="1" applyAlignment="1">
      <alignment horizontal="left" vertical="top"/>
    </xf>
    <xf numFmtId="0" fontId="1" fillId="4" borderId="1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/>
    </xf>
    <xf numFmtId="0" fontId="4" fillId="3" borderId="1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right"/>
    </xf>
    <xf numFmtId="0" fontId="0" fillId="2" borderId="12" xfId="0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</cellXfs>
  <cellStyles count="9">
    <cellStyle name="Comma" xfId="2" builtinId="3"/>
    <cellStyle name="Currency" xfId="3" builtinId="4"/>
    <cellStyle name="Hyperlink" xfId="8" builtinId="8"/>
    <cellStyle name="Normal" xfId="0" builtinId="0"/>
    <cellStyle name="Normal 4 2" xfId="4" xr:uid="{00000000-0005-0000-0000-000003000000}"/>
    <cellStyle name="Normal 5" xfId="6" xr:uid="{00000000-0005-0000-0000-000004000000}"/>
    <cellStyle name="Normal_RepBud2001" xfId="7" xr:uid="{00000000-0005-0000-0000-000005000000}"/>
    <cellStyle name="Normal_ReportFormSavings2001" xfId="5" xr:uid="{00000000-0005-0000-0000-000006000000}"/>
    <cellStyle name="Percent" xfId="1" builtinId="5"/>
  </cellStyles>
  <dxfs count="176"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mployees.root.local\PW\EFF\NewBrunswick\NJ%20Clean%20Energy%20Program\AEG%20Employee%20Data\Ambrosio\Mikes%20Clients\Reports\Utility%20CEA%20Reporting\FY23\4Q%20FY23\Drafts\Statewide%20Compilation%20Report%204Q%20FY23%20-%20FINAL.xlsx" TargetMode="External"/><Relationship Id="rId1" Type="http://schemas.openxmlformats.org/officeDocument/2006/relationships/externalLinkPath" Target="Drafts/Statewide%20Compilation%20Report%204Q%20FY23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tatewide Totals"/>
      <sheetName val="Current Year Programs"/>
      <sheetName val="Legacy Programs"/>
      <sheetName val="Budgets, Expenses &amp; Incentives"/>
      <sheetName val="Participants"/>
      <sheetName val="Electric Savings"/>
      <sheetName val="Gas Savings"/>
      <sheetName val="Emissions Reductions"/>
      <sheetName val="Goals"/>
      <sheetName val="Performance vs Goals"/>
      <sheetName val="Energy Savings % Retail Sales"/>
      <sheetName val="Equity"/>
      <sheetName val="Qtr Electric Master"/>
    </sheetNames>
    <sheetDataSet>
      <sheetData sheetId="0"/>
      <sheetData sheetId="1">
        <row r="22">
          <cell r="C22">
            <v>78330.784081883496</v>
          </cell>
        </row>
        <row r="24">
          <cell r="C24">
            <v>262203.10347340337</v>
          </cell>
        </row>
        <row r="26">
          <cell r="C26">
            <v>928939.81372026389</v>
          </cell>
        </row>
        <row r="27">
          <cell r="C27">
            <v>15594.566177022272</v>
          </cell>
        </row>
        <row r="38">
          <cell r="B38">
            <v>199777.40565599492</v>
          </cell>
        </row>
        <row r="39">
          <cell r="B39">
            <v>454680</v>
          </cell>
        </row>
        <row r="40">
          <cell r="B40">
            <v>2096704.2765568017</v>
          </cell>
        </row>
        <row r="42">
          <cell r="B42">
            <v>312771.14409963519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workbookViewId="0">
      <selection activeCell="C6" sqref="C6"/>
    </sheetView>
  </sheetViews>
  <sheetFormatPr defaultRowHeight="14.4" x14ac:dyDescent="0.3"/>
  <cols>
    <col min="1" max="1" width="11.5546875" customWidth="1"/>
    <col min="2" max="2" width="11.44140625" customWidth="1"/>
    <col min="3" max="3" width="12.44140625" customWidth="1"/>
    <col min="4" max="4" width="12" customWidth="1"/>
    <col min="5" max="5" width="12.44140625" customWidth="1"/>
    <col min="6" max="6" width="11.44140625" customWidth="1"/>
    <col min="7" max="8" width="10.5546875" customWidth="1"/>
    <col min="9" max="9" width="11.5546875" customWidth="1"/>
    <col min="10" max="10" width="12.44140625" customWidth="1"/>
  </cols>
  <sheetData>
    <row r="1" spans="1:8" x14ac:dyDescent="0.3">
      <c r="A1" s="3" t="s">
        <v>0</v>
      </c>
    </row>
    <row r="2" spans="1:8" ht="43.2" x14ac:dyDescent="0.3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x14ac:dyDescent="0.3">
      <c r="A3" s="3" t="s">
        <v>8</v>
      </c>
    </row>
    <row r="4" spans="1:8" x14ac:dyDescent="0.3">
      <c r="A4" t="s">
        <v>9</v>
      </c>
      <c r="B4" s="1">
        <v>21560000</v>
      </c>
      <c r="C4" s="2">
        <v>1.0999999999999999E-2</v>
      </c>
      <c r="D4" s="1">
        <f>B4*C4</f>
        <v>237160</v>
      </c>
      <c r="E4" s="2">
        <v>7.4000000000000003E-3</v>
      </c>
      <c r="F4" s="1">
        <f>E4*B4</f>
        <v>159544</v>
      </c>
      <c r="G4" s="2">
        <v>3.5999999999999999E-3</v>
      </c>
      <c r="H4" s="1">
        <f>G4*B4</f>
        <v>77616</v>
      </c>
    </row>
    <row r="5" spans="1:8" x14ac:dyDescent="0.3">
      <c r="A5" t="s">
        <v>10</v>
      </c>
      <c r="B5" s="1">
        <v>10526000</v>
      </c>
      <c r="C5" s="2">
        <v>1.0999999999999999E-2</v>
      </c>
      <c r="D5" s="1">
        <f t="shared" ref="D5:D7" si="0">B5*C5</f>
        <v>115786</v>
      </c>
      <c r="E5" s="2">
        <v>7.4000000000000003E-3</v>
      </c>
      <c r="F5" s="1">
        <f>E5*B5</f>
        <v>77892.400000000009</v>
      </c>
      <c r="G5" s="2">
        <v>3.5999999999999999E-3</v>
      </c>
      <c r="H5" s="1">
        <f>G5*B5</f>
        <v>37893.599999999999</v>
      </c>
    </row>
    <row r="6" spans="1:8" x14ac:dyDescent="0.3">
      <c r="A6" t="s">
        <v>11</v>
      </c>
      <c r="B6" s="1">
        <v>4889000</v>
      </c>
      <c r="C6" s="2">
        <v>1.0999999999999999E-2</v>
      </c>
      <c r="D6" s="1">
        <f t="shared" si="0"/>
        <v>53779</v>
      </c>
      <c r="E6" s="2">
        <v>7.4000000000000003E-3</v>
      </c>
      <c r="F6" s="1">
        <f>E6*B6</f>
        <v>36178.6</v>
      </c>
      <c r="G6" s="2">
        <v>3.5999999999999999E-3</v>
      </c>
      <c r="H6" s="1">
        <f>G6*B6</f>
        <v>17600.399999999998</v>
      </c>
    </row>
    <row r="7" spans="1:8" x14ac:dyDescent="0.3">
      <c r="A7" t="s">
        <v>12</v>
      </c>
      <c r="B7" s="1">
        <v>972000</v>
      </c>
      <c r="C7" s="2">
        <v>1.0999999999999999E-2</v>
      </c>
      <c r="D7" s="1">
        <f t="shared" si="0"/>
        <v>10692</v>
      </c>
      <c r="E7" s="2">
        <v>7.4000000000000003E-3</v>
      </c>
      <c r="F7" s="1">
        <f>E7*B7</f>
        <v>7192.8</v>
      </c>
      <c r="G7" s="2">
        <v>3.5999999999999999E-3</v>
      </c>
      <c r="H7" s="1">
        <f>G7*B7</f>
        <v>3499.2</v>
      </c>
    </row>
    <row r="8" spans="1:8" x14ac:dyDescent="0.3">
      <c r="B8" s="1"/>
      <c r="C8" s="2"/>
      <c r="E8" s="2"/>
    </row>
    <row r="9" spans="1:8" ht="57.6" x14ac:dyDescent="0.3">
      <c r="B9" s="5" t="s">
        <v>13</v>
      </c>
      <c r="C9" s="5" t="s">
        <v>2</v>
      </c>
      <c r="D9" s="5" t="s">
        <v>14</v>
      </c>
      <c r="E9" s="5" t="s">
        <v>4</v>
      </c>
      <c r="F9" s="5" t="s">
        <v>15</v>
      </c>
      <c r="G9" s="5" t="s">
        <v>6</v>
      </c>
      <c r="H9" s="5" t="s">
        <v>16</v>
      </c>
    </row>
    <row r="10" spans="1:8" x14ac:dyDescent="0.3">
      <c r="A10" s="3" t="s">
        <v>17</v>
      </c>
      <c r="C10" s="2"/>
      <c r="E10" s="2"/>
    </row>
    <row r="11" spans="1:8" x14ac:dyDescent="0.3">
      <c r="A11" t="s">
        <v>9</v>
      </c>
      <c r="B11" s="1">
        <v>3797190.5</v>
      </c>
      <c r="C11" s="2">
        <v>5.0000000000000001E-3</v>
      </c>
      <c r="D11" s="1">
        <f t="shared" ref="D11:D14" si="1">B11*C11</f>
        <v>18985.952499999999</v>
      </c>
      <c r="E11" s="2">
        <v>3.3999999999999998E-3</v>
      </c>
      <c r="F11" s="1">
        <f>E11*B11</f>
        <v>12910.447699999999</v>
      </c>
      <c r="G11" s="2">
        <v>1.6000000000000001E-3</v>
      </c>
      <c r="H11" s="1">
        <f>G11*B11</f>
        <v>6075.5048000000006</v>
      </c>
    </row>
    <row r="12" spans="1:8" x14ac:dyDescent="0.3">
      <c r="A12" t="s">
        <v>18</v>
      </c>
      <c r="B12" s="1">
        <v>1366990.02</v>
      </c>
      <c r="C12" s="2">
        <v>5.0000000000000001E-3</v>
      </c>
      <c r="D12" s="1">
        <f t="shared" si="1"/>
        <v>6834.9501</v>
      </c>
      <c r="E12" s="2">
        <v>3.3999999999999998E-3</v>
      </c>
      <c r="F12" s="1">
        <f>E12*B12</f>
        <v>4647.7660679999999</v>
      </c>
      <c r="G12" s="2">
        <v>1.6000000000000001E-3</v>
      </c>
      <c r="H12" s="1">
        <f>G12*B12</f>
        <v>2187.1840320000001</v>
      </c>
    </row>
    <row r="13" spans="1:8" x14ac:dyDescent="0.3">
      <c r="A13" t="s">
        <v>19</v>
      </c>
      <c r="B13" s="1">
        <v>1366990.02</v>
      </c>
      <c r="C13" s="2">
        <v>5.0000000000000001E-3</v>
      </c>
      <c r="D13" s="1">
        <f t="shared" si="1"/>
        <v>6834.9501</v>
      </c>
      <c r="E13" s="2">
        <v>3.3999999999999998E-3</v>
      </c>
      <c r="F13" s="1">
        <f>E13*B13</f>
        <v>4647.7660679999999</v>
      </c>
      <c r="G13" s="2">
        <v>1.6000000000000001E-3</v>
      </c>
      <c r="H13" s="1">
        <f>G13*B13</f>
        <v>2187.1840320000001</v>
      </c>
    </row>
    <row r="14" spans="1:8" x14ac:dyDescent="0.3">
      <c r="A14" t="s">
        <v>20</v>
      </c>
      <c r="B14" s="1">
        <v>1063210.46</v>
      </c>
      <c r="C14" s="2">
        <v>5.0000000000000001E-3</v>
      </c>
      <c r="D14" s="1">
        <f t="shared" si="1"/>
        <v>5316.0523000000003</v>
      </c>
      <c r="E14" s="2">
        <v>3.3999999999999998E-3</v>
      </c>
      <c r="F14" s="1">
        <f>E14*B14</f>
        <v>3614.9155639999994</v>
      </c>
      <c r="G14" s="2">
        <v>1.6000000000000001E-3</v>
      </c>
      <c r="H14" s="1">
        <f>G14*B14</f>
        <v>1701.1367359999999</v>
      </c>
    </row>
    <row r="16" spans="1:8" x14ac:dyDescent="0.3">
      <c r="A16" s="3" t="s">
        <v>21</v>
      </c>
    </row>
    <row r="17" spans="1:10" ht="43.2" x14ac:dyDescent="0.3">
      <c r="A17" s="4" t="s">
        <v>8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</row>
    <row r="18" spans="1:10" x14ac:dyDescent="0.3">
      <c r="A18" t="s">
        <v>9</v>
      </c>
      <c r="B18" s="1">
        <f>D4</f>
        <v>237160</v>
      </c>
      <c r="E18" s="1">
        <f>F4</f>
        <v>159544</v>
      </c>
      <c r="H18" s="1">
        <f>H4</f>
        <v>77616</v>
      </c>
    </row>
    <row r="19" spans="1:10" x14ac:dyDescent="0.3">
      <c r="A19" t="s">
        <v>10</v>
      </c>
      <c r="B19" s="1">
        <f>D5</f>
        <v>115786</v>
      </c>
      <c r="E19" s="1">
        <f t="shared" ref="E19:E21" si="2">F5</f>
        <v>77892.400000000009</v>
      </c>
      <c r="H19" s="1">
        <f t="shared" ref="H19:H21" si="3">H5</f>
        <v>37893.599999999999</v>
      </c>
    </row>
    <row r="20" spans="1:10" x14ac:dyDescent="0.3">
      <c r="A20" t="s">
        <v>11</v>
      </c>
      <c r="B20" s="1">
        <f>D6</f>
        <v>53779</v>
      </c>
      <c r="E20" s="1">
        <f t="shared" si="2"/>
        <v>36178.6</v>
      </c>
      <c r="H20" s="1">
        <f t="shared" si="3"/>
        <v>17600.399999999998</v>
      </c>
    </row>
    <row r="21" spans="1:10" x14ac:dyDescent="0.3">
      <c r="A21" t="s">
        <v>12</v>
      </c>
      <c r="B21" s="1">
        <f>D7</f>
        <v>10692</v>
      </c>
      <c r="E21" s="1">
        <f t="shared" si="2"/>
        <v>7192.8</v>
      </c>
      <c r="H21" s="1">
        <f t="shared" si="3"/>
        <v>3499.2</v>
      </c>
    </row>
    <row r="22" spans="1:10" x14ac:dyDescent="0.3">
      <c r="B22" s="1"/>
      <c r="E22" s="1"/>
      <c r="H22" s="1"/>
    </row>
    <row r="24" spans="1:10" s="4" customFormat="1" ht="43.2" x14ac:dyDescent="0.3">
      <c r="A24" s="4" t="s">
        <v>17</v>
      </c>
      <c r="B24" s="5" t="s">
        <v>22</v>
      </c>
      <c r="C24" s="5" t="s">
        <v>23</v>
      </c>
      <c r="D24" s="5" t="s">
        <v>24</v>
      </c>
      <c r="E24" s="5" t="s">
        <v>25</v>
      </c>
      <c r="F24" s="5" t="s">
        <v>26</v>
      </c>
      <c r="G24" s="5" t="s">
        <v>27</v>
      </c>
      <c r="H24" s="5" t="s">
        <v>28</v>
      </c>
      <c r="I24" s="5" t="s">
        <v>29</v>
      </c>
      <c r="J24" s="5" t="s">
        <v>30</v>
      </c>
    </row>
    <row r="25" spans="1:10" x14ac:dyDescent="0.3">
      <c r="A25" t="s">
        <v>9</v>
      </c>
      <c r="B25" s="1">
        <f>D11</f>
        <v>18985.952499999999</v>
      </c>
      <c r="E25" s="1">
        <f>F11</f>
        <v>12910.447699999999</v>
      </c>
      <c r="H25" s="1">
        <f>H11</f>
        <v>6075.5048000000006</v>
      </c>
    </row>
    <row r="26" spans="1:10" x14ac:dyDescent="0.3">
      <c r="A26" t="s">
        <v>18</v>
      </c>
      <c r="B26" s="1">
        <f t="shared" ref="B26:B28" si="4">D12</f>
        <v>6834.9501</v>
      </c>
      <c r="E26" s="1">
        <f t="shared" ref="E26:E28" si="5">F12</f>
        <v>4647.7660679999999</v>
      </c>
      <c r="H26" s="1">
        <f t="shared" ref="H26:H28" si="6">H12</f>
        <v>2187.1840320000001</v>
      </c>
    </row>
    <row r="27" spans="1:10" x14ac:dyDescent="0.3">
      <c r="A27" t="s">
        <v>19</v>
      </c>
      <c r="B27" s="1">
        <f t="shared" si="4"/>
        <v>6834.9501</v>
      </c>
      <c r="E27" s="1">
        <f t="shared" si="5"/>
        <v>4647.7660679999999</v>
      </c>
      <c r="H27" s="1">
        <f t="shared" si="6"/>
        <v>2187.1840320000001</v>
      </c>
    </row>
    <row r="28" spans="1:10" x14ac:dyDescent="0.3">
      <c r="A28" t="s">
        <v>20</v>
      </c>
      <c r="B28" s="1">
        <f t="shared" si="4"/>
        <v>5316.0523000000003</v>
      </c>
      <c r="E28" s="1">
        <f t="shared" si="5"/>
        <v>3614.9155639999994</v>
      </c>
      <c r="H28" s="1">
        <f t="shared" si="6"/>
        <v>1701.1367359999999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FF5F-A06F-4E9A-A37C-DC12A3AB42AD}">
  <dimension ref="A1:AL26"/>
  <sheetViews>
    <sheetView showGridLines="0" topLeftCell="A3" zoomScaleNormal="100" workbookViewId="0">
      <selection activeCell="B25" sqref="B25"/>
    </sheetView>
  </sheetViews>
  <sheetFormatPr defaultRowHeight="14.4" x14ac:dyDescent="0.3"/>
  <cols>
    <col min="1" max="1" width="24.6640625" customWidth="1"/>
    <col min="2" max="2" width="11.44140625" customWidth="1"/>
    <col min="3" max="3" width="12.44140625" customWidth="1"/>
    <col min="4" max="4" width="12" customWidth="1"/>
    <col min="5" max="5" width="12.44140625" customWidth="1"/>
    <col min="6" max="6" width="11.44140625" customWidth="1"/>
    <col min="7" max="8" width="10.5546875" customWidth="1"/>
    <col min="9" max="9" width="11.5546875" customWidth="1"/>
    <col min="10" max="10" width="12.44140625" customWidth="1"/>
    <col min="11" max="12" width="0" hidden="1" customWidth="1"/>
  </cols>
  <sheetData>
    <row r="1" spans="1:38" ht="23.4" x14ac:dyDescent="0.3">
      <c r="A1" s="289" t="s">
        <v>110</v>
      </c>
      <c r="B1" s="289"/>
      <c r="C1" s="289"/>
      <c r="D1" s="289"/>
      <c r="E1" s="289"/>
      <c r="F1" s="289"/>
      <c r="G1" s="289"/>
      <c r="H1" s="289"/>
      <c r="I1" s="152"/>
      <c r="J1" s="152"/>
      <c r="K1" s="152"/>
      <c r="L1" s="152"/>
      <c r="M1" s="152"/>
      <c r="N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8" x14ac:dyDescent="0.3">
      <c r="A2" s="290" t="s">
        <v>111</v>
      </c>
      <c r="B2" s="290"/>
      <c r="C2" s="290"/>
      <c r="D2" s="290"/>
      <c r="E2" s="290"/>
      <c r="F2" s="290"/>
      <c r="G2" s="290"/>
      <c r="H2" s="290"/>
      <c r="I2" s="150"/>
      <c r="J2" s="150"/>
      <c r="K2" s="150"/>
      <c r="L2" s="150"/>
      <c r="M2" s="150"/>
      <c r="N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</row>
    <row r="3" spans="1:38" x14ac:dyDescent="0.3">
      <c r="A3" s="151"/>
      <c r="B3" s="151"/>
      <c r="C3" s="151"/>
      <c r="D3" s="151"/>
      <c r="E3" s="151"/>
      <c r="F3" s="151"/>
      <c r="G3" s="151"/>
      <c r="H3" s="151"/>
      <c r="I3" s="150"/>
      <c r="J3" s="150"/>
      <c r="K3" s="150"/>
      <c r="L3" s="150"/>
      <c r="M3" s="150"/>
      <c r="N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</row>
    <row r="4" spans="1:38" x14ac:dyDescent="0.3">
      <c r="B4" s="280" t="s">
        <v>112</v>
      </c>
      <c r="C4" s="280"/>
      <c r="D4" s="280"/>
      <c r="E4" s="280"/>
      <c r="F4" s="280"/>
      <c r="G4" s="280"/>
      <c r="H4" s="280"/>
    </row>
    <row r="5" spans="1:38" ht="15.6" customHeight="1" x14ac:dyDescent="0.3">
      <c r="A5" s="139"/>
      <c r="B5" s="281" t="s">
        <v>113</v>
      </c>
      <c r="C5" s="283" t="s">
        <v>114</v>
      </c>
      <c r="D5" s="284"/>
      <c r="E5" s="283" t="s">
        <v>25</v>
      </c>
      <c r="F5" s="284"/>
      <c r="G5" s="283" t="s">
        <v>115</v>
      </c>
      <c r="H5" s="284"/>
      <c r="M5" s="13"/>
    </row>
    <row r="6" spans="1:38" ht="15.6" x14ac:dyDescent="0.3">
      <c r="A6" s="139"/>
      <c r="B6" s="282"/>
      <c r="C6" s="285"/>
      <c r="D6" s="286"/>
      <c r="E6" s="285"/>
      <c r="F6" s="286"/>
      <c r="G6" s="285"/>
      <c r="H6" s="286"/>
      <c r="M6" s="13"/>
    </row>
    <row r="7" spans="1:38" ht="15.6" x14ac:dyDescent="0.3">
      <c r="A7" s="139"/>
      <c r="B7" s="282"/>
      <c r="C7" s="287"/>
      <c r="D7" s="288"/>
      <c r="E7" s="287"/>
      <c r="F7" s="288"/>
      <c r="G7" s="287"/>
      <c r="H7" s="288"/>
      <c r="M7" s="13"/>
    </row>
    <row r="8" spans="1:38" x14ac:dyDescent="0.3">
      <c r="A8" s="138" t="s">
        <v>116</v>
      </c>
      <c r="B8" s="136" t="s">
        <v>53</v>
      </c>
      <c r="C8" s="137" t="s">
        <v>117</v>
      </c>
      <c r="D8" s="137" t="s">
        <v>53</v>
      </c>
      <c r="E8" s="137" t="s">
        <v>117</v>
      </c>
      <c r="F8" s="137" t="s">
        <v>53</v>
      </c>
      <c r="G8" s="137" t="s">
        <v>117</v>
      </c>
      <c r="H8" s="137" t="s">
        <v>53</v>
      </c>
      <c r="M8" s="13"/>
    </row>
    <row r="9" spans="1:38" x14ac:dyDescent="0.3">
      <c r="A9" t="s">
        <v>11</v>
      </c>
      <c r="B9" s="149">
        <v>8673278.0698611047</v>
      </c>
      <c r="C9" s="148">
        <f>E9+G9</f>
        <v>1.0999999999999999E-2</v>
      </c>
      <c r="D9" s="146">
        <f>$B9*C9</f>
        <v>95406.058768472139</v>
      </c>
      <c r="E9" s="147">
        <v>7.4000000000000003E-3</v>
      </c>
      <c r="F9" s="146">
        <f>$B9*E9</f>
        <v>64182.257716972177</v>
      </c>
      <c r="G9" s="147">
        <v>3.5999999999999999E-3</v>
      </c>
      <c r="H9" s="146">
        <f>$B9*G9</f>
        <v>31223.801051499977</v>
      </c>
      <c r="K9" t="s">
        <v>118</v>
      </c>
      <c r="L9">
        <v>3</v>
      </c>
      <c r="M9" s="13"/>
    </row>
    <row r="10" spans="1:38" x14ac:dyDescent="0.3">
      <c r="A10" t="s">
        <v>10</v>
      </c>
      <c r="B10" s="145">
        <v>20066366.399999999</v>
      </c>
      <c r="C10" s="144">
        <f>E10+G10</f>
        <v>1.0999999999999999E-2</v>
      </c>
      <c r="D10" s="142">
        <f>$B10*C10</f>
        <v>220730.03039999996</v>
      </c>
      <c r="E10" s="143">
        <v>7.4000000000000003E-3</v>
      </c>
      <c r="F10" s="142">
        <f>$B10*E10</f>
        <v>148491.11136000001</v>
      </c>
      <c r="G10" s="143">
        <v>3.5999999999999999E-3</v>
      </c>
      <c r="H10" s="142">
        <f>$B10*G10</f>
        <v>72238.919039999993</v>
      </c>
      <c r="K10" t="s">
        <v>118</v>
      </c>
      <c r="L10">
        <v>3</v>
      </c>
      <c r="M10" s="13"/>
    </row>
    <row r="11" spans="1:38" x14ac:dyDescent="0.3">
      <c r="A11" t="s">
        <v>9</v>
      </c>
      <c r="B11" s="145">
        <v>40189145.380999997</v>
      </c>
      <c r="C11" s="144">
        <f>E11+G11</f>
        <v>1.0999999999999999E-2</v>
      </c>
      <c r="D11" s="142">
        <f>$B11*C11</f>
        <v>442080.59919099993</v>
      </c>
      <c r="E11" s="143">
        <v>7.4000000000000003E-3</v>
      </c>
      <c r="F11" s="142">
        <f>$B11*E11</f>
        <v>297399.6758194</v>
      </c>
      <c r="G11" s="143">
        <v>3.5999999999999999E-3</v>
      </c>
      <c r="H11" s="142">
        <f>$B11*G11</f>
        <v>144680.92337159999</v>
      </c>
      <c r="K11" t="s">
        <v>119</v>
      </c>
      <c r="M11" s="13"/>
    </row>
    <row r="12" spans="1:38" x14ac:dyDescent="0.3">
      <c r="A12" t="s">
        <v>54</v>
      </c>
      <c r="B12" s="145">
        <v>1507281.3333333333</v>
      </c>
      <c r="C12" s="144">
        <f>E12+G12</f>
        <v>1.0999999999999999E-2</v>
      </c>
      <c r="D12" s="142">
        <f>$B12*C12</f>
        <v>16580.094666666664</v>
      </c>
      <c r="E12" s="143">
        <v>7.4000000000000003E-3</v>
      </c>
      <c r="F12" s="142">
        <f>$B12*E12</f>
        <v>11153.881866666667</v>
      </c>
      <c r="G12" s="143">
        <v>3.5999999999999999E-3</v>
      </c>
      <c r="H12" s="142">
        <f>$B12*G12</f>
        <v>5426.2127999999993</v>
      </c>
      <c r="K12" t="s">
        <v>120</v>
      </c>
      <c r="M12" s="13"/>
    </row>
    <row r="13" spans="1:38" x14ac:dyDescent="0.3">
      <c r="B13" s="141"/>
      <c r="C13" s="140"/>
      <c r="D13" s="140"/>
      <c r="E13" s="140"/>
      <c r="F13" s="140"/>
      <c r="G13" s="140"/>
      <c r="H13" s="140"/>
    </row>
    <row r="14" spans="1:38" ht="15.6" customHeight="1" x14ac:dyDescent="0.3">
      <c r="A14" t="s">
        <v>45</v>
      </c>
      <c r="B14" s="1">
        <f>SUM(B9:B13)</f>
        <v>70436071.184194431</v>
      </c>
      <c r="C14" s="132">
        <f>D14/$B14</f>
        <v>1.0999999999999999E-2</v>
      </c>
      <c r="D14" s="1">
        <f>SUM(D9:D13)</f>
        <v>774796.78302613867</v>
      </c>
      <c r="E14" s="132">
        <f>F14/$B14</f>
        <v>7.4000000000000012E-3</v>
      </c>
      <c r="F14" s="1">
        <f>SUM(F9:F13)</f>
        <v>521226.92676303885</v>
      </c>
      <c r="G14" s="132">
        <f>H14/$B14</f>
        <v>3.6000000000000003E-3</v>
      </c>
      <c r="H14" s="1">
        <f>SUM(H9:H13)</f>
        <v>253569.85626309997</v>
      </c>
    </row>
    <row r="16" spans="1:38" ht="15.6" x14ac:dyDescent="0.3">
      <c r="A16" s="139"/>
      <c r="B16" s="280" t="s">
        <v>121</v>
      </c>
      <c r="C16" s="280"/>
      <c r="D16" s="280"/>
      <c r="E16" s="280"/>
      <c r="F16" s="280"/>
      <c r="G16" s="280"/>
      <c r="H16" s="280"/>
    </row>
    <row r="17" spans="1:12" ht="15.6" x14ac:dyDescent="0.3">
      <c r="A17" s="139"/>
      <c r="B17" s="281" t="s">
        <v>113</v>
      </c>
      <c r="C17" s="283" t="s">
        <v>114</v>
      </c>
      <c r="D17" s="284"/>
      <c r="E17" s="283" t="s">
        <v>25</v>
      </c>
      <c r="F17" s="284"/>
      <c r="G17" s="283" t="s">
        <v>115</v>
      </c>
      <c r="H17" s="284"/>
    </row>
    <row r="18" spans="1:12" ht="15.6" x14ac:dyDescent="0.3">
      <c r="A18" s="139"/>
      <c r="B18" s="282"/>
      <c r="C18" s="285"/>
      <c r="D18" s="286"/>
      <c r="E18" s="285"/>
      <c r="F18" s="286"/>
      <c r="G18" s="285"/>
      <c r="H18" s="286"/>
      <c r="K18" t="s">
        <v>118</v>
      </c>
      <c r="L18">
        <v>3</v>
      </c>
    </row>
    <row r="19" spans="1:12" ht="15.6" x14ac:dyDescent="0.3">
      <c r="A19" s="139"/>
      <c r="B19" s="282"/>
      <c r="C19" s="287"/>
      <c r="D19" s="288"/>
      <c r="E19" s="287"/>
      <c r="F19" s="288"/>
      <c r="G19" s="287"/>
      <c r="H19" s="288"/>
      <c r="K19" t="s">
        <v>118</v>
      </c>
      <c r="L19">
        <v>3</v>
      </c>
    </row>
    <row r="20" spans="1:12" x14ac:dyDescent="0.3">
      <c r="A20" s="138" t="s">
        <v>122</v>
      </c>
      <c r="B20" s="136" t="s">
        <v>56</v>
      </c>
      <c r="C20" s="137" t="s">
        <v>117</v>
      </c>
      <c r="D20" s="136" t="s">
        <v>56</v>
      </c>
      <c r="E20" s="137" t="s">
        <v>117</v>
      </c>
      <c r="F20" s="136" t="s">
        <v>56</v>
      </c>
      <c r="G20" s="137" t="s">
        <v>117</v>
      </c>
      <c r="H20" s="136" t="s">
        <v>56</v>
      </c>
      <c r="K20" t="s">
        <v>118</v>
      </c>
      <c r="L20">
        <v>3</v>
      </c>
    </row>
    <row r="21" spans="1:12" x14ac:dyDescent="0.3">
      <c r="A21" t="s">
        <v>20</v>
      </c>
      <c r="B21" s="135">
        <v>49647822</v>
      </c>
      <c r="C21" s="134">
        <f>E21+G21</f>
        <v>5.0000000000000001E-3</v>
      </c>
      <c r="D21" s="1">
        <f>$B21*C21</f>
        <v>248239.11000000002</v>
      </c>
      <c r="E21" s="133">
        <v>3.3999999999999998E-3</v>
      </c>
      <c r="F21" s="1">
        <f>$B21*E21</f>
        <v>168802.59479999999</v>
      </c>
      <c r="G21" s="133">
        <v>1.6000000000000001E-3</v>
      </c>
      <c r="H21" s="1">
        <f>$B21*G21</f>
        <v>79436.515200000009</v>
      </c>
    </row>
    <row r="22" spans="1:12" x14ac:dyDescent="0.3">
      <c r="A22" t="s">
        <v>18</v>
      </c>
      <c r="B22" s="135">
        <v>68052213.952333301</v>
      </c>
      <c r="C22" s="134">
        <f>E22+G22</f>
        <v>5.0000000000000001E-3</v>
      </c>
      <c r="D22" s="1">
        <f>$B22*C22</f>
        <v>340261.06976166653</v>
      </c>
      <c r="E22" s="133">
        <v>3.3999999999999998E-3</v>
      </c>
      <c r="F22" s="1">
        <f>$B22*E22</f>
        <v>231377.52743793323</v>
      </c>
      <c r="G22" s="133">
        <v>1.6000000000000001E-3</v>
      </c>
      <c r="H22" s="1">
        <f>$B22*G22</f>
        <v>108883.54232373329</v>
      </c>
      <c r="K22" t="s">
        <v>119</v>
      </c>
    </row>
    <row r="23" spans="1:12" x14ac:dyDescent="0.3">
      <c r="A23" t="s">
        <v>9</v>
      </c>
      <c r="B23" s="135">
        <v>342056585</v>
      </c>
      <c r="C23" s="134">
        <f>E23+G23</f>
        <v>5.0000000000000001E-3</v>
      </c>
      <c r="D23" s="1">
        <f>$B23*C23</f>
        <v>1710282.925</v>
      </c>
      <c r="E23" s="133">
        <v>3.3999999999999998E-3</v>
      </c>
      <c r="F23" s="1">
        <f>$B23*E23</f>
        <v>1162992.389</v>
      </c>
      <c r="G23" s="133">
        <v>1.6000000000000001E-3</v>
      </c>
      <c r="H23" s="1">
        <f>$B23*G23</f>
        <v>547290.53600000008</v>
      </c>
      <c r="K23" t="s">
        <v>118</v>
      </c>
      <c r="L23">
        <v>3</v>
      </c>
    </row>
    <row r="24" spans="1:12" x14ac:dyDescent="0.3">
      <c r="A24" t="s">
        <v>19</v>
      </c>
      <c r="B24" s="135">
        <v>50429293</v>
      </c>
      <c r="C24" s="134">
        <f>E24+G24</f>
        <v>5.0000000000000001E-3</v>
      </c>
      <c r="D24" s="1">
        <f>$B24*C24</f>
        <v>252146.465</v>
      </c>
      <c r="E24" s="133">
        <v>3.3999999999999998E-3</v>
      </c>
      <c r="F24" s="1">
        <f>$B24*E24</f>
        <v>171459.5962</v>
      </c>
      <c r="G24" s="133">
        <v>1.6000000000000001E-3</v>
      </c>
      <c r="H24" s="1">
        <f>$B24*G24</f>
        <v>80686.868800000011</v>
      </c>
      <c r="K24" t="s">
        <v>120</v>
      </c>
    </row>
    <row r="25" spans="1:12" x14ac:dyDescent="0.3">
      <c r="E25" s="76"/>
    </row>
    <row r="26" spans="1:12" x14ac:dyDescent="0.3">
      <c r="A26" t="s">
        <v>45</v>
      </c>
      <c r="B26" s="1">
        <f>SUM(B21:B25)</f>
        <v>510185913.95233333</v>
      </c>
      <c r="C26" s="132">
        <f>D26/$B26</f>
        <v>4.9999999999999992E-3</v>
      </c>
      <c r="D26" s="1">
        <f>SUM(D21:D25)</f>
        <v>2550929.5697616665</v>
      </c>
      <c r="E26" s="132">
        <f>F26/$B26</f>
        <v>3.3999999999999998E-3</v>
      </c>
      <c r="F26" s="1">
        <f>SUM(F21:F25)</f>
        <v>1734632.1074379333</v>
      </c>
      <c r="G26" s="132">
        <f>H26/$B26</f>
        <v>1.6000000000000001E-3</v>
      </c>
      <c r="H26" s="1">
        <f>SUM(H21:H25)</f>
        <v>816297.46232373337</v>
      </c>
    </row>
  </sheetData>
  <mergeCells count="12">
    <mergeCell ref="E5:F7"/>
    <mergeCell ref="G5:H7"/>
    <mergeCell ref="A1:H1"/>
    <mergeCell ref="A2:H2"/>
    <mergeCell ref="B4:H4"/>
    <mergeCell ref="B5:B7"/>
    <mergeCell ref="C5:D7"/>
    <mergeCell ref="B16:H16"/>
    <mergeCell ref="B17:B19"/>
    <mergeCell ref="C17:D19"/>
    <mergeCell ref="E17:F19"/>
    <mergeCell ref="G17:H19"/>
  </mergeCells>
  <conditionalFormatting sqref="A26:B26 D26 F26 H26">
    <cfRule type="expression" dxfId="161" priority="54">
      <formula>IF(AND($K24="C",$L24=3),TRUE,FALSE)</formula>
    </cfRule>
  </conditionalFormatting>
  <conditionalFormatting sqref="A13:F14 A21:H21 A11:H11">
    <cfRule type="expression" dxfId="160" priority="39">
      <formula>IF($K9="TL",TRUE,FALSE)</formula>
    </cfRule>
  </conditionalFormatting>
  <conditionalFormatting sqref="A9:H9">
    <cfRule type="expression" dxfId="159" priority="61">
      <formula>IF(AND($K10="C",$L10=2),TRUE,FALSE)</formula>
    </cfRule>
    <cfRule type="expression" dxfId="158" priority="60">
      <formula>IF($K10="SC",TRUE,FALSE)</formula>
    </cfRule>
    <cfRule type="expression" dxfId="157" priority="59">
      <formula>IF(OR($K10="ST",$K10="TL"),TRUE,FALSE)</formula>
    </cfRule>
    <cfRule type="expression" dxfId="156" priority="58">
      <formula>IF(AND($K10&lt;&gt;"",$K10&lt;&gt;"ST"),TRUE,FALSE)</formula>
    </cfRule>
    <cfRule type="expression" dxfId="155" priority="57">
      <formula>IF(AND($K10="C",$L10=3),TRUE,FALSE)</formula>
    </cfRule>
    <cfRule type="expression" dxfId="154" priority="56">
      <formula>IF($K10="ST",TRUE,FALSE)</formula>
    </cfRule>
    <cfRule type="expression" dxfId="153" priority="55">
      <formula>IF($K10="TL",TRUE,FALSE)</formula>
    </cfRule>
  </conditionalFormatting>
  <conditionalFormatting sqref="A10:H10">
    <cfRule type="expression" dxfId="152" priority="21">
      <formula>IF($K6="SC",TRUE,FALSE)</formula>
    </cfRule>
    <cfRule type="expression" dxfId="151" priority="15">
      <formula>IF(AND($K6="C",$L6=2),TRUE,FALSE)</formula>
    </cfRule>
    <cfRule type="expression" dxfId="150" priority="16">
      <formula>IF($K6="TL",TRUE,FALSE)</formula>
    </cfRule>
    <cfRule type="expression" dxfId="149" priority="17">
      <formula>IF($K6="ST",TRUE,FALSE)</formula>
    </cfRule>
    <cfRule type="expression" dxfId="148" priority="18">
      <formula>IF(AND($K6="C",$L6=3),TRUE,FALSE)</formula>
    </cfRule>
    <cfRule type="expression" dxfId="147" priority="19">
      <formula>IF(AND($K6&lt;&gt;"",$K6&lt;&gt;"ST"),TRUE,FALSE)</formula>
    </cfRule>
    <cfRule type="expression" dxfId="146" priority="20">
      <formula>IF(OR($K6="ST",$K6="TL"),TRUE,FALSE)</formula>
    </cfRule>
  </conditionalFormatting>
  <conditionalFormatting sqref="A11:H11 A13:F14 A21:H21">
    <cfRule type="expression" dxfId="145" priority="40">
      <formula>IF($K9="ST",TRUE,FALSE)</formula>
    </cfRule>
  </conditionalFormatting>
  <conditionalFormatting sqref="A11:H11 A21:H21 A26:D26 A13:F14">
    <cfRule type="expression" dxfId="144" priority="44">
      <formula>IF($K9="SC",TRUE,FALSE)</formula>
    </cfRule>
  </conditionalFormatting>
  <conditionalFormatting sqref="A11:H11 A21:H21">
    <cfRule type="expression" dxfId="143" priority="43">
      <formula>IF(OR($K9="ST",$K9="TL"),TRUE,FALSE)</formula>
    </cfRule>
    <cfRule type="expression" dxfId="142" priority="42">
      <formula>IF(AND($K9&lt;&gt;"",$K9&lt;&gt;"ST"),TRUE,FALSE)</formula>
    </cfRule>
  </conditionalFormatting>
  <conditionalFormatting sqref="A11:H11 D13:H13 A13:C14 D14:F14 A21:H21 H14">
    <cfRule type="expression" dxfId="141" priority="51">
      <formula>IF(AND($K9="C",$L9=2),TRUE,FALSE)</formula>
    </cfRule>
  </conditionalFormatting>
  <conditionalFormatting sqref="A12:H12">
    <cfRule type="expression" dxfId="140" priority="8">
      <formula>IF(#REF!="TL",TRUE,FALSE)</formula>
    </cfRule>
    <cfRule type="expression" dxfId="139" priority="9">
      <formula>IF(#REF!="ST",TRUE,FALSE)</formula>
    </cfRule>
    <cfRule type="expression" dxfId="138" priority="10">
      <formula>IF(AND(#REF!="C",#REF!=3),TRUE,FALSE)</formula>
    </cfRule>
    <cfRule type="expression" dxfId="137" priority="11">
      <formula>IF(AND(#REF!&lt;&gt;"",#REF!&lt;&gt;"ST"),TRUE,FALSE)</formula>
    </cfRule>
    <cfRule type="expression" dxfId="136" priority="12">
      <formula>IF(OR(#REF!="ST",#REF!="TL"),TRUE,FALSE)</formula>
    </cfRule>
    <cfRule type="expression" dxfId="135" priority="13">
      <formula>IF(#REF!="SC",TRUE,FALSE)</formula>
    </cfRule>
    <cfRule type="expression" dxfId="134" priority="14">
      <formula>IF(AND(#REF!="C",#REF!=2),TRUE,FALSE)</formula>
    </cfRule>
  </conditionalFormatting>
  <conditionalFormatting sqref="A13:H14">
    <cfRule type="expression" dxfId="133" priority="32">
      <formula>IF(AND($K11="C",$L11=3),TRUE,FALSE)</formula>
    </cfRule>
    <cfRule type="expression" dxfId="132" priority="33">
      <formula>IF(AND($K11&lt;&gt;"",$K11&lt;&gt;"ST"),TRUE,FALSE)</formula>
    </cfRule>
    <cfRule type="expression" dxfId="131" priority="34">
      <formula>IF(OR($K11="ST",$K11="TL"),TRUE,FALSE)</formula>
    </cfRule>
  </conditionalFormatting>
  <conditionalFormatting sqref="A21:H21 A11:H11 C26">
    <cfRule type="expression" dxfId="130" priority="41">
      <formula>IF(AND($K9="C",$L9=3),TRUE,FALSE)</formula>
    </cfRule>
  </conditionalFormatting>
  <conditionalFormatting sqref="A21:H21">
    <cfRule type="expression" dxfId="129" priority="2">
      <formula>IF($K23="ST",TRUE,FALSE)</formula>
    </cfRule>
    <cfRule type="expression" dxfId="128" priority="3">
      <formula>IF(AND($K23="C",$L23=3),TRUE,FALSE)</formula>
    </cfRule>
    <cfRule type="expression" dxfId="127" priority="4">
      <formula>IF(AND($K23&lt;&gt;"",$K23&lt;&gt;"ST"),TRUE,FALSE)</formula>
    </cfRule>
    <cfRule type="expression" dxfId="126" priority="5">
      <formula>IF(OR($K23="ST",$K23="TL"),TRUE,FALSE)</formula>
    </cfRule>
    <cfRule type="expression" dxfId="125" priority="6">
      <formula>IF($K23="SC",TRUE,FALSE)</formula>
    </cfRule>
    <cfRule type="expression" dxfId="124" priority="7">
      <formula>IF(AND($K23="C",$L23=2),TRUE,FALSE)</formula>
    </cfRule>
    <cfRule type="expression" dxfId="123" priority="1">
      <formula>IF($K23="TL",TRUE,FALSE)</formula>
    </cfRule>
  </conditionalFormatting>
  <conditionalFormatting sqref="A22:H23">
    <cfRule type="expression" dxfId="122" priority="65">
      <formula>IF(AND($K19&lt;&gt;"",$K19&lt;&gt;"ST"),TRUE,FALSE)</formula>
    </cfRule>
    <cfRule type="expression" dxfId="121" priority="64">
      <formula>IF(AND($K19="C",$L19=3),TRUE,FALSE)</formula>
    </cfRule>
    <cfRule type="expression" dxfId="120" priority="62">
      <formula>IF($K19="TL",TRUE,FALSE)</formula>
    </cfRule>
    <cfRule type="expression" dxfId="119" priority="67">
      <formula>IF($K19="SC",TRUE,FALSE)</formula>
    </cfRule>
    <cfRule type="expression" dxfId="118" priority="63">
      <formula>IF($K19="ST",TRUE,FALSE)</formula>
    </cfRule>
    <cfRule type="expression" dxfId="117" priority="66">
      <formula>IF(OR($K19="ST",$K19="TL"),TRUE,FALSE)</formula>
    </cfRule>
    <cfRule type="expression" dxfId="116" priority="53">
      <formula>IF(AND($K19="C",$L19=2),TRUE,FALSE)</formula>
    </cfRule>
  </conditionalFormatting>
  <conditionalFormatting sqref="A23:H23">
    <cfRule type="expression" dxfId="115" priority="74">
      <formula>IF(AND($K18="C",$L18=2),TRUE,FALSE)</formula>
    </cfRule>
    <cfRule type="expression" dxfId="114" priority="73">
      <formula>IF($K18="SC",TRUE,FALSE)</formula>
    </cfRule>
    <cfRule type="expression" dxfId="113" priority="72">
      <formula>IF(OR($K18="ST",$K18="TL"),TRUE,FALSE)</formula>
    </cfRule>
    <cfRule type="expression" dxfId="112" priority="71">
      <formula>IF(AND($K18&lt;&gt;"",$K18&lt;&gt;"ST"),TRUE,FALSE)</formula>
    </cfRule>
    <cfRule type="expression" dxfId="111" priority="70">
      <formula>IF(AND($K18="C",$L18=3),TRUE,FALSE)</formula>
    </cfRule>
    <cfRule type="expression" dxfId="110" priority="69">
      <formula>IF($K18="ST",TRUE,FALSE)</formula>
    </cfRule>
    <cfRule type="expression" dxfId="109" priority="68">
      <formula>IF($K18="TL",TRUE,FALSE)</formula>
    </cfRule>
  </conditionalFormatting>
  <conditionalFormatting sqref="A24:H24">
    <cfRule type="expression" dxfId="108" priority="79">
      <formula>IF(AND($K20&lt;&gt;"",$K20&lt;&gt;"ST"),TRUE,FALSE)</formula>
    </cfRule>
    <cfRule type="expression" dxfId="107" priority="80">
      <formula>IF(OR($K20="ST",$K20="TL"),TRUE,FALSE)</formula>
    </cfRule>
    <cfRule type="expression" dxfId="106" priority="81">
      <formula>IF($K20="SC",TRUE,FALSE)</formula>
    </cfRule>
    <cfRule type="expression" dxfId="105" priority="75">
      <formula>IF(AND($K20="C",$L20=2),TRUE,FALSE)</formula>
    </cfRule>
    <cfRule type="expression" dxfId="104" priority="76">
      <formula>IF($K20="TL",TRUE,FALSE)</formula>
    </cfRule>
    <cfRule type="expression" dxfId="103" priority="77">
      <formula>IF($K20="ST",TRUE,FALSE)</formula>
    </cfRule>
    <cfRule type="expression" dxfId="102" priority="78">
      <formula>IF(AND($K20="C",$L20=3),TRUE,FALSE)</formula>
    </cfRule>
  </conditionalFormatting>
  <conditionalFormatting sqref="A25:H25">
    <cfRule type="expression" dxfId="101" priority="52">
      <formula>IF(AND($K22="C",$L22=2),TRUE,FALSE)</formula>
    </cfRule>
    <cfRule type="expression" dxfId="100" priority="50">
      <formula>IF($K22="SC",TRUE,FALSE)</formula>
    </cfRule>
    <cfRule type="expression" dxfId="99" priority="49">
      <formula>IF(OR($K22="ST",$K22="TL"),TRUE,FALSE)</formula>
    </cfRule>
    <cfRule type="expression" dxfId="98" priority="48">
      <formula>IF(AND($K22&lt;&gt;"",$K22&lt;&gt;"ST"),TRUE,FALSE)</formula>
    </cfRule>
    <cfRule type="expression" dxfId="97" priority="47">
      <formula>IF(AND($K22="C",$L22=3),TRUE,FALSE)</formula>
    </cfRule>
    <cfRule type="expression" dxfId="96" priority="46">
      <formula>IF($K22="ST",TRUE,FALSE)</formula>
    </cfRule>
    <cfRule type="expression" dxfId="95" priority="45">
      <formula>IF($K22="TL",TRUE,FALSE)</formula>
    </cfRule>
  </conditionalFormatting>
  <conditionalFormatting sqref="A26:H26">
    <cfRule type="expression" dxfId="94" priority="22">
      <formula>IF(AND($K24="C",$L24=2),TRUE,FALSE)</formula>
    </cfRule>
    <cfRule type="expression" dxfId="93" priority="23">
      <formula>IF($K24="TL",TRUE,FALSE)</formula>
    </cfRule>
    <cfRule type="expression" dxfId="92" priority="27">
      <formula>IF(OR($K24="ST",$K24="TL"),TRUE,FALSE)</formula>
    </cfRule>
    <cfRule type="expression" dxfId="91" priority="26">
      <formula>IF(AND($K24&lt;&gt;"",$K24&lt;&gt;"ST"),TRUE,FALSE)</formula>
    </cfRule>
    <cfRule type="expression" dxfId="90" priority="24">
      <formula>IF($K24="ST",TRUE,FALSE)</formula>
    </cfRule>
  </conditionalFormatting>
  <conditionalFormatting sqref="E14">
    <cfRule type="expression" dxfId="89" priority="36">
      <formula>IF(AND($K12="C",$L12=2),TRUE,FALSE)</formula>
    </cfRule>
  </conditionalFormatting>
  <conditionalFormatting sqref="E26">
    <cfRule type="expression" dxfId="88" priority="37">
      <formula>IF(AND($K24="C",$L24=3),TRUE,FALSE)</formula>
    </cfRule>
  </conditionalFormatting>
  <conditionalFormatting sqref="E26:F26">
    <cfRule type="expression" dxfId="87" priority="38">
      <formula>IF($K24="SC",TRUE,FALSE)</formula>
    </cfRule>
  </conditionalFormatting>
  <conditionalFormatting sqref="G14">
    <cfRule type="expression" dxfId="86" priority="29">
      <formula>IF(AND($K12="C",$L12=2),TRUE,FALSE)</formula>
    </cfRule>
  </conditionalFormatting>
  <conditionalFormatting sqref="G26">
    <cfRule type="expression" dxfId="85" priority="25">
      <formula>IF(AND($K24="C",$L24=3),TRUE,FALSE)</formula>
    </cfRule>
  </conditionalFormatting>
  <conditionalFormatting sqref="G13:H14">
    <cfRule type="expression" dxfId="84" priority="30">
      <formula>IF($K11="TL",TRUE,FALSE)</formula>
    </cfRule>
    <cfRule type="expression" dxfId="83" priority="35">
      <formula>IF($K11="SC",TRUE,FALSE)</formula>
    </cfRule>
    <cfRule type="expression" dxfId="82" priority="31">
      <formula>IF($K11="ST",TRUE,FALSE)</formula>
    </cfRule>
  </conditionalFormatting>
  <conditionalFormatting sqref="G26:H26">
    <cfRule type="expression" dxfId="81" priority="28">
      <formula>IF($K24="SC",TRUE,FALSE)</formula>
    </cfRule>
  </conditionalFormatting>
  <pageMargins left="0.7" right="0.7" top="0.75" bottom="0.75" header="0.3" footer="0.3"/>
  <pageSetup orientation="portrait" r:id="rId1"/>
  <ignoredErrors>
    <ignoredError sqref="C14:G14 C26:G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13FFA-85EA-4C9E-92D9-FE377C1794C6}">
  <sheetPr>
    <pageSetUpPr fitToPage="1"/>
  </sheetPr>
  <dimension ref="A1:AK26"/>
  <sheetViews>
    <sheetView showGridLines="0" topLeftCell="A14" zoomScaleNormal="100" workbookViewId="0"/>
  </sheetViews>
  <sheetFormatPr defaultRowHeight="14.4" x14ac:dyDescent="0.3"/>
  <cols>
    <col min="1" max="1" width="17" customWidth="1"/>
    <col min="2" max="3" width="16.5546875" customWidth="1"/>
    <col min="4" max="4" width="16.5546875" style="2" customWidth="1"/>
    <col min="5" max="5" width="10.5546875" style="153" customWidth="1"/>
    <col min="6" max="8" width="16.5546875" customWidth="1"/>
    <col min="9" max="9" width="10.5546875" customWidth="1"/>
    <col min="10" max="12" width="16.5546875" customWidth="1"/>
    <col min="13" max="13" width="10.5546875" customWidth="1"/>
    <col min="14" max="15" width="8.88671875" hidden="1" customWidth="1"/>
  </cols>
  <sheetData>
    <row r="1" spans="1:37" ht="23.4" x14ac:dyDescent="0.3">
      <c r="A1" s="155" t="s">
        <v>123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</row>
    <row r="2" spans="1:37" ht="18" x14ac:dyDescent="0.3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</row>
    <row r="3" spans="1:37" ht="15.6" x14ac:dyDescent="0.3">
      <c r="A3" s="139"/>
      <c r="B3" s="280" t="s">
        <v>124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37" ht="15.6" customHeight="1" x14ac:dyDescent="0.3">
      <c r="A4" s="139"/>
      <c r="B4" s="283" t="s">
        <v>125</v>
      </c>
      <c r="C4" s="291"/>
      <c r="D4" s="291"/>
      <c r="E4" s="284"/>
      <c r="F4" s="291" t="s">
        <v>126</v>
      </c>
      <c r="G4" s="291"/>
      <c r="H4" s="291"/>
      <c r="I4" s="284"/>
      <c r="J4" s="291" t="s">
        <v>127</v>
      </c>
      <c r="K4" s="291"/>
      <c r="L4" s="291"/>
      <c r="M4" s="284"/>
    </row>
    <row r="5" spans="1:37" ht="15.6" x14ac:dyDescent="0.3">
      <c r="A5" s="139"/>
      <c r="B5" s="285"/>
      <c r="C5" s="292"/>
      <c r="D5" s="292"/>
      <c r="E5" s="286"/>
      <c r="F5" s="292"/>
      <c r="G5" s="292"/>
      <c r="H5" s="292"/>
      <c r="I5" s="286"/>
      <c r="J5" s="292"/>
      <c r="K5" s="292"/>
      <c r="L5" s="292"/>
      <c r="M5" s="286"/>
    </row>
    <row r="6" spans="1:37" ht="15.6" x14ac:dyDescent="0.3">
      <c r="A6" s="139"/>
      <c r="B6" s="287"/>
      <c r="C6" s="293"/>
      <c r="D6" s="293"/>
      <c r="E6" s="288"/>
      <c r="F6" s="293"/>
      <c r="G6" s="293"/>
      <c r="H6" s="293"/>
      <c r="I6" s="288"/>
      <c r="J6" s="293"/>
      <c r="K6" s="293"/>
      <c r="L6" s="293"/>
      <c r="M6" s="288"/>
    </row>
    <row r="7" spans="1:37" ht="29.1" customHeight="1" x14ac:dyDescent="0.3">
      <c r="A7" s="138" t="s">
        <v>128</v>
      </c>
      <c r="B7" s="136" t="s">
        <v>129</v>
      </c>
      <c r="C7" s="136" t="s">
        <v>130</v>
      </c>
      <c r="D7" s="136" t="s">
        <v>131</v>
      </c>
      <c r="E7" s="136" t="s">
        <v>132</v>
      </c>
      <c r="F7" s="154" t="s">
        <v>129</v>
      </c>
      <c r="G7" s="136" t="s">
        <v>130</v>
      </c>
      <c r="H7" s="136" t="s">
        <v>131</v>
      </c>
      <c r="I7" s="136" t="s">
        <v>132</v>
      </c>
      <c r="J7" s="154" t="s">
        <v>129</v>
      </c>
      <c r="K7" s="136" t="s">
        <v>130</v>
      </c>
      <c r="L7" s="136" t="s">
        <v>131</v>
      </c>
      <c r="M7" s="136" t="s">
        <v>132</v>
      </c>
    </row>
    <row r="8" spans="1:37" x14ac:dyDescent="0.3">
      <c r="A8" t="s">
        <v>9</v>
      </c>
      <c r="B8" s="1">
        <f>Goals!B11</f>
        <v>40189145.380999997</v>
      </c>
      <c r="C8" s="1">
        <f>G8+K8</f>
        <v>1031094.9894792489</v>
      </c>
      <c r="D8" s="2">
        <f>Goals!C11</f>
        <v>1.0999999999999999E-2</v>
      </c>
      <c r="E8" s="2">
        <f>IFERROR(C8/B8,0)</f>
        <v>2.5656056621863724E-2</v>
      </c>
      <c r="F8" s="1">
        <f>B8</f>
        <v>40189145.380999997</v>
      </c>
      <c r="G8" s="1">
        <f>'[1]Statewide Totals'!C26</f>
        <v>928939.81372026389</v>
      </c>
      <c r="H8" s="2">
        <f>Goals!E11</f>
        <v>7.4000000000000003E-3</v>
      </c>
      <c r="I8" s="2">
        <f>IFERROR(G8 /F8,0)</f>
        <v>2.3114196754216967E-2</v>
      </c>
      <c r="J8" s="1">
        <f>B8</f>
        <v>40189145.380999997</v>
      </c>
      <c r="K8" s="1">
        <f>'Performance vs Goals'!K9</f>
        <v>102155.175758985</v>
      </c>
      <c r="L8" s="2">
        <f>Goals!G11</f>
        <v>3.5999999999999999E-3</v>
      </c>
      <c r="M8" s="2">
        <f>IFERROR(K8 /J8,0)</f>
        <v>2.5418598676467587E-3</v>
      </c>
      <c r="N8" t="s">
        <v>118</v>
      </c>
      <c r="O8">
        <v>3</v>
      </c>
    </row>
    <row r="9" spans="1:37" x14ac:dyDescent="0.3">
      <c r="A9" t="s">
        <v>10</v>
      </c>
      <c r="B9" s="1">
        <f>Goals!B10</f>
        <v>20066366.399999999</v>
      </c>
      <c r="C9" s="1">
        <f>G9+K9</f>
        <v>287832.64550611237</v>
      </c>
      <c r="D9" s="2">
        <f>Goals!C10</f>
        <v>1.0999999999999999E-2</v>
      </c>
      <c r="E9" s="2">
        <f>IFERROR(C9/B9,0)</f>
        <v>1.4344034179806085E-2</v>
      </c>
      <c r="F9" s="1">
        <f>B9</f>
        <v>20066366.399999999</v>
      </c>
      <c r="G9" s="1">
        <f>'[1]Statewide Totals'!C24</f>
        <v>262203.10347340337</v>
      </c>
      <c r="H9" s="2">
        <f>Goals!E10</f>
        <v>7.4000000000000003E-3</v>
      </c>
      <c r="I9" s="2">
        <f>IFERROR(G9 /F9,0)</f>
        <v>1.3066795365273675E-2</v>
      </c>
      <c r="J9" s="1">
        <f>B9</f>
        <v>20066366.399999999</v>
      </c>
      <c r="K9" s="1">
        <f>'Performance vs Goals'!K10</f>
        <v>25629.542032709</v>
      </c>
      <c r="L9" s="2">
        <f>Goals!G10</f>
        <v>3.5999999999999999E-3</v>
      </c>
      <c r="M9" s="2">
        <f>IFERROR(K9 /J9,0)</f>
        <v>1.2772388145324109E-3</v>
      </c>
      <c r="N9" t="s">
        <v>118</v>
      </c>
      <c r="O9">
        <v>3</v>
      </c>
    </row>
    <row r="10" spans="1:37" x14ac:dyDescent="0.3">
      <c r="A10" t="s">
        <v>11</v>
      </c>
      <c r="B10" s="1">
        <f>Goals!B9</f>
        <v>8673278.0698611047</v>
      </c>
      <c r="C10" s="1">
        <f>G10+K10</f>
        <v>84101.046704113498</v>
      </c>
      <c r="D10" s="2">
        <f>Goals!C9</f>
        <v>1.0999999999999999E-2</v>
      </c>
      <c r="E10" s="2">
        <f>IFERROR(C10/B10,0)</f>
        <v>9.6965698582128258E-3</v>
      </c>
      <c r="F10" s="1">
        <f>B10</f>
        <v>8673278.0698611047</v>
      </c>
      <c r="G10" s="1">
        <f>'[1]Statewide Totals'!C22</f>
        <v>78330.784081883496</v>
      </c>
      <c r="H10" s="2">
        <f>Goals!E9</f>
        <v>7.4000000000000003E-3</v>
      </c>
      <c r="I10" s="2">
        <f>IFERROR(G10 /F10,0)</f>
        <v>9.0312778456943781E-3</v>
      </c>
      <c r="J10" s="1">
        <f>B10</f>
        <v>8673278.0698611047</v>
      </c>
      <c r="K10" s="1">
        <f>'Performance vs Goals'!K11</f>
        <v>5770.2626222299996</v>
      </c>
      <c r="L10" s="2">
        <f>Goals!G9</f>
        <v>3.5999999999999999E-3</v>
      </c>
      <c r="M10" s="2">
        <f>IFERROR(K10 /J10,0)</f>
        <v>6.6529201251844629E-4</v>
      </c>
      <c r="N10" t="s">
        <v>118</v>
      </c>
      <c r="O10">
        <v>3</v>
      </c>
    </row>
    <row r="11" spans="1:37" x14ac:dyDescent="0.3">
      <c r="A11" t="s">
        <v>54</v>
      </c>
      <c r="B11" s="1">
        <f>Goals!B12</f>
        <v>1507281.3333333333</v>
      </c>
      <c r="C11" s="1">
        <f>G11+K11</f>
        <v>15747.357177022272</v>
      </c>
      <c r="D11" s="2">
        <f>Goals!C12</f>
        <v>1.0999999999999999E-2</v>
      </c>
      <c r="E11" s="2">
        <f>IFERROR(C11/B11,0)</f>
        <v>1.0447523517190513E-2</v>
      </c>
      <c r="F11" s="1">
        <f>B11</f>
        <v>1507281.3333333333</v>
      </c>
      <c r="G11" s="1">
        <f>'[1]Statewide Totals'!C27</f>
        <v>15594.566177022272</v>
      </c>
      <c r="H11" s="2">
        <f>Goals!E12</f>
        <v>7.4000000000000003E-3</v>
      </c>
      <c r="I11" s="2">
        <f>IFERROR(G11 /F11,0)</f>
        <v>1.034615491623922E-2</v>
      </c>
      <c r="J11" s="1">
        <f>B11</f>
        <v>1507281.3333333333</v>
      </c>
      <c r="K11" s="1">
        <f>'Performance vs Goals'!K12</f>
        <v>152.791</v>
      </c>
      <c r="L11" s="2">
        <f>Goals!G12</f>
        <v>3.5999999999999999E-3</v>
      </c>
      <c r="M11" s="2">
        <f>IFERROR(K11 /J11,0)</f>
        <v>1.0136860095129332E-4</v>
      </c>
      <c r="N11" t="s">
        <v>118</v>
      </c>
      <c r="O11">
        <v>3</v>
      </c>
    </row>
    <row r="12" spans="1:37" x14ac:dyDescent="0.3">
      <c r="H12" s="2"/>
      <c r="I12" s="2"/>
      <c r="L12" s="2"/>
      <c r="M12" s="153"/>
      <c r="N12" t="s">
        <v>119</v>
      </c>
    </row>
    <row r="13" spans="1:37" x14ac:dyDescent="0.3">
      <c r="A13" t="s">
        <v>45</v>
      </c>
      <c r="B13" s="1">
        <f>SUM(B8:B12)</f>
        <v>70436071.184194431</v>
      </c>
      <c r="C13" s="1">
        <f>SUM(C8:C12)</f>
        <v>1418776.0388664971</v>
      </c>
      <c r="D13" s="2">
        <f>Goals!C14</f>
        <v>1.0999999999999999E-2</v>
      </c>
      <c r="E13" s="2">
        <f>IFERROR(C13/B13,0)</f>
        <v>2.0142748097864729E-2</v>
      </c>
      <c r="F13" s="1">
        <f>SUM(F8:F12)</f>
        <v>70436071.184194431</v>
      </c>
      <c r="G13" s="1">
        <f>SUM(G8:G12)</f>
        <v>1285068.2674525729</v>
      </c>
      <c r="H13" s="2">
        <f>Goals!E14</f>
        <v>7.4000000000000012E-3</v>
      </c>
      <c r="I13" s="2">
        <f>IFERROR(G13/F13,0)</f>
        <v>1.8244462614787876E-2</v>
      </c>
      <c r="J13" s="1">
        <f>SUM(J8:J12)</f>
        <v>70436071.184194431</v>
      </c>
      <c r="K13" s="1">
        <f>SUM(K8:K12)</f>
        <v>133707.771413924</v>
      </c>
      <c r="L13" s="2">
        <f>Goals!G14</f>
        <v>3.6000000000000003E-3</v>
      </c>
      <c r="M13" s="2">
        <f>IFERROR(K13/J13,0)</f>
        <v>1.8982854830768511E-3</v>
      </c>
      <c r="N13" t="s">
        <v>120</v>
      </c>
    </row>
    <row r="16" spans="1:37" ht="15.6" x14ac:dyDescent="0.3">
      <c r="A16" s="139"/>
      <c r="B16" s="280" t="s">
        <v>133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</row>
    <row r="17" spans="1:15" ht="15.6" customHeight="1" x14ac:dyDescent="0.3">
      <c r="A17" s="139"/>
      <c r="B17" s="283" t="s">
        <v>125</v>
      </c>
      <c r="C17" s="291"/>
      <c r="D17" s="291"/>
      <c r="E17" s="284"/>
      <c r="F17" s="291" t="s">
        <v>126</v>
      </c>
      <c r="G17" s="291"/>
      <c r="H17" s="291"/>
      <c r="I17" s="284"/>
      <c r="J17" s="291" t="s">
        <v>127</v>
      </c>
      <c r="K17" s="291"/>
      <c r="L17" s="291"/>
      <c r="M17" s="284"/>
    </row>
    <row r="18" spans="1:15" ht="15.6" x14ac:dyDescent="0.3">
      <c r="A18" s="139"/>
      <c r="B18" s="285"/>
      <c r="C18" s="292"/>
      <c r="D18" s="292"/>
      <c r="E18" s="286"/>
      <c r="F18" s="292"/>
      <c r="G18" s="292"/>
      <c r="H18" s="292"/>
      <c r="I18" s="286"/>
      <c r="J18" s="292"/>
      <c r="K18" s="292"/>
      <c r="L18" s="292"/>
      <c r="M18" s="286"/>
    </row>
    <row r="19" spans="1:15" ht="15.6" x14ac:dyDescent="0.3">
      <c r="A19" s="139"/>
      <c r="B19" s="287"/>
      <c r="C19" s="293"/>
      <c r="D19" s="293"/>
      <c r="E19" s="288"/>
      <c r="F19" s="293"/>
      <c r="G19" s="293"/>
      <c r="H19" s="293"/>
      <c r="I19" s="288"/>
      <c r="J19" s="293"/>
      <c r="K19" s="293"/>
      <c r="L19" s="293"/>
      <c r="M19" s="288"/>
    </row>
    <row r="20" spans="1:15" ht="30" customHeight="1" x14ac:dyDescent="0.3">
      <c r="A20" s="138" t="s">
        <v>128</v>
      </c>
      <c r="B20" s="136" t="s">
        <v>129</v>
      </c>
      <c r="C20" s="136" t="s">
        <v>130</v>
      </c>
      <c r="D20" s="136" t="s">
        <v>131</v>
      </c>
      <c r="E20" s="136" t="s">
        <v>132</v>
      </c>
      <c r="F20" s="154" t="s">
        <v>129</v>
      </c>
      <c r="G20" s="136" t="s">
        <v>130</v>
      </c>
      <c r="H20" s="136" t="s">
        <v>131</v>
      </c>
      <c r="I20" s="136" t="s">
        <v>132</v>
      </c>
      <c r="J20" s="154" t="s">
        <v>129</v>
      </c>
      <c r="K20" s="136" t="s">
        <v>130</v>
      </c>
      <c r="L20" s="136" t="s">
        <v>131</v>
      </c>
      <c r="M20" s="136" t="s">
        <v>132</v>
      </c>
    </row>
    <row r="21" spans="1:15" x14ac:dyDescent="0.3">
      <c r="A21" t="s">
        <v>9</v>
      </c>
      <c r="B21" s="1">
        <f>Goals!B23</f>
        <v>342056585</v>
      </c>
      <c r="C21" s="1">
        <f>G21+K21</f>
        <v>2245405.4085268015</v>
      </c>
      <c r="D21" s="2">
        <f>Goals!C23</f>
        <v>5.0000000000000001E-3</v>
      </c>
      <c r="E21" s="2">
        <f>IFERROR(C21/B21,0)</f>
        <v>6.564426784904028E-3</v>
      </c>
      <c r="F21" s="1">
        <f>B21</f>
        <v>342056585</v>
      </c>
      <c r="G21" s="1">
        <f>'[1]Statewide Totals'!B40</f>
        <v>2096704.2765568017</v>
      </c>
      <c r="H21" s="2">
        <f>Goals!E23</f>
        <v>3.3999999999999998E-3</v>
      </c>
      <c r="I21" s="2">
        <f>IFERROR(G21/F21,0)</f>
        <v>6.1297000803443146E-3</v>
      </c>
      <c r="J21" s="1">
        <f>B21</f>
        <v>342056585</v>
      </c>
      <c r="K21" s="1">
        <f>'Performance vs Goals'!K22</f>
        <v>148701.13196999999</v>
      </c>
      <c r="L21" s="2">
        <f>Goals!G23</f>
        <v>1.6000000000000001E-3</v>
      </c>
      <c r="M21" s="2">
        <f>IFERROR(K21/J21,0)</f>
        <v>4.3472670455971485E-4</v>
      </c>
      <c r="N21" t="s">
        <v>118</v>
      </c>
      <c r="O21">
        <v>3</v>
      </c>
    </row>
    <row r="22" spans="1:15" x14ac:dyDescent="0.3">
      <c r="A22" t="s">
        <v>18</v>
      </c>
      <c r="B22" s="1">
        <f>Goals!B22</f>
        <v>68052213.952333301</v>
      </c>
      <c r="C22" s="1">
        <f>G22+K22</f>
        <v>521168.65499000001</v>
      </c>
      <c r="D22" s="2">
        <f>Goals!C22</f>
        <v>5.0000000000000001E-3</v>
      </c>
      <c r="E22" s="2">
        <f>IFERROR(C22/B22,0)</f>
        <v>7.65836443403662E-3</v>
      </c>
      <c r="F22" s="1">
        <f>B22</f>
        <v>68052213.952333301</v>
      </c>
      <c r="G22" s="1">
        <f>'[1]Statewide Totals'!B39</f>
        <v>454680</v>
      </c>
      <c r="H22" s="2">
        <f>Goals!E22</f>
        <v>3.3999999999999998E-3</v>
      </c>
      <c r="I22" s="2">
        <f>IFERROR(G22/F22,0)</f>
        <v>6.6813403061137351E-3</v>
      </c>
      <c r="J22" s="1">
        <f>B22</f>
        <v>68052213.952333301</v>
      </c>
      <c r="K22" s="1">
        <f>'Performance vs Goals'!K23</f>
        <v>66488.654989999995</v>
      </c>
      <c r="L22" s="2">
        <f>Goals!G22</f>
        <v>1.6000000000000001E-3</v>
      </c>
      <c r="M22" s="2">
        <f>IFERROR(K22/J22,0)</f>
        <v>9.7702412792288447E-4</v>
      </c>
      <c r="N22" t="s">
        <v>118</v>
      </c>
      <c r="O22">
        <v>3</v>
      </c>
    </row>
    <row r="23" spans="1:15" x14ac:dyDescent="0.3">
      <c r="A23" t="s">
        <v>19</v>
      </c>
      <c r="B23" s="1">
        <f>Goals!B24</f>
        <v>50429293</v>
      </c>
      <c r="C23" s="1">
        <f>G23+K23</f>
        <v>327543.88364963519</v>
      </c>
      <c r="D23" s="2">
        <f>Goals!C24</f>
        <v>5.0000000000000001E-3</v>
      </c>
      <c r="E23" s="2">
        <f>IFERROR(C23/B23,0)</f>
        <v>6.4951115545013724E-3</v>
      </c>
      <c r="F23" s="1">
        <f>B23</f>
        <v>50429293</v>
      </c>
      <c r="G23" s="1">
        <f>'[1]Statewide Totals'!B42</f>
        <v>312771.14409963519</v>
      </c>
      <c r="H23" s="2">
        <f>Goals!E24</f>
        <v>3.3999999999999998E-3</v>
      </c>
      <c r="I23" s="2">
        <f>IFERROR(G23/F23,0)</f>
        <v>6.2021719023432507E-3</v>
      </c>
      <c r="J23" s="1">
        <f>B23</f>
        <v>50429293</v>
      </c>
      <c r="K23" s="1">
        <f>'Performance vs Goals'!K24</f>
        <v>14772.73955</v>
      </c>
      <c r="L23" s="2">
        <f>Goals!G24</f>
        <v>1.6000000000000001E-3</v>
      </c>
      <c r="M23" s="2">
        <f>IFERROR(K23/J23,0)</f>
        <v>2.9293965215812165E-4</v>
      </c>
      <c r="N23" t="s">
        <v>118</v>
      </c>
      <c r="O23">
        <v>3</v>
      </c>
    </row>
    <row r="24" spans="1:15" x14ac:dyDescent="0.3">
      <c r="A24" t="s">
        <v>20</v>
      </c>
      <c r="B24" s="1">
        <f>Goals!B21</f>
        <v>49647822</v>
      </c>
      <c r="C24" s="1">
        <f>G24+K24</f>
        <v>206945.73045599493</v>
      </c>
      <c r="D24" s="2">
        <f>Goals!C21</f>
        <v>5.0000000000000001E-3</v>
      </c>
      <c r="E24" s="2">
        <f>IFERROR(C24/B24,0)</f>
        <v>4.1682740978243706E-3</v>
      </c>
      <c r="F24" s="1">
        <f>B24</f>
        <v>49647822</v>
      </c>
      <c r="G24" s="1">
        <f>'[1]Statewide Totals'!B38</f>
        <v>199777.40565599492</v>
      </c>
      <c r="H24" s="2">
        <f>Goals!E21</f>
        <v>3.3999999999999998E-3</v>
      </c>
      <c r="I24" s="2">
        <f>IFERROR(G24/F24,0)</f>
        <v>4.0238906281930137E-3</v>
      </c>
      <c r="J24" s="1">
        <f>B24</f>
        <v>49647822</v>
      </c>
      <c r="K24" s="1">
        <f>'Performance vs Goals'!K25</f>
        <v>7168.3248000000003</v>
      </c>
      <c r="L24" s="2">
        <f>Goals!G21</f>
        <v>1.6000000000000001E-3</v>
      </c>
      <c r="M24" s="2">
        <f>IFERROR(K24/J24,0)</f>
        <v>1.4438346963135663E-4</v>
      </c>
      <c r="N24" t="s">
        <v>118</v>
      </c>
      <c r="O24">
        <v>3</v>
      </c>
    </row>
    <row r="25" spans="1:15" x14ac:dyDescent="0.3">
      <c r="F25" s="1"/>
      <c r="H25" s="2"/>
      <c r="I25" s="153"/>
      <c r="L25" s="2"/>
      <c r="M25" s="153"/>
      <c r="N25" t="s">
        <v>119</v>
      </c>
    </row>
    <row r="26" spans="1:15" x14ac:dyDescent="0.3">
      <c r="A26" t="s">
        <v>45</v>
      </c>
      <c r="B26" s="1">
        <f>SUM(B21:B25)</f>
        <v>510185913.95233333</v>
      </c>
      <c r="C26" s="1">
        <f>SUM(C21:C25)</f>
        <v>3301063.6776224319</v>
      </c>
      <c r="D26" s="2">
        <f>Goals!C26</f>
        <v>4.9999999999999992E-3</v>
      </c>
      <c r="E26" s="2">
        <f>IFERROR(C26/B26,0)</f>
        <v>6.4703152073517468E-3</v>
      </c>
      <c r="F26" s="1">
        <f>SUM(F21:F25)</f>
        <v>510185913.95233333</v>
      </c>
      <c r="G26" s="1">
        <f>SUM(G21:G25)</f>
        <v>3063932.8263124321</v>
      </c>
      <c r="H26" s="2">
        <f>Goals!E26</f>
        <v>3.3999999999999998E-3</v>
      </c>
      <c r="I26" s="2">
        <f>IFERROR(G26/F26,0)</f>
        <v>6.0055221881306102E-3</v>
      </c>
      <c r="J26" s="1">
        <f>SUM(J21:J25)</f>
        <v>510185913.95233333</v>
      </c>
      <c r="K26" s="1">
        <f>SUM(K21:K25)</f>
        <v>237130.85131</v>
      </c>
      <c r="L26" s="2">
        <f>Goals!G26</f>
        <v>1.6000000000000001E-3</v>
      </c>
      <c r="M26" s="2">
        <f>IFERROR(K26/J26,0)</f>
        <v>4.6479301922113658E-4</v>
      </c>
      <c r="N26" t="s">
        <v>120</v>
      </c>
    </row>
  </sheetData>
  <mergeCells count="9">
    <mergeCell ref="B16:M16"/>
    <mergeCell ref="B17:E19"/>
    <mergeCell ref="F17:I19"/>
    <mergeCell ref="J17:M19"/>
    <mergeCell ref="A2:M2"/>
    <mergeCell ref="B3:M3"/>
    <mergeCell ref="B4:E6"/>
    <mergeCell ref="F4:I6"/>
    <mergeCell ref="J4:M6"/>
  </mergeCells>
  <conditionalFormatting sqref="A8:C13 E8:G13 I8:K13 M8:M13 A14:M15 I21:K26 M21:M26 A21:B22 B23:B25 A23:A26">
    <cfRule type="expression" dxfId="80" priority="61">
      <formula>IF(AND($N8="C",$O8=2),TRUE,FALSE)</formula>
    </cfRule>
  </conditionalFormatting>
  <conditionalFormatting sqref="A8:C13 E8:G13 I8:K13 M8:M13 A14:M15 I21:K26 M21:M26 A21:C24 A25:B25 A26">
    <cfRule type="expression" dxfId="79" priority="65">
      <formula>IF($N8="SC",TRUE,FALSE)</formula>
    </cfRule>
  </conditionalFormatting>
  <conditionalFormatting sqref="A8:C13 E8:G13 I8:K13 M8:M13 A14:M15 I21:K26 M21:M26">
    <cfRule type="expression" dxfId="78" priority="64">
      <formula>IF(OR($N8="ST",$N8="TL"),TRUE,FALSE)</formula>
    </cfRule>
    <cfRule type="expression" dxfId="77" priority="63">
      <formula>IF(AND($N8&lt;&gt;"",$N8&lt;&gt;"ST"),TRUE,FALSE)</formula>
    </cfRule>
    <cfRule type="expression" dxfId="76" priority="62">
      <formula>IF(AND($N8="C",$O8=3),TRUE,FALSE)</formula>
    </cfRule>
    <cfRule type="expression" dxfId="75" priority="60">
      <formula>IF($N8="ST",TRUE,FALSE)</formula>
    </cfRule>
    <cfRule type="expression" dxfId="74" priority="59">
      <formula>IF($N8="TL",TRUE,FALSE)</formula>
    </cfRule>
  </conditionalFormatting>
  <conditionalFormatting sqref="A21:C25 A27:M358">
    <cfRule type="expression" dxfId="73" priority="55">
      <formula>IF(OR($N21="ST",$N21="TL"),TRUE,FALSE)</formula>
    </cfRule>
    <cfRule type="expression" dxfId="72" priority="54">
      <formula>IF(AND($N21&lt;&gt;"",$N21&lt;&gt;"ST"),TRUE,FALSE)</formula>
    </cfRule>
  </conditionalFormatting>
  <conditionalFormatting sqref="A21:C26 E21:G26">
    <cfRule type="expression" dxfId="71" priority="46">
      <formula>IF(AND($N21="C",$O21=3),TRUE,FALSE)</formula>
    </cfRule>
    <cfRule type="expression" dxfId="70" priority="44">
      <formula>IF($N21="ST",TRUE,FALSE)</formula>
    </cfRule>
    <cfRule type="expression" dxfId="69" priority="43">
      <formula>IF($N21="TL",TRUE,FALSE)</formula>
    </cfRule>
  </conditionalFormatting>
  <conditionalFormatting sqref="A26:D26">
    <cfRule type="expression" dxfId="68" priority="34">
      <formula>IF(OR($N26="ST",$N26="TL"),TRUE,FALSE)</formula>
    </cfRule>
    <cfRule type="expression" dxfId="67" priority="33">
      <formula>IF(AND($N26&lt;&gt;"",$N26&lt;&gt;"ST"),TRUE,FALSE)</formula>
    </cfRule>
  </conditionalFormatting>
  <conditionalFormatting sqref="A27:M358 C21:C25">
    <cfRule type="expression" dxfId="66" priority="52">
      <formula>IF(AND($N21="C",$O21=2),TRUE,FALSE)</formula>
    </cfRule>
  </conditionalFormatting>
  <conditionalFormatting sqref="A27:M358 C25">
    <cfRule type="expression" dxfId="65" priority="56">
      <formula>IF($N25="SC",TRUE,FALSE)</formula>
    </cfRule>
  </conditionalFormatting>
  <conditionalFormatting sqref="A27:M358">
    <cfRule type="expression" dxfId="64" priority="53">
      <formula>IF(AND($N27="C",$O27=3),TRUE,FALSE)</formula>
    </cfRule>
    <cfRule type="expression" dxfId="63" priority="51">
      <formula>IF($N27="ST",TRUE,FALSE)</formula>
    </cfRule>
    <cfRule type="expression" dxfId="62" priority="50">
      <formula>IF($N27="TL",TRUE,FALSE)</formula>
    </cfRule>
  </conditionalFormatting>
  <conditionalFormatting sqref="D13">
    <cfRule type="expression" dxfId="61" priority="40">
      <formula>IF(AND($N13&lt;&gt;"",$N13&lt;&gt;"ST"),TRUE,FALSE)</formula>
    </cfRule>
    <cfRule type="expression" dxfId="60" priority="39">
      <formula>IF(AND($N13="C",$O13=3),TRUE,FALSE)</formula>
    </cfRule>
    <cfRule type="expression" dxfId="59" priority="38">
      <formula>IF(AND($N13="C",$O13=2),TRUE,FALSE)</formula>
    </cfRule>
    <cfRule type="expression" dxfId="58" priority="37">
      <formula>IF($N13="ST",TRUE,FALSE)</formula>
    </cfRule>
    <cfRule type="expression" dxfId="57" priority="36">
      <formula>IF($N13="TL",TRUE,FALSE)</formula>
    </cfRule>
    <cfRule type="expression" dxfId="56" priority="41">
      <formula>IF(OR($N13="ST",$N13="TL"),TRUE,FALSE)</formula>
    </cfRule>
    <cfRule type="expression" dxfId="55" priority="42">
      <formula>IF($N13="SC",TRUE,FALSE)</formula>
    </cfRule>
  </conditionalFormatting>
  <conditionalFormatting sqref="D14:D15 D27">
    <cfRule type="dataBar" priority="5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{177BD232-C283-4CEF-8DE0-5221BB88B65E}</x14:id>
        </ext>
      </extLst>
    </cfRule>
  </conditionalFormatting>
  <conditionalFormatting sqref="D26">
    <cfRule type="expression" dxfId="54" priority="31">
      <formula>IF(AND($N26="C",$O26=2),TRUE,FALSE)</formula>
    </cfRule>
    <cfRule type="expression" dxfId="53" priority="30">
      <formula>IF($N26="ST",TRUE,FALSE)</formula>
    </cfRule>
    <cfRule type="expression" dxfId="52" priority="29">
      <formula>IF($N26="TL",TRUE,FALSE)</formula>
    </cfRule>
    <cfRule type="expression" dxfId="51" priority="32">
      <formula>IF(AND($N26="C",$O26=3),TRUE,FALSE)</formula>
    </cfRule>
    <cfRule type="expression" dxfId="50" priority="35">
      <formula>IF($N26="SC",TRUE,FALSE)</formula>
    </cfRule>
  </conditionalFormatting>
  <conditionalFormatting sqref="D28:D358">
    <cfRule type="dataBar" priority="5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{7C0B70E7-72E4-4DAD-B07E-66F387E7FA9F}</x14:id>
        </ext>
      </extLst>
    </cfRule>
  </conditionalFormatting>
  <conditionalFormatting sqref="E21:G26 B26:C26">
    <cfRule type="expression" dxfId="49" priority="49">
      <formula>IF($N21="SC",TRUE,FALSE)</formula>
    </cfRule>
    <cfRule type="expression" dxfId="48" priority="45">
      <formula>IF(AND($N21="C",$O21=2),TRUE,FALSE)</formula>
    </cfRule>
  </conditionalFormatting>
  <conditionalFormatting sqref="E21:G26">
    <cfRule type="expression" dxfId="47" priority="48">
      <formula>IF(OR($N21="ST",$N21="TL"),TRUE,FALSE)</formula>
    </cfRule>
    <cfRule type="expression" dxfId="46" priority="47">
      <formula>IF(AND($N21&lt;&gt;"",$N21&lt;&gt;"ST"),TRUE,FALSE)</formula>
    </cfRule>
  </conditionalFormatting>
  <conditionalFormatting sqref="H13">
    <cfRule type="expression" dxfId="45" priority="28">
      <formula>IF($N13="SC",TRUE,FALSE)</formula>
    </cfRule>
    <cfRule type="expression" dxfId="44" priority="27">
      <formula>IF(OR($N13="ST",$N13="TL"),TRUE,FALSE)</formula>
    </cfRule>
    <cfRule type="expression" dxfId="43" priority="25">
      <formula>IF(AND($N13="C",$O13=3),TRUE,FALSE)</formula>
    </cfRule>
    <cfRule type="expression" dxfId="42" priority="26">
      <formula>IF(AND($N13&lt;&gt;"",$N13&lt;&gt;"ST"),TRUE,FALSE)</formula>
    </cfRule>
    <cfRule type="expression" dxfId="41" priority="24">
      <formula>IF(AND($N13="C",$O13=2),TRUE,FALSE)</formula>
    </cfRule>
    <cfRule type="expression" dxfId="40" priority="23">
      <formula>IF($N13="ST",TRUE,FALSE)</formula>
    </cfRule>
    <cfRule type="expression" dxfId="39" priority="22">
      <formula>IF($N13="TL",TRUE,FALSE)</formula>
    </cfRule>
  </conditionalFormatting>
  <conditionalFormatting sqref="H26">
    <cfRule type="expression" dxfId="38" priority="21">
      <formula>IF($N26="SC",TRUE,FALSE)</formula>
    </cfRule>
    <cfRule type="expression" dxfId="37" priority="20">
      <formula>IF(OR($N26="ST",$N26="TL"),TRUE,FALSE)</formula>
    </cfRule>
    <cfRule type="expression" dxfId="36" priority="19">
      <formula>IF(AND($N26&lt;&gt;"",$N26&lt;&gt;"ST"),TRUE,FALSE)</formula>
    </cfRule>
    <cfRule type="expression" dxfId="35" priority="18">
      <formula>IF(AND($N26="C",$O26=3),TRUE,FALSE)</formula>
    </cfRule>
    <cfRule type="expression" dxfId="34" priority="16">
      <formula>IF($N26="ST",TRUE,FALSE)</formula>
    </cfRule>
    <cfRule type="expression" dxfId="33" priority="15">
      <formula>IF($N26="TL",TRUE,FALSE)</formula>
    </cfRule>
    <cfRule type="expression" dxfId="32" priority="17">
      <formula>IF(AND($N26="C",$O26=2),TRUE,FALSE)</formula>
    </cfRule>
  </conditionalFormatting>
  <conditionalFormatting sqref="L13">
    <cfRule type="expression" dxfId="31" priority="14">
      <formula>IF($N13="SC",TRUE,FALSE)</formula>
    </cfRule>
    <cfRule type="expression" dxfId="30" priority="9">
      <formula>IF($N13="ST",TRUE,FALSE)</formula>
    </cfRule>
    <cfRule type="expression" dxfId="29" priority="13">
      <formula>IF(OR($N13="ST",$N13="TL"),TRUE,FALSE)</formula>
    </cfRule>
    <cfRule type="expression" dxfId="28" priority="12">
      <formula>IF(AND($N13&lt;&gt;"",$N13&lt;&gt;"ST"),TRUE,FALSE)</formula>
    </cfRule>
    <cfRule type="expression" dxfId="27" priority="11">
      <formula>IF(AND($N13="C",$O13=3),TRUE,FALSE)</formula>
    </cfRule>
    <cfRule type="expression" dxfId="26" priority="10">
      <formula>IF(AND($N13="C",$O13=2),TRUE,FALSE)</formula>
    </cfRule>
    <cfRule type="expression" dxfId="25" priority="8">
      <formula>IF($N13="TL",TRUE,FALSE)</formula>
    </cfRule>
  </conditionalFormatting>
  <conditionalFormatting sqref="L26">
    <cfRule type="expression" dxfId="24" priority="2">
      <formula>IF($N26="ST",TRUE,FALSE)</formula>
    </cfRule>
    <cfRule type="expression" dxfId="23" priority="3">
      <formula>IF(AND($N26="C",$O26=2),TRUE,FALSE)</formula>
    </cfRule>
    <cfRule type="expression" dxfId="22" priority="4">
      <formula>IF(AND($N26="C",$O26=3),TRUE,FALSE)</formula>
    </cfRule>
    <cfRule type="expression" dxfId="21" priority="5">
      <formula>IF(AND($N26&lt;&gt;"",$N26&lt;&gt;"ST"),TRUE,FALSE)</formula>
    </cfRule>
    <cfRule type="expression" dxfId="20" priority="6">
      <formula>IF(OR($N26="ST",$N26="TL"),TRUE,FALSE)</formula>
    </cfRule>
    <cfRule type="expression" dxfId="19" priority="1">
      <formula>IF($N26="TL",TRUE,FALSE)</formula>
    </cfRule>
    <cfRule type="expression" dxfId="18" priority="7">
      <formula>IF($N26="SC",TRUE,FALSE)</formula>
    </cfRule>
  </conditionalFormatting>
  <pageMargins left="0.7" right="0.7" top="0.75" bottom="0.75" header="0.3" footer="0.3"/>
  <pageSetup scale="67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7BD232-C283-4CEF-8DE0-5221BB88B65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D14:D15 D27</xm:sqref>
        </x14:conditionalFormatting>
        <x14:conditionalFormatting xmlns:xm="http://schemas.microsoft.com/office/excel/2006/main">
          <x14:cfRule type="dataBar" id="{7C0B70E7-72E4-4DAD-B07E-66F387E7FA9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D28:D358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FE25C-825F-4643-AFBF-D46C6E865F7E}">
  <sheetPr>
    <pageSetUpPr fitToPage="1"/>
  </sheetPr>
  <dimension ref="A1:AK27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17" customWidth="1"/>
    <col min="2" max="3" width="16.5546875" customWidth="1"/>
    <col min="4" max="4" width="16.5546875" style="2" customWidth="1"/>
    <col min="5" max="5" width="10.5546875" style="153" customWidth="1"/>
    <col min="6" max="8" width="16.5546875" customWidth="1"/>
    <col min="9" max="9" width="10.5546875" customWidth="1"/>
    <col min="10" max="12" width="16.5546875" customWidth="1"/>
    <col min="13" max="13" width="10.5546875" customWidth="1"/>
    <col min="14" max="15" width="8.88671875" hidden="1" customWidth="1"/>
  </cols>
  <sheetData>
    <row r="1" spans="1:37" ht="23.4" x14ac:dyDescent="0.3">
      <c r="A1" s="155" t="s">
        <v>134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</row>
    <row r="2" spans="1:37" ht="18" x14ac:dyDescent="0.3">
      <c r="A2" s="297" t="s">
        <v>111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</row>
    <row r="3" spans="1:37" ht="12" customHeight="1" x14ac:dyDescent="0.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</row>
    <row r="4" spans="1:37" ht="15.6" x14ac:dyDescent="0.3">
      <c r="A4" s="139"/>
      <c r="B4" s="280" t="s">
        <v>135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1:37" ht="15.6" customHeight="1" x14ac:dyDescent="0.3">
      <c r="A5" s="139"/>
      <c r="B5" s="283" t="s">
        <v>125</v>
      </c>
      <c r="C5" s="291"/>
      <c r="D5" s="291"/>
      <c r="E5" s="284"/>
      <c r="F5" s="291" t="s">
        <v>126</v>
      </c>
      <c r="G5" s="291"/>
      <c r="H5" s="291"/>
      <c r="I5" s="284"/>
      <c r="J5" s="291" t="s">
        <v>127</v>
      </c>
      <c r="K5" s="291"/>
      <c r="L5" s="291"/>
      <c r="M5" s="284"/>
    </row>
    <row r="6" spans="1:37" ht="15.6" x14ac:dyDescent="0.3">
      <c r="A6" s="139"/>
      <c r="B6" s="285"/>
      <c r="C6" s="292"/>
      <c r="D6" s="292"/>
      <c r="E6" s="286"/>
      <c r="F6" s="292"/>
      <c r="G6" s="292"/>
      <c r="H6" s="292"/>
      <c r="I6" s="286"/>
      <c r="J6" s="292"/>
      <c r="K6" s="292"/>
      <c r="L6" s="292"/>
      <c r="M6" s="286"/>
    </row>
    <row r="7" spans="1:37" ht="15.6" x14ac:dyDescent="0.3">
      <c r="A7" s="139"/>
      <c r="B7" s="287"/>
      <c r="C7" s="293"/>
      <c r="D7" s="293"/>
      <c r="E7" s="288"/>
      <c r="F7" s="293"/>
      <c r="G7" s="293"/>
      <c r="H7" s="293"/>
      <c r="I7" s="288"/>
      <c r="J7" s="293"/>
      <c r="K7" s="293"/>
      <c r="L7" s="293"/>
      <c r="M7" s="288"/>
    </row>
    <row r="8" spans="1:37" ht="29.1" customHeight="1" x14ac:dyDescent="0.3">
      <c r="A8" s="138" t="s">
        <v>128</v>
      </c>
      <c r="B8" s="136" t="s">
        <v>136</v>
      </c>
      <c r="C8" s="136" t="s">
        <v>130</v>
      </c>
      <c r="D8" s="295" t="s">
        <v>137</v>
      </c>
      <c r="E8" s="296"/>
      <c r="F8" s="154" t="s">
        <v>136</v>
      </c>
      <c r="G8" s="136" t="s">
        <v>130</v>
      </c>
      <c r="H8" s="295" t="s">
        <v>137</v>
      </c>
      <c r="I8" s="296"/>
      <c r="J8" s="154" t="s">
        <v>136</v>
      </c>
      <c r="K8" s="136" t="s">
        <v>130</v>
      </c>
      <c r="L8" s="295" t="s">
        <v>137</v>
      </c>
      <c r="M8" s="296"/>
    </row>
    <row r="9" spans="1:37" x14ac:dyDescent="0.3">
      <c r="A9" t="s">
        <v>9</v>
      </c>
      <c r="B9" s="1">
        <f>Goals!D11</f>
        <v>442080.59919099993</v>
      </c>
      <c r="C9" s="1">
        <f>G9+K9</f>
        <v>1031094.9894792489</v>
      </c>
      <c r="D9">
        <f>IFERROR(C9/B9,0)</f>
        <v>2.3323687838057934</v>
      </c>
      <c r="E9" s="2">
        <f>IFERROR(C9/B9,0)</f>
        <v>2.3323687838057934</v>
      </c>
      <c r="F9" s="1">
        <f>Goals!F11</f>
        <v>297399.6758194</v>
      </c>
      <c r="G9" s="1">
        <f>'[1]Statewide Totals'!C26</f>
        <v>928939.81372026389</v>
      </c>
      <c r="H9">
        <f>IFERROR(G9 /F9,0)</f>
        <v>3.1235401019212112</v>
      </c>
      <c r="I9" s="2">
        <f>IFERROR(G9 /F9,0)</f>
        <v>3.1235401019212112</v>
      </c>
      <c r="J9" s="1">
        <f>Goals!H11</f>
        <v>144680.92337159999</v>
      </c>
      <c r="K9" s="156">
        <v>102155.175758985</v>
      </c>
      <c r="L9">
        <f>IFERROR(K9 /J9,0)</f>
        <v>0.706072185457433</v>
      </c>
      <c r="M9" s="2">
        <f>IFERROR(K9 /J9,0)</f>
        <v>0.706072185457433</v>
      </c>
      <c r="N9" t="s">
        <v>118</v>
      </c>
      <c r="O9">
        <v>3</v>
      </c>
    </row>
    <row r="10" spans="1:37" x14ac:dyDescent="0.3">
      <c r="A10" t="s">
        <v>10</v>
      </c>
      <c r="B10" s="1">
        <f>Goals!D10</f>
        <v>220730.03039999996</v>
      </c>
      <c r="C10" s="1">
        <f>G10+K10</f>
        <v>287832.64550611237</v>
      </c>
      <c r="D10">
        <f>IFERROR(C10/B10,0)</f>
        <v>1.3040031072550988</v>
      </c>
      <c r="E10" s="2">
        <f>IFERROR(C10/B10,0)</f>
        <v>1.3040031072550988</v>
      </c>
      <c r="F10" s="1">
        <f>Goals!F10</f>
        <v>148491.11136000001</v>
      </c>
      <c r="G10" s="1">
        <f>'[1]Statewide Totals'!C24</f>
        <v>262203.10347340337</v>
      </c>
      <c r="H10">
        <f>IFERROR(G10 /F10,0)</f>
        <v>1.7657831574694152</v>
      </c>
      <c r="I10" s="2">
        <f>IFERROR(G10 /F10,0)</f>
        <v>1.7657831574694152</v>
      </c>
      <c r="J10" s="1">
        <f>Goals!H10</f>
        <v>72238.919039999993</v>
      </c>
      <c r="K10" s="156">
        <v>25629.542032709</v>
      </c>
      <c r="L10">
        <f>IFERROR(K10 /J10,0)</f>
        <v>0.35478855959233635</v>
      </c>
      <c r="M10" s="2">
        <f>IFERROR(K10 /J10,0)</f>
        <v>0.35478855959233635</v>
      </c>
      <c r="N10" t="s">
        <v>118</v>
      </c>
      <c r="O10">
        <v>3</v>
      </c>
    </row>
    <row r="11" spans="1:37" x14ac:dyDescent="0.3">
      <c r="A11" t="s">
        <v>11</v>
      </c>
      <c r="B11" s="1">
        <f>Goals!D9</f>
        <v>95406.058768472139</v>
      </c>
      <c r="C11" s="1">
        <f>G11+K11</f>
        <v>84101.046704113498</v>
      </c>
      <c r="D11">
        <f>IFERROR(C11/B11,0)</f>
        <v>0.88150635074662054</v>
      </c>
      <c r="E11" s="2">
        <f>IFERROR(C11/B11,0)</f>
        <v>0.88150635074662054</v>
      </c>
      <c r="F11" s="1">
        <f>Goals!F9</f>
        <v>64182.257716972177</v>
      </c>
      <c r="G11" s="1">
        <f>'[1]Statewide Totals'!C22</f>
        <v>78330.784081883496</v>
      </c>
      <c r="H11">
        <f>IFERROR(G11 /F11,0)</f>
        <v>1.220442952120862</v>
      </c>
      <c r="I11" s="2">
        <f>IFERROR(G11 /F11,0)</f>
        <v>1.220442952120862</v>
      </c>
      <c r="J11" s="1">
        <f>Goals!H9</f>
        <v>31223.801051499977</v>
      </c>
      <c r="K11" s="156">
        <v>5770.2626222299996</v>
      </c>
      <c r="L11">
        <f>IFERROR(K11 /J11,0)</f>
        <v>0.18480333681067951</v>
      </c>
      <c r="M11" s="2">
        <f>IFERROR(K11 /J11,0)</f>
        <v>0.18480333681067951</v>
      </c>
      <c r="N11" t="s">
        <v>118</v>
      </c>
      <c r="O11">
        <v>3</v>
      </c>
    </row>
    <row r="12" spans="1:37" x14ac:dyDescent="0.3">
      <c r="A12" t="s">
        <v>54</v>
      </c>
      <c r="B12" s="1">
        <f>Goals!D12</f>
        <v>16580.094666666664</v>
      </c>
      <c r="C12" s="1">
        <f>G12+K12</f>
        <v>15747.357177022272</v>
      </c>
      <c r="D12">
        <f>IFERROR(C12/B12,0)</f>
        <v>0.94977486519913767</v>
      </c>
      <c r="E12" s="2">
        <f>IFERROR(C12/B12,0)</f>
        <v>0.94977486519913767</v>
      </c>
      <c r="F12" s="1">
        <f>Goals!F12</f>
        <v>11153.881866666667</v>
      </c>
      <c r="G12" s="1">
        <f>'[1]Statewide Totals'!C27</f>
        <v>15594.566177022272</v>
      </c>
      <c r="H12">
        <f>IFERROR(G12 /F12,0)</f>
        <v>1.3981290427350297</v>
      </c>
      <c r="I12" s="2">
        <f>IFERROR(G12 /F12,0)</f>
        <v>1.3981290427350297</v>
      </c>
      <c r="J12" s="159">
        <f>Goals!H12</f>
        <v>5426.2127999999993</v>
      </c>
      <c r="K12" s="156">
        <v>152.791</v>
      </c>
      <c r="L12">
        <f>IFERROR(K12 /J12,0)</f>
        <v>2.8157944708692591E-2</v>
      </c>
      <c r="M12" s="2">
        <f>IFERROR(K12 /J12,0)</f>
        <v>2.8157944708692591E-2</v>
      </c>
      <c r="N12" t="s">
        <v>118</v>
      </c>
      <c r="O12">
        <v>3</v>
      </c>
    </row>
    <row r="13" spans="1:37" x14ac:dyDescent="0.3">
      <c r="H13" s="2"/>
      <c r="I13" s="153"/>
      <c r="L13" s="2"/>
      <c r="M13" s="153"/>
      <c r="N13" t="s">
        <v>119</v>
      </c>
    </row>
    <row r="14" spans="1:37" x14ac:dyDescent="0.3">
      <c r="A14" t="s">
        <v>45</v>
      </c>
      <c r="B14" s="1">
        <f>SUM(B9:B13)</f>
        <v>774796.78302613879</v>
      </c>
      <c r="C14" s="1">
        <f>SUM(C9:C13)</f>
        <v>1418776.0388664971</v>
      </c>
      <c r="D14" s="1">
        <f>IFERROR(#REF! /#REF!,0)</f>
        <v>0</v>
      </c>
      <c r="E14" s="2">
        <f>IFERROR(C14/B14,0)</f>
        <v>1.8311589179877026</v>
      </c>
      <c r="F14" s="1">
        <f>SUM(F9:F13)</f>
        <v>521226.92676303879</v>
      </c>
      <c r="G14" s="1">
        <f>SUM(G9:G13)</f>
        <v>1285068.2674525729</v>
      </c>
      <c r="H14" s="1">
        <f>IFERROR(G14 /#REF!,0)</f>
        <v>0</v>
      </c>
      <c r="I14" s="2">
        <f>IFERROR(G14/F14,0)</f>
        <v>2.4654679209172805</v>
      </c>
      <c r="J14" s="1">
        <f>SUM(J9:J13)</f>
        <v>253569.85626309997</v>
      </c>
      <c r="K14" s="1">
        <f>SUM(K9:K13)</f>
        <v>133707.771413924</v>
      </c>
      <c r="L14" s="1">
        <f>IFERROR(K14 /#REF!,0)</f>
        <v>0</v>
      </c>
      <c r="M14" s="2">
        <f>IFERROR(K14/J14,0)</f>
        <v>0.52730152307690303</v>
      </c>
      <c r="N14" t="s">
        <v>120</v>
      </c>
    </row>
    <row r="15" spans="1:37" x14ac:dyDescent="0.3">
      <c r="J15" s="158"/>
    </row>
    <row r="16" spans="1:37" x14ac:dyDescent="0.3">
      <c r="J16" s="157"/>
    </row>
    <row r="17" spans="1:15" ht="15.6" x14ac:dyDescent="0.3">
      <c r="A17" s="139"/>
      <c r="B17" s="280" t="s">
        <v>138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</row>
    <row r="18" spans="1:15" ht="15.6" customHeight="1" x14ac:dyDescent="0.3">
      <c r="A18" s="139"/>
      <c r="B18" s="283" t="s">
        <v>125</v>
      </c>
      <c r="C18" s="291"/>
      <c r="D18" s="291"/>
      <c r="E18" s="284"/>
      <c r="F18" s="291" t="s">
        <v>126</v>
      </c>
      <c r="G18" s="291"/>
      <c r="H18" s="291"/>
      <c r="I18" s="284"/>
      <c r="J18" s="291" t="s">
        <v>127</v>
      </c>
      <c r="K18" s="291"/>
      <c r="L18" s="291"/>
      <c r="M18" s="284"/>
    </row>
    <row r="19" spans="1:15" ht="15.6" x14ac:dyDescent="0.3">
      <c r="A19" s="139"/>
      <c r="B19" s="285"/>
      <c r="C19" s="292"/>
      <c r="D19" s="292"/>
      <c r="E19" s="286"/>
      <c r="F19" s="292"/>
      <c r="G19" s="292"/>
      <c r="H19" s="292"/>
      <c r="I19" s="286"/>
      <c r="J19" s="292"/>
      <c r="K19" s="292"/>
      <c r="L19" s="292"/>
      <c r="M19" s="286"/>
    </row>
    <row r="20" spans="1:15" ht="15.6" x14ac:dyDescent="0.3">
      <c r="A20" s="139"/>
      <c r="B20" s="287"/>
      <c r="C20" s="293"/>
      <c r="D20" s="293"/>
      <c r="E20" s="288"/>
      <c r="F20" s="293"/>
      <c r="G20" s="293"/>
      <c r="H20" s="293"/>
      <c r="I20" s="288"/>
      <c r="J20" s="293"/>
      <c r="K20" s="293"/>
      <c r="L20" s="293"/>
      <c r="M20" s="288"/>
    </row>
    <row r="21" spans="1:15" ht="28.8" x14ac:dyDescent="0.3">
      <c r="A21" s="138" t="s">
        <v>128</v>
      </c>
      <c r="B21" s="136" t="s">
        <v>136</v>
      </c>
      <c r="C21" s="136" t="s">
        <v>130</v>
      </c>
      <c r="D21" s="295" t="s">
        <v>137</v>
      </c>
      <c r="E21" s="296"/>
      <c r="F21" s="154" t="s">
        <v>136</v>
      </c>
      <c r="G21" s="136" t="s">
        <v>130</v>
      </c>
      <c r="H21" s="295" t="s">
        <v>137</v>
      </c>
      <c r="I21" s="296"/>
      <c r="J21" s="154" t="s">
        <v>136</v>
      </c>
      <c r="K21" s="136" t="s">
        <v>130</v>
      </c>
      <c r="L21" s="295" t="s">
        <v>137</v>
      </c>
      <c r="M21" s="296"/>
    </row>
    <row r="22" spans="1:15" x14ac:dyDescent="0.3">
      <c r="A22" t="s">
        <v>9</v>
      </c>
      <c r="B22" s="1">
        <f>Goals!D23</f>
        <v>1710282.925</v>
      </c>
      <c r="C22" s="1">
        <f>G22+K22</f>
        <v>2245405.4085268015</v>
      </c>
      <c r="D22">
        <f>IFERROR(C22/B22,0)</f>
        <v>1.3128853569808057</v>
      </c>
      <c r="E22" s="2">
        <f>IFERROR(C22/B22,0)</f>
        <v>1.3128853569808057</v>
      </c>
      <c r="F22" s="1">
        <f>Goals!F23</f>
        <v>1162992.389</v>
      </c>
      <c r="G22" s="1">
        <f>'[1]Statewide Totals'!B40</f>
        <v>2096704.2765568017</v>
      </c>
      <c r="H22">
        <f>IFERROR(G22/F22,0)</f>
        <v>1.8028529648071514</v>
      </c>
      <c r="I22" s="2">
        <f>IFERROR(G22/F22,0)</f>
        <v>1.8028529648071514</v>
      </c>
      <c r="J22" s="1">
        <f>Goals!H23</f>
        <v>547290.53600000008</v>
      </c>
      <c r="K22" s="156">
        <v>148701.13196999999</v>
      </c>
      <c r="L22">
        <f>IFERROR(K22/J22,0)</f>
        <v>0.27170419034982174</v>
      </c>
      <c r="M22" s="2">
        <f>IFERROR(K22/J22,0)</f>
        <v>0.27170419034982174</v>
      </c>
      <c r="N22" t="s">
        <v>118</v>
      </c>
      <c r="O22">
        <v>3</v>
      </c>
    </row>
    <row r="23" spans="1:15" x14ac:dyDescent="0.3">
      <c r="A23" t="s">
        <v>18</v>
      </c>
      <c r="B23" s="1">
        <f>Goals!D22</f>
        <v>340261.06976166653</v>
      </c>
      <c r="C23" s="1">
        <f>G23+K23</f>
        <v>521168.65499000001</v>
      </c>
      <c r="D23">
        <f>IFERROR(C23/B23,0)</f>
        <v>1.5316728868073239</v>
      </c>
      <c r="E23" s="2">
        <f>IFERROR(C23/B23,0)</f>
        <v>1.5316728868073239</v>
      </c>
      <c r="F23" s="1">
        <f>Goals!F22</f>
        <v>231377.52743793323</v>
      </c>
      <c r="G23" s="1">
        <f>'[1]Statewide Totals'!B39</f>
        <v>454680</v>
      </c>
      <c r="H23">
        <f>IFERROR(G23/F23,0)</f>
        <v>1.9651000900334517</v>
      </c>
      <c r="I23" s="2">
        <f>IFERROR(G23/F23,0)</f>
        <v>1.9651000900334517</v>
      </c>
      <c r="J23" s="1">
        <f>Goals!H22</f>
        <v>108883.54232373329</v>
      </c>
      <c r="K23" s="156">
        <v>66488.654989999995</v>
      </c>
      <c r="L23">
        <f>IFERROR(K23/J23,0)</f>
        <v>0.61064007995180281</v>
      </c>
      <c r="M23" s="2">
        <f>IFERROR(K23/J23,0)</f>
        <v>0.61064007995180281</v>
      </c>
      <c r="N23" t="s">
        <v>118</v>
      </c>
      <c r="O23">
        <v>3</v>
      </c>
    </row>
    <row r="24" spans="1:15" x14ac:dyDescent="0.3">
      <c r="A24" t="s">
        <v>19</v>
      </c>
      <c r="B24" s="1">
        <f>Goals!D24</f>
        <v>252146.465</v>
      </c>
      <c r="C24" s="1">
        <f>G24+K24</f>
        <v>327543.88364963519</v>
      </c>
      <c r="D24">
        <f>IFERROR(C24/B24,0)</f>
        <v>1.2990223109002745</v>
      </c>
      <c r="E24" s="2">
        <f>IFERROR(C24/B24,0)</f>
        <v>1.2990223109002745</v>
      </c>
      <c r="F24" s="1">
        <f>Goals!F24</f>
        <v>171459.5962</v>
      </c>
      <c r="G24" s="1">
        <f>'[1]Statewide Totals'!B42</f>
        <v>312771.14409963519</v>
      </c>
      <c r="H24">
        <f>IFERROR(G24/F24,0)</f>
        <v>1.8241682065715443</v>
      </c>
      <c r="I24" s="2">
        <f>IFERROR(G24/F24,0)</f>
        <v>1.8241682065715443</v>
      </c>
      <c r="J24" s="1">
        <f>Goals!H24</f>
        <v>80686.868800000011</v>
      </c>
      <c r="K24" s="156">
        <v>14772.73955</v>
      </c>
      <c r="L24">
        <f>IFERROR(K24/J24,0)</f>
        <v>0.18308728259882603</v>
      </c>
      <c r="M24" s="2">
        <f>IFERROR(K24/J24,0)</f>
        <v>0.18308728259882603</v>
      </c>
      <c r="N24" t="s">
        <v>118</v>
      </c>
      <c r="O24">
        <v>3</v>
      </c>
    </row>
    <row r="25" spans="1:15" x14ac:dyDescent="0.3">
      <c r="A25" t="s">
        <v>20</v>
      </c>
      <c r="B25" s="1">
        <f>Goals!D21</f>
        <v>248239.11000000002</v>
      </c>
      <c r="C25" s="1">
        <f>G25+K25</f>
        <v>206945.73045599493</v>
      </c>
      <c r="D25">
        <f>IFERROR(C25/B25,0)</f>
        <v>0.83365481956487397</v>
      </c>
      <c r="E25" s="2">
        <f>IFERROR(C25/B25,0)</f>
        <v>0.83365481956487397</v>
      </c>
      <c r="F25" s="1">
        <f>Goals!F21</f>
        <v>168802.59479999999</v>
      </c>
      <c r="G25" s="1">
        <f>'[1]Statewide Totals'!B38</f>
        <v>199777.40565599492</v>
      </c>
      <c r="H25">
        <f>IFERROR(G25/F25,0)</f>
        <v>1.1834972435861806</v>
      </c>
      <c r="I25" s="2">
        <f>IFERROR(G25/F25,0)</f>
        <v>1.1834972435861806</v>
      </c>
      <c r="J25" s="1">
        <f>Goals!H21</f>
        <v>79436.515200000009</v>
      </c>
      <c r="K25" s="156">
        <v>7168.3248000000003</v>
      </c>
      <c r="L25">
        <f>IFERROR(K25/J25,0)</f>
        <v>9.0239668519597888E-2</v>
      </c>
      <c r="M25" s="2">
        <f>IFERROR(K25/J25,0)</f>
        <v>9.0239668519597888E-2</v>
      </c>
      <c r="N25" t="s">
        <v>118</v>
      </c>
      <c r="O25">
        <v>3</v>
      </c>
    </row>
    <row r="26" spans="1:15" x14ac:dyDescent="0.3">
      <c r="F26" s="1"/>
      <c r="H26" s="2"/>
      <c r="I26" s="153"/>
      <c r="L26" s="2"/>
      <c r="M26" s="153"/>
      <c r="N26" t="s">
        <v>119</v>
      </c>
    </row>
    <row r="27" spans="1:15" x14ac:dyDescent="0.3">
      <c r="A27" t="s">
        <v>45</v>
      </c>
      <c r="B27" s="1">
        <f>SUM(B22:B26)</f>
        <v>2550929.5697616665</v>
      </c>
      <c r="C27" s="1">
        <f>SUM(C22:C26)</f>
        <v>3301063.6776224319</v>
      </c>
      <c r="D27" s="1">
        <f>IFERROR(C27 /#REF!,0)</f>
        <v>0</v>
      </c>
      <c r="E27" s="2">
        <f>IFERROR(C27/B27,0)</f>
        <v>1.2940630414703493</v>
      </c>
      <c r="F27" s="1">
        <f>SUM(F22:F26)</f>
        <v>1734632.1074379333</v>
      </c>
      <c r="G27" s="1">
        <f>SUM(G22:G26)</f>
        <v>3063932.8263124321</v>
      </c>
      <c r="H27" s="1">
        <f>IFERROR(G27 /#REF!,0)</f>
        <v>0</v>
      </c>
      <c r="I27" s="2">
        <f>IFERROR(G27/F27,0)</f>
        <v>1.7663300553325323</v>
      </c>
      <c r="J27" s="1">
        <f>SUM(J22:J26)</f>
        <v>816297.46232373349</v>
      </c>
      <c r="K27" s="1">
        <f>SUM(K22:K26)</f>
        <v>237130.85131</v>
      </c>
      <c r="L27" s="1">
        <f>IFERROR(K27 /#REF!,0)</f>
        <v>0</v>
      </c>
      <c r="M27" s="2">
        <f>IFERROR(K27/J27,0)</f>
        <v>0.29049563701321029</v>
      </c>
      <c r="N27" t="s">
        <v>120</v>
      </c>
    </row>
  </sheetData>
  <mergeCells count="15">
    <mergeCell ref="A2:M2"/>
    <mergeCell ref="F5:I7"/>
    <mergeCell ref="J5:M7"/>
    <mergeCell ref="B5:E7"/>
    <mergeCell ref="B17:M17"/>
    <mergeCell ref="H8:I8"/>
    <mergeCell ref="L8:M8"/>
    <mergeCell ref="D8:E8"/>
    <mergeCell ref="B4:M4"/>
    <mergeCell ref="F18:I20"/>
    <mergeCell ref="J18:M20"/>
    <mergeCell ref="B18:E20"/>
    <mergeCell ref="H21:I21"/>
    <mergeCell ref="L21:M21"/>
    <mergeCell ref="D21:E21"/>
  </mergeCells>
  <conditionalFormatting sqref="A9:H13">
    <cfRule type="expression" dxfId="17" priority="43">
      <formula>IF($N9="SC",TRUE,FALSE)</formula>
    </cfRule>
    <cfRule type="expression" dxfId="16" priority="42">
      <formula>IF(AND($N9="C",$O9=2),TRUE,FALSE)</formula>
    </cfRule>
  </conditionalFormatting>
  <conditionalFormatting sqref="A9:M16">
    <cfRule type="expression" dxfId="15" priority="35">
      <formula>IF(AND($N9="C",$O9=3),TRUE,FALSE)</formula>
    </cfRule>
    <cfRule type="expression" dxfId="14" priority="33">
      <formula>IF($N9="ST",TRUE,FALSE)</formula>
    </cfRule>
    <cfRule type="expression" dxfId="13" priority="32">
      <formula>IF($N9="TL",TRUE,FALSE)</formula>
    </cfRule>
    <cfRule type="expression" dxfId="12" priority="37">
      <formula>IF(OR($N9="ST",$N9="TL"),TRUE,FALSE)</formula>
    </cfRule>
    <cfRule type="expression" dxfId="11" priority="36">
      <formula>IF(AND($N9&lt;&gt;"",$N9&lt;&gt;"ST"),TRUE,FALSE)</formula>
    </cfRule>
  </conditionalFormatting>
  <conditionalFormatting sqref="A22:M360">
    <cfRule type="expression" dxfId="10" priority="7">
      <formula>IF($N22="ST",TRUE,FALSE)</formula>
    </cfRule>
    <cfRule type="expression" dxfId="9" priority="6">
      <formula>IF($N22="TL",TRUE,FALSE)</formula>
    </cfRule>
    <cfRule type="expression" dxfId="8" priority="8">
      <formula>IF(AND($N22="C",$O22=2),TRUE,FALSE)</formula>
    </cfRule>
    <cfRule type="expression" dxfId="7" priority="9">
      <formula>IF(AND($N22="C",$O22=3),TRUE,FALSE)</formula>
    </cfRule>
    <cfRule type="expression" dxfId="6" priority="10">
      <formula>IF(AND($N22&lt;&gt;"",$N22&lt;&gt;"ST"),TRUE,FALSE)</formula>
    </cfRule>
    <cfRule type="expression" dxfId="5" priority="11">
      <formula>IF(OR($N22="ST",$N22="TL"),TRUE,FALSE)</formula>
    </cfRule>
    <cfRule type="expression" dxfId="4" priority="12">
      <formula>IF($N22="SC",TRUE,FALSE)</formula>
    </cfRule>
  </conditionalFormatting>
  <conditionalFormatting sqref="D9:D13">
    <cfRule type="dataBar" priority="4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{0DB19C04-13FC-406A-8A14-DC22B75AA978}</x14:id>
        </ext>
      </extLst>
    </cfRule>
  </conditionalFormatting>
  <conditionalFormatting sqref="D10:D11">
    <cfRule type="dataBar" priority="4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{9410C549-67F5-4B20-8F4C-DB6850E61F9F}</x14:id>
        </ext>
      </extLst>
    </cfRule>
  </conditionalFormatting>
  <conditionalFormatting sqref="D12">
    <cfRule type="dataBar" priority="4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{6A62CF9D-16C4-4162-9C9D-23C70EBD9757}</x14:id>
        </ext>
      </extLst>
    </cfRule>
  </conditionalFormatting>
  <conditionalFormatting sqref="D14 H14">
    <cfRule type="dataBar" priority="6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{6EF3634F-CC44-4A52-ADC6-3D4AF3AEACA1}</x14:id>
        </ext>
      </extLst>
    </cfRule>
  </conditionalFormatting>
  <conditionalFormatting sqref="D15:D16 D28:D360">
    <cfRule type="dataBar" priority="5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{0D64B0AD-121F-4647-81E0-D74001334DA9}</x14:id>
        </ext>
      </extLst>
    </cfRule>
  </conditionalFormatting>
  <conditionalFormatting sqref="D22:D25">
    <cfRule type="dataBar" priority="2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{8AE9111F-B24F-4B56-9F82-9F4964910B59}</x14:id>
        </ext>
      </extLst>
    </cfRule>
    <cfRule type="dataBar" priority="2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{DEDEAA36-41F3-4BD5-A62A-65013BEB4EFA}</x14:id>
        </ext>
      </extLst>
    </cfRule>
  </conditionalFormatting>
  <conditionalFormatting sqref="D23:D25">
    <cfRule type="dataBar" priority="2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{B9C12BB5-8B05-4607-A91B-75BF3D1347B0}</x14:id>
        </ext>
      </extLst>
    </cfRule>
  </conditionalFormatting>
  <conditionalFormatting sqref="D25">
    <cfRule type="dataBar" priority="2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{3611B4C4-4186-42EF-94AE-01FD3C69B54A}</x14:id>
        </ext>
      </extLst>
    </cfRule>
  </conditionalFormatting>
  <conditionalFormatting sqref="D26">
    <cfRule type="dataBar" priority="2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{61C2AF88-35B3-40F1-B93F-ED5CED82B7D1}</x14:id>
        </ext>
      </extLst>
    </cfRule>
  </conditionalFormatting>
  <conditionalFormatting sqref="D27">
    <cfRule type="dataBar" priority="4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{4F328ABE-B52C-4C40-9003-8955045790BA}</x14:id>
        </ext>
      </extLst>
    </cfRule>
  </conditionalFormatting>
  <conditionalFormatting sqref="H9 H13 H11">
    <cfRule type="dataBar" priority="4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{4CAA411C-9240-4A7D-9333-C19A7D9716B2}</x14:id>
        </ext>
      </extLst>
    </cfRule>
  </conditionalFormatting>
  <conditionalFormatting sqref="H10:H11">
    <cfRule type="dataBar" priority="4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{A97FCCAA-EE46-41BB-BCA0-BC5FC0F9933F}</x14:id>
        </ext>
      </extLst>
    </cfRule>
  </conditionalFormatting>
  <conditionalFormatting sqref="H12">
    <cfRule type="dataBar" priority="3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{ED7B33B4-E06B-4F18-B4D5-C9DC4FBECCE3}</x14:id>
        </ext>
      </extLst>
    </cfRule>
  </conditionalFormatting>
  <conditionalFormatting sqref="H22:H25">
    <cfRule type="dataBar" priority="1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{2F6FD36B-1A5F-4675-90A4-E579DF26394B}</x14:id>
        </ext>
      </extLst>
    </cfRule>
    <cfRule type="dataBar" priority="1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{53E9A85A-3165-459A-A3D1-22D627030DEE}</x14:id>
        </ext>
      </extLst>
    </cfRule>
  </conditionalFormatting>
  <conditionalFormatting sqref="H23:H25">
    <cfRule type="dataBar" priority="1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{52E8D0B0-3652-4858-98B2-91E70AB0E5C7}</x14:id>
        </ext>
      </extLst>
    </cfRule>
  </conditionalFormatting>
  <conditionalFormatting sqref="H25">
    <cfRule type="dataBar" priority="1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{E3F78ACF-589E-45B7-ACB2-7D07F79AA8C8}</x14:id>
        </ext>
      </extLst>
    </cfRule>
  </conditionalFormatting>
  <conditionalFormatting sqref="H26">
    <cfRule type="dataBar" priority="1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{EBE39E06-5205-48E1-8D02-A8B8040425B1}</x14:id>
        </ext>
      </extLst>
    </cfRule>
  </conditionalFormatting>
  <conditionalFormatting sqref="H27">
    <cfRule type="dataBar" priority="5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{1408EDB3-910E-4175-A0D1-D74E6D187543}</x14:id>
        </ext>
      </extLst>
    </cfRule>
    <cfRule type="dataBar" priority="5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{37101F9C-33D9-4299-A1E4-4AD8D4DE9779}</x14:id>
        </ext>
      </extLst>
    </cfRule>
  </conditionalFormatting>
  <conditionalFormatting sqref="I9:K13 A14:M16">
    <cfRule type="expression" dxfId="3" priority="63">
      <formula>IF($N9="SC",TRUE,FALSE)</formula>
    </cfRule>
  </conditionalFormatting>
  <conditionalFormatting sqref="J9:K9 I9:I10 J10 K10:K13 I11:J13 A14:M16">
    <cfRule type="expression" dxfId="2" priority="62">
      <formula>IF(AND($N9="C",$O9=2),TRUE,FALSE)</formula>
    </cfRule>
  </conditionalFormatting>
  <conditionalFormatting sqref="L10:L11">
    <cfRule type="dataBar" priority="3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{EA81BE39-702E-4415-A6E9-6C5F484EC7F1}</x14:id>
        </ext>
      </extLst>
    </cfRule>
    <cfRule type="dataBar" priority="2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{A4FF5B8D-B807-4EF6-8DEC-249AA51DF6AF}</x14:id>
        </ext>
      </extLst>
    </cfRule>
  </conditionalFormatting>
  <conditionalFormatting sqref="L12">
    <cfRule type="dataBar" priority="2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{06BE6DB6-4009-41C1-8C7F-289A523D74CB}</x14:id>
        </ext>
      </extLst>
    </cfRule>
    <cfRule type="dataBar" priority="2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{4863A1ED-12CD-4D48-BF53-38ABB5E595DD}</x14:id>
        </ext>
      </extLst>
    </cfRule>
  </conditionalFormatting>
  <conditionalFormatting sqref="L13 L9 L11">
    <cfRule type="dataBar" priority="3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{052915ED-E82A-43AF-9C57-479CD2B784FD}</x14:id>
        </ext>
      </extLst>
    </cfRule>
  </conditionalFormatting>
  <conditionalFormatting sqref="L14">
    <cfRule type="dataBar" priority="5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{9B1738E0-D161-4069-BFB8-1F17122BDFFB}</x14:id>
        </ext>
      </extLst>
    </cfRule>
    <cfRule type="dataBar" priority="6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{8A7C8241-C1EF-47DB-9A5C-83512FB76061}</x14:id>
        </ext>
      </extLst>
    </cfRule>
  </conditionalFormatting>
  <conditionalFormatting sqref="L22:L25">
    <cfRule type="dataBar" priority="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{3C9FD072-F7EC-4B78-B359-62C5764E161C}</x14:id>
        </ext>
      </extLst>
    </cfRule>
    <cfRule type="dataBar" priority="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{4997BF3E-B205-4CEF-804B-D0D3D1C200B9}</x14:id>
        </ext>
      </extLst>
    </cfRule>
  </conditionalFormatting>
  <conditionalFormatting sqref="L23:L25">
    <cfRule type="dataBar" priority="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{4DDF8E83-6DF5-4394-93D7-6B94BA246228}</x14:id>
        </ext>
      </extLst>
    </cfRule>
  </conditionalFormatting>
  <conditionalFormatting sqref="L25">
    <cfRule type="dataBar" priority="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{1DBC26EB-F199-4C8B-AD25-4BDB025F70DA}</x14:id>
        </ext>
      </extLst>
    </cfRule>
  </conditionalFormatting>
  <conditionalFormatting sqref="L26">
    <cfRule type="dataBar" priority="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{C3F65915-F040-47AE-B037-7815EB1BBD8A}</x14:id>
        </ext>
      </extLst>
    </cfRule>
  </conditionalFormatting>
  <conditionalFormatting sqref="L27">
    <cfRule type="dataBar" priority="5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{3D5038CB-EBE1-43E6-B83F-3EB7F45ECB3F}</x14:id>
        </ext>
      </extLst>
    </cfRule>
    <cfRule type="dataBar" priority="5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{31743705-1227-44B3-BBF4-4E79230EF667}</x14:id>
        </ext>
      </extLst>
    </cfRule>
  </conditionalFormatting>
  <conditionalFormatting sqref="L9:M13">
    <cfRule type="expression" dxfId="1" priority="34">
      <formula>IF(AND($N9="C",$O9=2),TRUE,FALSE)</formula>
    </cfRule>
    <cfRule type="expression" dxfId="0" priority="38">
      <formula>IF($N9="SC",TRUE,FALSE)</formula>
    </cfRule>
  </conditionalFormatting>
  <pageMargins left="0.7" right="0.7" top="0.75" bottom="0.75" header="0.3" footer="0.3"/>
  <pageSetup scale="66" orientation="landscape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B19C04-13FC-406A-8A14-DC22B75AA97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D9:D13</xm:sqref>
        </x14:conditionalFormatting>
        <x14:conditionalFormatting xmlns:xm="http://schemas.microsoft.com/office/excel/2006/main">
          <x14:cfRule type="dataBar" id="{9410C549-67F5-4B20-8F4C-DB6850E61F9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6A62CF9D-16C4-4162-9C9D-23C70EBD975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6EF3634F-CC44-4A52-ADC6-3D4AF3AEACA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 H14</xm:sqref>
        </x14:conditionalFormatting>
        <x14:conditionalFormatting xmlns:xm="http://schemas.microsoft.com/office/excel/2006/main">
          <x14:cfRule type="dataBar" id="{0D64B0AD-121F-4647-81E0-D74001334DA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D15:D16 D28:D360</xm:sqref>
        </x14:conditionalFormatting>
        <x14:conditionalFormatting xmlns:xm="http://schemas.microsoft.com/office/excel/2006/main">
          <x14:cfRule type="dataBar" id="{8AE9111F-B24F-4B56-9F82-9F4964910B5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DEDEAA36-41F3-4BD5-A62A-65013BEB4EF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D22:D25</xm:sqref>
        </x14:conditionalFormatting>
        <x14:conditionalFormatting xmlns:xm="http://schemas.microsoft.com/office/excel/2006/main">
          <x14:cfRule type="dataBar" id="{B9C12BB5-8B05-4607-A91B-75BF3D1347B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D23:D25</xm:sqref>
        </x14:conditionalFormatting>
        <x14:conditionalFormatting xmlns:xm="http://schemas.microsoft.com/office/excel/2006/main">
          <x14:cfRule type="dataBar" id="{3611B4C4-4186-42EF-94AE-01FD3C69B54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61C2AF88-35B3-40F1-B93F-ED5CED82B7D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4F328ABE-B52C-4C40-9003-8955045790B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4CAA411C-9240-4A7D-9333-C19A7D9716B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H9 H13 H11</xm:sqref>
        </x14:conditionalFormatting>
        <x14:conditionalFormatting xmlns:xm="http://schemas.microsoft.com/office/excel/2006/main">
          <x14:cfRule type="dataBar" id="{A97FCCAA-EE46-41BB-BCA0-BC5FC0F9933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H10:H11</xm:sqref>
        </x14:conditionalFormatting>
        <x14:conditionalFormatting xmlns:xm="http://schemas.microsoft.com/office/excel/2006/main">
          <x14:cfRule type="dataBar" id="{ED7B33B4-E06B-4F18-B4D5-C9DC4FBECCE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2F6FD36B-1A5F-4675-90A4-E579DF26394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53E9A85A-3165-459A-A3D1-22D627030DE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H22:H25</xm:sqref>
        </x14:conditionalFormatting>
        <x14:conditionalFormatting xmlns:xm="http://schemas.microsoft.com/office/excel/2006/main">
          <x14:cfRule type="dataBar" id="{52E8D0B0-3652-4858-98B2-91E70AB0E5C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H23:H25</xm:sqref>
        </x14:conditionalFormatting>
        <x14:conditionalFormatting xmlns:xm="http://schemas.microsoft.com/office/excel/2006/main">
          <x14:cfRule type="dataBar" id="{E3F78ACF-589E-45B7-ACB2-7D07F79AA8C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EBE39E06-5205-48E1-8D02-A8B8040425B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1408EDB3-910E-4175-A0D1-D74E6D18754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37101F9C-33D9-4299-A1E4-4AD8D4DE977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EA81BE39-702E-4415-A6E9-6C5F484EC7F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A4FF5B8D-B807-4EF6-8DEC-249AA51DF6A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L10:L11</xm:sqref>
        </x14:conditionalFormatting>
        <x14:conditionalFormatting xmlns:xm="http://schemas.microsoft.com/office/excel/2006/main">
          <x14:cfRule type="dataBar" id="{06BE6DB6-4009-41C1-8C7F-289A523D74C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4863A1ED-12CD-4D48-BF53-38ABB5E595D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052915ED-E82A-43AF-9C57-479CD2B784F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L13 L9 L11</xm:sqref>
        </x14:conditionalFormatting>
        <x14:conditionalFormatting xmlns:xm="http://schemas.microsoft.com/office/excel/2006/main">
          <x14:cfRule type="dataBar" id="{9B1738E0-D161-4069-BFB8-1F17122BDFF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8A7C8241-C1EF-47DB-9A5C-83512FB7606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3C9FD072-F7EC-4B78-B359-62C5764E161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4997BF3E-B205-4CEF-804B-D0D3D1C200B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L22:L25</xm:sqref>
        </x14:conditionalFormatting>
        <x14:conditionalFormatting xmlns:xm="http://schemas.microsoft.com/office/excel/2006/main">
          <x14:cfRule type="dataBar" id="{4DDF8E83-6DF5-4394-93D7-6B94BA24622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L23:L25</xm:sqref>
        </x14:conditionalFormatting>
        <x14:conditionalFormatting xmlns:xm="http://schemas.microsoft.com/office/excel/2006/main">
          <x14:cfRule type="dataBar" id="{1DBC26EB-F199-4C8B-AD25-4BDB025F70D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L25</xm:sqref>
        </x14:conditionalFormatting>
        <x14:conditionalFormatting xmlns:xm="http://schemas.microsoft.com/office/excel/2006/main">
          <x14:cfRule type="dataBar" id="{C3F65915-F040-47AE-B037-7815EB1BBD8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L26</xm:sqref>
        </x14:conditionalFormatting>
        <x14:conditionalFormatting xmlns:xm="http://schemas.microsoft.com/office/excel/2006/main">
          <x14:cfRule type="dataBar" id="{3D5038CB-EBE1-43E6-B83F-3EB7F45ECB3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31743705-1227-44B3-BBF4-4E79230EF66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  <pageSetUpPr fitToPage="1"/>
  </sheetPr>
  <dimension ref="A1:AC42"/>
  <sheetViews>
    <sheetView showGridLines="0" zoomScale="90" zoomScaleNormal="90" zoomScaleSheetLayoutView="100" workbookViewId="0"/>
  </sheetViews>
  <sheetFormatPr defaultColWidth="9.44140625" defaultRowHeight="14.4" x14ac:dyDescent="0.3"/>
  <cols>
    <col min="1" max="1" width="22.109375" customWidth="1"/>
    <col min="2" max="2" width="35" customWidth="1"/>
    <col min="3" max="3" width="20.88671875" customWidth="1"/>
    <col min="4" max="4" width="19.109375" customWidth="1"/>
    <col min="5" max="5" width="19" customWidth="1"/>
    <col min="6" max="6" width="17" style="51" customWidth="1"/>
    <col min="7" max="7" width="17.44140625" style="52" customWidth="1"/>
    <col min="8" max="8" width="14.5546875" customWidth="1"/>
    <col min="9" max="9" width="16.44140625" customWidth="1"/>
    <col min="10" max="10" width="16.44140625" style="53" customWidth="1"/>
    <col min="11" max="12" width="16.44140625" customWidth="1"/>
    <col min="13" max="14" width="15.5546875" style="51" customWidth="1"/>
    <col min="15" max="15" width="13.5546875" customWidth="1"/>
    <col min="19" max="19" width="9.44140625" customWidth="1"/>
  </cols>
  <sheetData>
    <row r="1" spans="1:14" x14ac:dyDescent="0.3">
      <c r="A1" s="3" t="s">
        <v>139</v>
      </c>
      <c r="F1" s="6"/>
      <c r="G1" s="7"/>
      <c r="J1" s="11"/>
      <c r="M1" s="10"/>
      <c r="N1" s="10"/>
    </row>
    <row r="2" spans="1:14" ht="4.3499999999999996" customHeight="1" thickBot="1" x14ac:dyDescent="0.35">
      <c r="A2" s="3"/>
      <c r="F2" s="54"/>
      <c r="G2" s="55"/>
      <c r="J2" s="11"/>
      <c r="M2" s="10"/>
      <c r="N2" s="10"/>
    </row>
    <row r="3" spans="1:14" ht="15" thickBot="1" x14ac:dyDescent="0.35">
      <c r="A3" s="56" t="s">
        <v>140</v>
      </c>
      <c r="B3" s="61"/>
      <c r="F3" s="6"/>
      <c r="G3" s="7"/>
      <c r="J3" s="11"/>
      <c r="M3" s="10"/>
      <c r="N3" s="10"/>
    </row>
    <row r="4" spans="1:14" ht="4.3499999999999996" customHeight="1" thickBot="1" x14ac:dyDescent="0.35">
      <c r="A4" s="56"/>
      <c r="B4" s="57"/>
      <c r="F4" s="54"/>
      <c r="G4" s="55"/>
      <c r="J4" s="11"/>
      <c r="M4" s="10"/>
      <c r="N4" s="10"/>
    </row>
    <row r="5" spans="1:14" ht="15" thickBot="1" x14ac:dyDescent="0.35">
      <c r="A5" s="56" t="s">
        <v>141</v>
      </c>
      <c r="B5" s="62" t="s">
        <v>142</v>
      </c>
      <c r="C5" s="3"/>
      <c r="F5" s="6"/>
      <c r="G5" s="8"/>
      <c r="J5" s="12"/>
      <c r="M5" s="10"/>
      <c r="N5" s="10"/>
    </row>
    <row r="6" spans="1:14" ht="4.3499999999999996" customHeight="1" x14ac:dyDescent="0.3">
      <c r="A6" s="3"/>
      <c r="F6" s="54"/>
      <c r="G6" s="55"/>
      <c r="J6" s="11"/>
      <c r="M6" s="10"/>
      <c r="N6" s="10"/>
    </row>
    <row r="7" spans="1:14" ht="29.1" customHeight="1" x14ac:dyDescent="0.3">
      <c r="A7" s="58"/>
      <c r="B7" s="58"/>
      <c r="C7" s="213" t="s">
        <v>143</v>
      </c>
      <c r="D7" s="213" t="s">
        <v>144</v>
      </c>
      <c r="E7" s="306" t="s">
        <v>130</v>
      </c>
      <c r="F7" s="306"/>
      <c r="G7" s="306"/>
      <c r="H7" s="59"/>
      <c r="J7"/>
      <c r="M7"/>
      <c r="N7"/>
    </row>
    <row r="8" spans="1:14" ht="43.2" x14ac:dyDescent="0.3">
      <c r="A8" s="58"/>
      <c r="B8" s="58"/>
      <c r="C8" s="214" t="s">
        <v>145</v>
      </c>
      <c r="D8" s="214" t="s">
        <v>146</v>
      </c>
      <c r="E8" s="215" t="s">
        <v>147</v>
      </c>
      <c r="F8" s="216" t="s">
        <v>148</v>
      </c>
      <c r="G8" s="217" t="s">
        <v>149</v>
      </c>
      <c r="J8"/>
      <c r="M8"/>
      <c r="N8"/>
    </row>
    <row r="9" spans="1:14" ht="16.2" x14ac:dyDescent="0.3">
      <c r="A9" s="218" t="s">
        <v>150</v>
      </c>
      <c r="B9" s="218" t="s">
        <v>151</v>
      </c>
      <c r="C9" s="3"/>
      <c r="D9" s="60"/>
      <c r="E9" s="60"/>
      <c r="F9" s="9"/>
      <c r="G9"/>
      <c r="J9"/>
      <c r="M9"/>
      <c r="N9"/>
    </row>
    <row r="10" spans="1:14" x14ac:dyDescent="0.3">
      <c r="A10" s="308" t="s">
        <v>152</v>
      </c>
      <c r="B10" s="226" t="s">
        <v>153</v>
      </c>
      <c r="C10" s="219"/>
      <c r="D10" s="220"/>
      <c r="E10" s="221"/>
      <c r="F10" s="221"/>
      <c r="G10" s="221"/>
      <c r="J10"/>
      <c r="M10"/>
      <c r="N10"/>
    </row>
    <row r="11" spans="1:14" x14ac:dyDescent="0.3">
      <c r="A11" s="308"/>
      <c r="B11" s="222" t="s">
        <v>154</v>
      </c>
      <c r="C11" s="219"/>
      <c r="D11" s="220"/>
      <c r="E11" s="221"/>
      <c r="F11" s="221"/>
      <c r="G11" s="221"/>
      <c r="J11"/>
      <c r="M11"/>
      <c r="N11"/>
    </row>
    <row r="12" spans="1:14" x14ac:dyDescent="0.3">
      <c r="A12" s="308"/>
      <c r="B12" s="223" t="s">
        <v>155</v>
      </c>
      <c r="C12" s="219"/>
      <c r="D12" s="220"/>
      <c r="E12" s="221"/>
      <c r="F12" s="221"/>
      <c r="G12" s="221"/>
      <c r="J12"/>
      <c r="M12"/>
      <c r="N12"/>
    </row>
    <row r="13" spans="1:14" x14ac:dyDescent="0.3">
      <c r="A13" s="308"/>
      <c r="B13" s="224" t="s">
        <v>156</v>
      </c>
      <c r="C13" s="224">
        <f>SUM(C10:C12)</f>
        <v>0</v>
      </c>
      <c r="D13" s="225">
        <f>SUM(D10:D12)</f>
        <v>0</v>
      </c>
      <c r="E13" s="224">
        <f>SUM(E10:E12)</f>
        <v>0</v>
      </c>
      <c r="F13" s="224">
        <f t="shared" ref="F13:G13" si="0">SUM(F10:F12)</f>
        <v>0</v>
      </c>
      <c r="G13" s="224">
        <f t="shared" si="0"/>
        <v>0</v>
      </c>
      <c r="J13"/>
      <c r="M13"/>
      <c r="N13"/>
    </row>
    <row r="14" spans="1:14" ht="4.3499999999999996" customHeight="1" x14ac:dyDescent="0.3">
      <c r="A14" s="3"/>
      <c r="F14"/>
      <c r="G14"/>
      <c r="J14" s="11"/>
      <c r="M14" s="10"/>
      <c r="N14" s="10"/>
    </row>
    <row r="15" spans="1:14" ht="14.4" customHeight="1" x14ac:dyDescent="0.3">
      <c r="A15" s="307" t="s">
        <v>157</v>
      </c>
      <c r="B15" s="226" t="s">
        <v>158</v>
      </c>
      <c r="C15" s="219"/>
      <c r="D15" s="227"/>
      <c r="E15" s="221"/>
      <c r="F15" s="221"/>
      <c r="G15" s="221"/>
      <c r="J15"/>
      <c r="M15"/>
      <c r="N15"/>
    </row>
    <row r="16" spans="1:14" ht="14.4" customHeight="1" x14ac:dyDescent="0.3">
      <c r="A16" s="307"/>
      <c r="B16" s="226" t="s">
        <v>159</v>
      </c>
      <c r="C16" s="219"/>
      <c r="D16" s="227"/>
      <c r="E16" s="221"/>
      <c r="F16" s="221"/>
      <c r="G16" s="221"/>
      <c r="J16"/>
      <c r="M16"/>
      <c r="N16"/>
    </row>
    <row r="17" spans="1:21" ht="14.4" customHeight="1" x14ac:dyDescent="0.3">
      <c r="A17" s="307"/>
      <c r="B17" s="226" t="s">
        <v>160</v>
      </c>
      <c r="C17" s="219"/>
      <c r="D17" s="227"/>
      <c r="E17" s="221"/>
      <c r="F17" s="221"/>
      <c r="G17" s="221"/>
      <c r="J17"/>
      <c r="M17"/>
      <c r="N17"/>
    </row>
    <row r="18" spans="1:21" ht="33" customHeight="1" x14ac:dyDescent="0.3">
      <c r="A18" s="226" t="s">
        <v>161</v>
      </c>
      <c r="B18" s="226" t="s">
        <v>162</v>
      </c>
      <c r="C18" s="219"/>
      <c r="D18" s="227"/>
      <c r="E18" s="228"/>
      <c r="F18" s="228"/>
      <c r="G18" s="228"/>
      <c r="J18"/>
      <c r="M18"/>
      <c r="N18"/>
    </row>
    <row r="19" spans="1:21" x14ac:dyDescent="0.3">
      <c r="A19" s="298" t="s">
        <v>163</v>
      </c>
      <c r="B19" s="298"/>
      <c r="C19" s="229">
        <f>SUM(C15:C18)+C13</f>
        <v>0</v>
      </c>
      <c r="D19" s="230">
        <f>SUM(D15:D18)+D13</f>
        <v>0</v>
      </c>
      <c r="E19" s="229">
        <f>SUM(E15:E18)+E13</f>
        <v>0</v>
      </c>
      <c r="F19" s="229">
        <f t="shared" ref="F19:G19" si="1">SUM(F15:F18)+F13</f>
        <v>0</v>
      </c>
      <c r="G19" s="229">
        <f t="shared" si="1"/>
        <v>0</v>
      </c>
      <c r="J19"/>
      <c r="M19"/>
      <c r="N19"/>
    </row>
    <row r="20" spans="1:21" ht="4.3499999999999996" customHeight="1" x14ac:dyDescent="0.3">
      <c r="A20" s="3"/>
      <c r="F20"/>
      <c r="G20"/>
      <c r="J20" s="11"/>
      <c r="M20" s="10"/>
      <c r="N20" s="10"/>
    </row>
    <row r="21" spans="1:21" x14ac:dyDescent="0.3">
      <c r="A21" s="218" t="s">
        <v>164</v>
      </c>
      <c r="B21" s="218" t="s">
        <v>165</v>
      </c>
      <c r="C21" s="3"/>
      <c r="D21" s="60"/>
      <c r="E21" s="60"/>
      <c r="F21" s="60"/>
      <c r="G21" s="60"/>
      <c r="J21"/>
      <c r="M21"/>
      <c r="N21"/>
    </row>
    <row r="22" spans="1:21" x14ac:dyDescent="0.3">
      <c r="A22" s="226" t="s">
        <v>166</v>
      </c>
      <c r="B22" s="226" t="s">
        <v>167</v>
      </c>
      <c r="C22" s="219"/>
      <c r="D22" s="227"/>
      <c r="E22" s="221"/>
      <c r="F22" s="221"/>
      <c r="G22" s="221"/>
      <c r="J22"/>
      <c r="M22"/>
      <c r="N22"/>
    </row>
    <row r="23" spans="1:21" x14ac:dyDescent="0.3">
      <c r="A23" s="307" t="s">
        <v>168</v>
      </c>
      <c r="B23" s="226" t="s">
        <v>169</v>
      </c>
      <c r="C23" s="219"/>
      <c r="D23" s="227"/>
      <c r="E23" s="221"/>
      <c r="F23" s="221"/>
      <c r="G23" s="221"/>
      <c r="J23"/>
      <c r="M23"/>
      <c r="N23"/>
    </row>
    <row r="24" spans="1:21" x14ac:dyDescent="0.3">
      <c r="A24" s="307"/>
      <c r="B24" s="226" t="s">
        <v>170</v>
      </c>
      <c r="C24" s="219"/>
      <c r="D24" s="227"/>
      <c r="E24" s="221"/>
      <c r="F24" s="221"/>
      <c r="G24" s="221"/>
      <c r="J24"/>
      <c r="M24"/>
      <c r="N24"/>
    </row>
    <row r="25" spans="1:21" x14ac:dyDescent="0.3">
      <c r="A25" s="307"/>
      <c r="B25" s="222" t="s">
        <v>171</v>
      </c>
      <c r="C25" s="219"/>
      <c r="D25" s="227"/>
      <c r="E25" s="231"/>
      <c r="F25" s="231"/>
      <c r="G25" s="231"/>
      <c r="J25"/>
      <c r="M25"/>
      <c r="N25"/>
    </row>
    <row r="26" spans="1:21" s="8" customFormat="1" x14ac:dyDescent="0.3">
      <c r="A26" s="298" t="s">
        <v>172</v>
      </c>
      <c r="B26" s="298"/>
      <c r="C26" s="229">
        <f>SUM(C22:C25)</f>
        <v>0</v>
      </c>
      <c r="D26" s="230">
        <f t="shared" ref="D26:E26" si="2">SUM(D22:D25)</f>
        <v>0</v>
      </c>
      <c r="E26" s="229">
        <f t="shared" si="2"/>
        <v>0</v>
      </c>
      <c r="F26" s="229">
        <f t="shared" ref="F26:G26" si="3">SUM(F22:F25)</f>
        <v>0</v>
      </c>
      <c r="G26" s="229">
        <f t="shared" si="3"/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4.3499999999999996" customHeight="1" x14ac:dyDescent="0.3">
      <c r="A27" s="3"/>
      <c r="F27"/>
      <c r="G27"/>
      <c r="J27" s="11"/>
      <c r="M27" s="10"/>
      <c r="N27" s="10"/>
    </row>
    <row r="28" spans="1:21" x14ac:dyDescent="0.3">
      <c r="A28" s="305" t="s">
        <v>173</v>
      </c>
      <c r="B28" s="232" t="s">
        <v>174</v>
      </c>
      <c r="C28" s="219"/>
      <c r="D28" s="227"/>
      <c r="E28" s="221"/>
      <c r="F28" s="221"/>
      <c r="G28" s="221"/>
      <c r="J28"/>
      <c r="M28"/>
      <c r="N28"/>
    </row>
    <row r="29" spans="1:21" x14ac:dyDescent="0.3">
      <c r="A29" s="305"/>
      <c r="B29" s="232" t="s">
        <v>175</v>
      </c>
      <c r="C29" s="219"/>
      <c r="D29" s="227"/>
      <c r="E29" s="221"/>
      <c r="F29" s="221"/>
      <c r="G29" s="221"/>
      <c r="J29"/>
      <c r="M29"/>
      <c r="N29"/>
    </row>
    <row r="30" spans="1:21" x14ac:dyDescent="0.3">
      <c r="A30" s="305"/>
      <c r="B30" s="232" t="s">
        <v>169</v>
      </c>
      <c r="C30" s="219"/>
      <c r="D30" s="227"/>
      <c r="E30" s="221"/>
      <c r="F30" s="221"/>
      <c r="G30" s="221"/>
      <c r="J30"/>
      <c r="M30"/>
      <c r="N30"/>
    </row>
    <row r="31" spans="1:21" x14ac:dyDescent="0.3">
      <c r="A31" s="305"/>
      <c r="B31" s="232" t="s">
        <v>171</v>
      </c>
      <c r="C31" s="219"/>
      <c r="D31" s="227"/>
      <c r="E31" s="221"/>
      <c r="F31" s="221"/>
      <c r="G31" s="221"/>
      <c r="J31"/>
      <c r="M31"/>
      <c r="N31"/>
    </row>
    <row r="32" spans="1:21" s="8" customFormat="1" x14ac:dyDescent="0.3">
      <c r="A32" s="298" t="s">
        <v>176</v>
      </c>
      <c r="B32" s="298"/>
      <c r="C32" s="229">
        <f>SUM(C28:C31)</f>
        <v>0</v>
      </c>
      <c r="D32" s="230">
        <f t="shared" ref="D32" si="4">SUM(D28:D31)</f>
        <v>0</v>
      </c>
      <c r="E32" s="229">
        <f t="shared" ref="E32:G32" si="5">SUM(E28:E31)</f>
        <v>0</v>
      </c>
      <c r="F32" s="229">
        <f t="shared" si="5"/>
        <v>0</v>
      </c>
      <c r="G32" s="229">
        <f t="shared" si="5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9" ht="4.3499999999999996" customHeight="1" x14ac:dyDescent="0.3">
      <c r="A33" s="3"/>
      <c r="F33"/>
      <c r="G33"/>
      <c r="J33" s="11"/>
      <c r="M33" s="10"/>
      <c r="N33" s="10"/>
    </row>
    <row r="34" spans="1:29" x14ac:dyDescent="0.3">
      <c r="A34" s="299" t="s">
        <v>177</v>
      </c>
      <c r="B34" s="300"/>
      <c r="C34" s="3"/>
      <c r="D34" s="60"/>
      <c r="E34" s="60"/>
      <c r="F34" s="60"/>
      <c r="G34" s="60"/>
      <c r="J34"/>
      <c r="M34"/>
      <c r="N34"/>
    </row>
    <row r="35" spans="1:29" x14ac:dyDescent="0.3">
      <c r="A35" s="223" t="s">
        <v>178</v>
      </c>
      <c r="B35" s="223"/>
      <c r="C35" s="223"/>
      <c r="D35" s="233"/>
      <c r="E35" s="231"/>
      <c r="F35" s="231"/>
      <c r="G35" s="231"/>
      <c r="J35"/>
      <c r="M35"/>
      <c r="N35"/>
    </row>
    <row r="36" spans="1:29" x14ac:dyDescent="0.3">
      <c r="A36" s="301" t="s">
        <v>179</v>
      </c>
      <c r="B36" s="302"/>
      <c r="C36" s="229">
        <f>C35</f>
        <v>0</v>
      </c>
      <c r="D36" s="230">
        <f t="shared" ref="D36:E36" si="6">D35</f>
        <v>0</v>
      </c>
      <c r="E36" s="229">
        <f t="shared" si="6"/>
        <v>0</v>
      </c>
      <c r="F36" s="229">
        <f t="shared" ref="F36:G36" si="7">F35</f>
        <v>0</v>
      </c>
      <c r="G36" s="229">
        <f t="shared" si="7"/>
        <v>0</v>
      </c>
      <c r="J36"/>
      <c r="M36"/>
      <c r="N36"/>
    </row>
    <row r="37" spans="1:29" ht="4.3499999999999996" customHeight="1" x14ac:dyDescent="0.3">
      <c r="A37" s="3"/>
      <c r="F37"/>
      <c r="G37"/>
      <c r="J37" s="11"/>
      <c r="M37" s="10"/>
      <c r="N37" s="10"/>
    </row>
    <row r="38" spans="1:29" x14ac:dyDescent="0.3">
      <c r="A38" s="303" t="s">
        <v>180</v>
      </c>
      <c r="B38" s="304"/>
      <c r="C38" s="234">
        <f>SUM(C19+C26+C32+C36)</f>
        <v>0</v>
      </c>
      <c r="D38" s="235">
        <f>SUM(D19+D26+D32+D36)</f>
        <v>0</v>
      </c>
      <c r="E38" s="234">
        <f>SUM(E19+E26+E32+E36)</f>
        <v>0</v>
      </c>
      <c r="F38" s="234">
        <f t="shared" ref="F38:G38" si="8">SUM(F19+F26+F32+F36)</f>
        <v>0</v>
      </c>
      <c r="G38" s="234">
        <f t="shared" si="8"/>
        <v>0</v>
      </c>
      <c r="J38"/>
      <c r="M38"/>
      <c r="N38"/>
    </row>
    <row r="39" spans="1:29" ht="4.3499999999999996" customHeight="1" x14ac:dyDescent="0.3">
      <c r="A39" s="3"/>
      <c r="F39" s="54"/>
      <c r="G39" s="55"/>
      <c r="J39" s="11"/>
      <c r="M39" s="10"/>
      <c r="N39" s="10"/>
    </row>
    <row r="40" spans="1:29" ht="16.2" x14ac:dyDescent="0.3">
      <c r="A40" s="48" t="s">
        <v>181</v>
      </c>
      <c r="B40" s="8"/>
      <c r="C40" s="8"/>
      <c r="D40" s="8"/>
      <c r="E40" s="8"/>
      <c r="F40" s="8"/>
      <c r="G40" s="8"/>
      <c r="H40" s="8"/>
      <c r="I40" s="8"/>
      <c r="J40" s="49"/>
      <c r="K40" s="8"/>
      <c r="L40" s="8"/>
      <c r="M40" s="50"/>
      <c r="N40" s="50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6.2" x14ac:dyDescent="0.3">
      <c r="A41" s="48" t="s">
        <v>182</v>
      </c>
      <c r="B41" s="8"/>
      <c r="C41" s="8"/>
      <c r="D41" s="8"/>
      <c r="E41" s="8"/>
      <c r="F41" s="8"/>
      <c r="G41" s="8"/>
      <c r="H41" s="8"/>
      <c r="I41" s="8"/>
      <c r="J41" s="49"/>
      <c r="K41" s="8"/>
      <c r="L41" s="8"/>
      <c r="M41" s="50"/>
      <c r="N41" s="50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x14ac:dyDescent="0.3">
      <c r="A42" t="s">
        <v>183</v>
      </c>
    </row>
  </sheetData>
  <mergeCells count="11">
    <mergeCell ref="E7:G7"/>
    <mergeCell ref="A23:A25"/>
    <mergeCell ref="A15:A17"/>
    <mergeCell ref="A10:A13"/>
    <mergeCell ref="A19:B19"/>
    <mergeCell ref="A26:B26"/>
    <mergeCell ref="A34:B34"/>
    <mergeCell ref="A36:B36"/>
    <mergeCell ref="A38:B38"/>
    <mergeCell ref="A32:B32"/>
    <mergeCell ref="A28:A31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1789-AD68-4DC6-A605-944F36A2A577}">
  <sheetPr>
    <pageSetUpPr fitToPage="1"/>
  </sheetPr>
  <dimension ref="A1:O56"/>
  <sheetViews>
    <sheetView showGridLines="0" tabSelected="1" topLeftCell="A10" zoomScaleNormal="100" workbookViewId="0">
      <selection activeCell="D37" sqref="D37"/>
    </sheetView>
  </sheetViews>
  <sheetFormatPr defaultColWidth="8.88671875" defaultRowHeight="14.4" x14ac:dyDescent="0.3"/>
  <cols>
    <col min="1" max="1" width="42.88671875" style="87" customWidth="1"/>
    <col min="2" max="2" width="17.5546875" style="87" customWidth="1"/>
    <col min="3" max="3" width="15.44140625" style="87" customWidth="1"/>
    <col min="4" max="4" width="17.44140625" style="87" customWidth="1"/>
    <col min="5" max="5" width="22.88671875" style="87" customWidth="1"/>
    <col min="6" max="6" width="16.88671875" style="87" bestFit="1" customWidth="1"/>
    <col min="7" max="7" width="15.88671875" style="87" bestFit="1" customWidth="1"/>
    <col min="8" max="8" width="16.109375" style="87" customWidth="1"/>
    <col min="9" max="9" width="15.109375" style="87" customWidth="1"/>
    <col min="10" max="10" width="13.109375" style="87" customWidth="1"/>
    <col min="11" max="16384" width="8.88671875" style="87"/>
  </cols>
  <sheetData>
    <row r="1" spans="1:10" ht="21" x14ac:dyDescent="0.4">
      <c r="A1" s="242" t="s">
        <v>31</v>
      </c>
      <c r="B1" s="242"/>
      <c r="C1" s="242"/>
      <c r="D1" s="242"/>
      <c r="E1" s="242"/>
      <c r="F1" s="242"/>
      <c r="G1" s="86"/>
      <c r="H1" s="86"/>
      <c r="I1" s="86"/>
      <c r="J1" s="86"/>
    </row>
    <row r="2" spans="1:10" ht="21" x14ac:dyDescent="0.4">
      <c r="A2" s="88" t="s">
        <v>32</v>
      </c>
      <c r="B2" s="89"/>
      <c r="C2" s="89"/>
      <c r="D2" s="89"/>
      <c r="E2" s="89"/>
      <c r="F2" s="89"/>
      <c r="G2" s="86"/>
      <c r="H2" s="86"/>
      <c r="I2" s="86"/>
      <c r="J2" s="86"/>
    </row>
    <row r="3" spans="1:10" ht="17.100000000000001" customHeight="1" x14ac:dyDescent="0.3">
      <c r="A3" s="90"/>
    </row>
    <row r="4" spans="1:10" ht="28.65" customHeight="1" x14ac:dyDescent="0.3">
      <c r="A4" s="164" t="s">
        <v>33</v>
      </c>
      <c r="B4" s="165" t="s">
        <v>34</v>
      </c>
      <c r="C4" s="165" t="s">
        <v>35</v>
      </c>
      <c r="D4" s="165" t="s">
        <v>36</v>
      </c>
      <c r="E4" s="91"/>
      <c r="F4" s="91"/>
      <c r="G4" s="91"/>
    </row>
    <row r="5" spans="1:10" x14ac:dyDescent="0.3">
      <c r="A5" s="166" t="s">
        <v>37</v>
      </c>
      <c r="B5" s="167">
        <f>SUM('Current Year Programs'!B5+'Legacy Programs'!B5)</f>
        <v>39817.11</v>
      </c>
      <c r="C5" s="167">
        <f>SUM('Current Year Programs'!C5+'Legacy Programs'!C5)</f>
        <v>23300.109999999997</v>
      </c>
      <c r="D5" s="167">
        <f>'Current Year Programs'!D5</f>
        <v>7903.85</v>
      </c>
      <c r="E5" s="91"/>
      <c r="F5" s="91"/>
      <c r="G5" s="91"/>
    </row>
    <row r="6" spans="1:10" x14ac:dyDescent="0.3">
      <c r="A6" s="166" t="s">
        <v>38</v>
      </c>
      <c r="B6" s="167">
        <f>SUM('Current Year Programs'!B6+'Legacy Programs'!B6)</f>
        <v>25359.300000000003</v>
      </c>
      <c r="C6" s="167">
        <f>SUM('Current Year Programs'!C6+'Legacy Programs'!C6)</f>
        <v>14651.89</v>
      </c>
      <c r="D6" s="167">
        <f>'Current Year Programs'!D6</f>
        <v>8731.42</v>
      </c>
    </row>
    <row r="7" spans="1:10" x14ac:dyDescent="0.3">
      <c r="A7" s="166" t="s">
        <v>39</v>
      </c>
      <c r="B7" s="167">
        <f>SUM('Current Year Programs'!B7+'Legacy Programs'!B7)</f>
        <v>74437.709999999992</v>
      </c>
      <c r="C7" s="167">
        <f>SUM('Current Year Programs'!C7+'Legacy Programs'!C7)</f>
        <v>53201.749999999993</v>
      </c>
      <c r="D7" s="167">
        <f>'Current Year Programs'!D7</f>
        <v>35390.47</v>
      </c>
    </row>
    <row r="8" spans="1:10" x14ac:dyDescent="0.3">
      <c r="A8" s="166" t="s">
        <v>40</v>
      </c>
      <c r="B8" s="167">
        <f>SUM('Current Year Programs'!B8+'Legacy Programs'!B8)</f>
        <v>224682.83000000002</v>
      </c>
      <c r="C8" s="167">
        <f>SUM('Current Year Programs'!C8+'Legacy Programs'!C8)</f>
        <v>66880.39</v>
      </c>
      <c r="D8" s="167">
        <f>'Current Year Programs'!D8</f>
        <v>33752</v>
      </c>
    </row>
    <row r="9" spans="1:10" x14ac:dyDescent="0.3">
      <c r="A9" s="166" t="s">
        <v>41</v>
      </c>
      <c r="B9" s="167">
        <f>SUM('Current Year Programs'!B9+'Legacy Programs'!B9)</f>
        <v>458804.04</v>
      </c>
      <c r="C9" s="167">
        <f>SUM('Current Year Programs'!C9+'Legacy Programs'!C9)</f>
        <v>446952.52999999997</v>
      </c>
      <c r="D9" s="167">
        <f>'Current Year Programs'!D9</f>
        <v>283602.11</v>
      </c>
    </row>
    <row r="10" spans="1:10" x14ac:dyDescent="0.3">
      <c r="A10" s="92" t="s">
        <v>42</v>
      </c>
      <c r="B10" s="167">
        <f>SUM('Current Year Programs'!B10+'Legacy Programs'!B10)</f>
        <v>6193.6</v>
      </c>
      <c r="C10" s="167">
        <f>SUM('Current Year Programs'!C10+'Legacy Programs'!C10)</f>
        <v>4889.5499999999993</v>
      </c>
      <c r="D10" s="167">
        <f>'Current Year Programs'!D10</f>
        <v>3509.53</v>
      </c>
    </row>
    <row r="11" spans="1:10" x14ac:dyDescent="0.3">
      <c r="A11" s="166" t="s">
        <v>43</v>
      </c>
      <c r="B11" s="167">
        <f>SUM('Current Year Programs'!B11+'Legacy Programs'!B11)</f>
        <v>39004.51</v>
      </c>
      <c r="C11" s="167">
        <f>SUM('Current Year Programs'!C11+'Legacy Programs'!C11)</f>
        <v>40846.87999999999</v>
      </c>
      <c r="D11" s="167">
        <f>'Current Year Programs'!D11</f>
        <v>33203.67</v>
      </c>
    </row>
    <row r="12" spans="1:10" ht="4.3499999999999996" customHeight="1" x14ac:dyDescent="0.3">
      <c r="B12" s="127"/>
      <c r="C12" s="167"/>
      <c r="D12" s="127"/>
    </row>
    <row r="13" spans="1:10" ht="16.2" x14ac:dyDescent="0.3">
      <c r="A13" s="168" t="s">
        <v>44</v>
      </c>
      <c r="B13" s="167">
        <f>SUM('Current Year Programs'!B13)</f>
        <v>265632.00800000003</v>
      </c>
      <c r="C13" s="167">
        <f>SUM('Current Year Programs'!C13)</f>
        <v>42800.272444199996</v>
      </c>
      <c r="D13" s="167">
        <f>SUM('Current Year Programs'!D13)</f>
        <v>31231.2116642</v>
      </c>
    </row>
    <row r="14" spans="1:10" ht="4.3499999999999996" customHeight="1" x14ac:dyDescent="0.3">
      <c r="B14" s="127"/>
      <c r="C14" s="127"/>
      <c r="D14" s="127"/>
    </row>
    <row r="15" spans="1:10" x14ac:dyDescent="0.3">
      <c r="A15" s="169" t="s">
        <v>45</v>
      </c>
      <c r="B15" s="170">
        <f>SUM(B5:B13)</f>
        <v>1133931.108</v>
      </c>
      <c r="C15" s="170">
        <f>SUM(C5:C13)</f>
        <v>693523.37244419998</v>
      </c>
      <c r="D15" s="170">
        <f>SUM(D5:D13)</f>
        <v>437324.26166419999</v>
      </c>
    </row>
    <row r="16" spans="1:10" ht="3" customHeight="1" x14ac:dyDescent="0.3">
      <c r="A16" s="90"/>
      <c r="B16" s="94"/>
      <c r="C16" s="94"/>
      <c r="D16" s="94"/>
      <c r="E16" s="94"/>
      <c r="F16" s="94"/>
    </row>
    <row r="17" spans="1:15" x14ac:dyDescent="0.3">
      <c r="A17" s="90"/>
      <c r="B17" s="94"/>
      <c r="C17" s="94"/>
      <c r="D17" s="94"/>
      <c r="E17" s="94"/>
      <c r="F17" s="94"/>
    </row>
    <row r="18" spans="1:15" x14ac:dyDescent="0.3">
      <c r="B18" s="93"/>
      <c r="C18" s="93"/>
      <c r="D18" s="93"/>
      <c r="E18" s="93"/>
      <c r="F18" s="93"/>
    </row>
    <row r="19" spans="1:15" s="96" customFormat="1" x14ac:dyDescent="0.3">
      <c r="A19" s="95" t="s">
        <v>46</v>
      </c>
      <c r="B19" s="176" t="s">
        <v>47</v>
      </c>
      <c r="C19" s="176" t="s">
        <v>48</v>
      </c>
      <c r="D19" s="176" t="s">
        <v>49</v>
      </c>
      <c r="E19" s="161"/>
      <c r="F19" s="87"/>
      <c r="H19" s="241"/>
      <c r="I19" s="241"/>
      <c r="J19" s="241"/>
      <c r="K19" s="241"/>
    </row>
    <row r="20" spans="1:15" s="96" customFormat="1" ht="14.1" customHeight="1" x14ac:dyDescent="0.3">
      <c r="A20" s="236" t="s">
        <v>50</v>
      </c>
      <c r="B20" s="238" t="s">
        <v>51</v>
      </c>
      <c r="C20" s="239"/>
      <c r="D20" s="240"/>
      <c r="E20" s="161"/>
      <c r="F20" s="87"/>
      <c r="H20" s="87"/>
      <c r="I20" s="87"/>
      <c r="J20" s="87"/>
      <c r="K20" s="87"/>
      <c r="L20" s="87"/>
      <c r="M20" s="87"/>
      <c r="N20" s="87"/>
    </row>
    <row r="21" spans="1:15" s="96" customFormat="1" x14ac:dyDescent="0.3">
      <c r="A21" s="237"/>
      <c r="B21" s="171" t="s">
        <v>52</v>
      </c>
      <c r="C21" s="171" t="s">
        <v>53</v>
      </c>
      <c r="D21" s="171" t="s">
        <v>53</v>
      </c>
      <c r="E21" s="161"/>
      <c r="F21" s="87"/>
      <c r="H21" s="87"/>
      <c r="I21" s="87"/>
      <c r="J21" s="87"/>
      <c r="K21" s="87"/>
      <c r="L21" s="87"/>
      <c r="M21" s="87"/>
      <c r="N21" s="87"/>
    </row>
    <row r="22" spans="1:15" s="96" customFormat="1" ht="14.4" customHeight="1" x14ac:dyDescent="0.3">
      <c r="A22" s="166" t="s">
        <v>11</v>
      </c>
      <c r="B22" s="172">
        <f>SUM('Current Year Programs'!B34+'Legacy Programs'!B17)</f>
        <v>8938.1269109999994</v>
      </c>
      <c r="C22" s="172">
        <f>SUM('Current Year Programs'!C34+'Legacy Programs'!C17)</f>
        <v>78330.784081883496</v>
      </c>
      <c r="D22" s="172">
        <f>SUM('Current Year Programs'!D34+'Legacy Programs'!D17)</f>
        <v>897132.61472865264</v>
      </c>
      <c r="E22" s="87"/>
      <c r="F22" s="87"/>
      <c r="G22" s="87"/>
      <c r="H22" s="97"/>
      <c r="I22" s="97"/>
      <c r="J22" s="97"/>
      <c r="K22" s="97"/>
      <c r="L22" s="97"/>
      <c r="M22" s="97"/>
      <c r="N22" s="97"/>
      <c r="O22" s="98"/>
    </row>
    <row r="23" spans="1:15" s="96" customFormat="1" ht="14.4" hidden="1" customHeight="1" x14ac:dyDescent="0.3">
      <c r="A23" s="173" t="s">
        <v>20</v>
      </c>
      <c r="B23" s="172">
        <f>'Legacy Programs'!B18</f>
        <v>0</v>
      </c>
      <c r="C23" s="172">
        <f>'Legacy Programs'!C18</f>
        <v>0</v>
      </c>
      <c r="D23" s="172">
        <f>'Legacy Programs'!D18</f>
        <v>0</v>
      </c>
      <c r="E23" s="87"/>
      <c r="F23" s="87"/>
      <c r="G23" s="87"/>
      <c r="H23" s="97"/>
      <c r="I23" s="97"/>
      <c r="J23" s="97"/>
      <c r="K23" s="97"/>
      <c r="L23" s="97"/>
      <c r="M23" s="97"/>
      <c r="N23" s="97"/>
      <c r="O23" s="98"/>
    </row>
    <row r="24" spans="1:15" s="96" customFormat="1" x14ac:dyDescent="0.3">
      <c r="A24" s="166" t="s">
        <v>10</v>
      </c>
      <c r="B24" s="172">
        <f>SUM('Current Year Programs'!B35+'Legacy Programs'!B19)</f>
        <v>28340.711112246139</v>
      </c>
      <c r="C24" s="172">
        <f>SUM('Current Year Programs'!C35+'Legacy Programs'!C19)</f>
        <v>262203.12577840337</v>
      </c>
      <c r="D24" s="172">
        <f>SUM('Current Year Programs'!D35+'Legacy Programs'!D19)</f>
        <v>3375752.6187777985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s="96" customFormat="1" hidden="1" x14ac:dyDescent="0.3">
      <c r="A25" s="173" t="s">
        <v>18</v>
      </c>
      <c r="B25" s="172">
        <f>'Legacy Programs'!B20</f>
        <v>0</v>
      </c>
      <c r="C25" s="172">
        <f>'Legacy Programs'!C20</f>
        <v>0</v>
      </c>
      <c r="D25" s="172">
        <f>'Legacy Programs'!D20</f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5" s="96" customFormat="1" x14ac:dyDescent="0.3">
      <c r="A26" s="166" t="s">
        <v>9</v>
      </c>
      <c r="B26" s="172">
        <f>SUM('Current Year Programs'!B36+'Legacy Programs'!B21)</f>
        <v>126938.02695364434</v>
      </c>
      <c r="C26" s="172">
        <f>SUM('Current Year Programs'!C36+'Legacy Programs'!C21)</f>
        <v>928939.81372026389</v>
      </c>
      <c r="D26" s="172">
        <f>SUM('Current Year Programs'!D36+'Legacy Programs'!D21)</f>
        <v>11966200.434822422</v>
      </c>
      <c r="E26" s="87"/>
      <c r="F26" s="87"/>
      <c r="G26" s="87"/>
    </row>
    <row r="27" spans="1:15" s="96" customFormat="1" x14ac:dyDescent="0.3">
      <c r="A27" s="166" t="s">
        <v>54</v>
      </c>
      <c r="B27" s="172">
        <f>SUM('Current Year Programs'!B37+'Legacy Programs'!B22)</f>
        <v>4365</v>
      </c>
      <c r="C27" s="172">
        <f>SUM('Current Year Programs'!C37+'Legacy Programs'!C22)</f>
        <v>15594.566177022272</v>
      </c>
      <c r="D27" s="172">
        <f>SUM('Current Year Programs'!D37+'Legacy Programs'!D22)</f>
        <v>177438.82800000001</v>
      </c>
      <c r="E27" s="87"/>
      <c r="F27" s="87"/>
      <c r="G27" s="87"/>
    </row>
    <row r="28" spans="1:15" s="96" customFormat="1" hidden="1" x14ac:dyDescent="0.3">
      <c r="A28" s="173" t="s">
        <v>19</v>
      </c>
      <c r="B28" s="172">
        <f>'Legacy Programs'!B23</f>
        <v>0</v>
      </c>
      <c r="C28" s="172">
        <f>'Legacy Programs'!C23</f>
        <v>0</v>
      </c>
      <c r="D28" s="172">
        <f>'Legacy Programs'!D23</f>
        <v>0</v>
      </c>
      <c r="E28" s="87"/>
      <c r="F28" s="87"/>
      <c r="G28" s="87"/>
    </row>
    <row r="29" spans="1:15" ht="4.3499999999999996" customHeight="1" x14ac:dyDescent="0.3">
      <c r="B29" s="99"/>
      <c r="C29" s="99"/>
      <c r="D29" s="99"/>
    </row>
    <row r="30" spans="1:15" ht="16.2" x14ac:dyDescent="0.3">
      <c r="A30" s="168" t="s">
        <v>44</v>
      </c>
      <c r="B30" s="172">
        <f>SUM('Current Year Programs'!B39)</f>
        <v>29692.59821</v>
      </c>
      <c r="C30" s="172">
        <f>SUM('Current Year Programs'!C39)</f>
        <v>138517.928291524</v>
      </c>
      <c r="D30" s="172">
        <f>SUM('Current Year Programs'!D39)</f>
        <v>2480600.3500878997</v>
      </c>
      <c r="E30" s="100"/>
    </row>
    <row r="31" spans="1:15" ht="4.3499999999999996" customHeight="1" x14ac:dyDescent="0.3">
      <c r="B31" s="101"/>
      <c r="C31" s="99"/>
      <c r="D31" s="102"/>
      <c r="E31" s="102"/>
    </row>
    <row r="32" spans="1:15" s="98" customFormat="1" x14ac:dyDescent="0.3">
      <c r="A32" s="174" t="s">
        <v>45</v>
      </c>
      <c r="B32" s="175">
        <f>SUM(B22:B30)</f>
        <v>198274.46318689047</v>
      </c>
      <c r="C32" s="175">
        <f>SUM(C22:C30)</f>
        <v>1423586.2180490971</v>
      </c>
      <c r="D32" s="175">
        <f>SUM(D22:D30)</f>
        <v>18897124.846416771</v>
      </c>
      <c r="E32" s="103"/>
    </row>
    <row r="33" spans="1:9" x14ac:dyDescent="0.3">
      <c r="B33" s="93"/>
      <c r="C33" s="93"/>
      <c r="D33" s="93"/>
      <c r="E33" s="93"/>
      <c r="F33" s="93"/>
    </row>
    <row r="34" spans="1:9" x14ac:dyDescent="0.3">
      <c r="B34" s="176" t="s">
        <v>48</v>
      </c>
      <c r="C34" s="176" t="s">
        <v>49</v>
      </c>
      <c r="D34" s="93"/>
      <c r="E34" s="93"/>
      <c r="F34" s="93"/>
    </row>
    <row r="35" spans="1:9" x14ac:dyDescent="0.3">
      <c r="A35" s="236" t="s">
        <v>55</v>
      </c>
      <c r="B35" s="243" t="s">
        <v>51</v>
      </c>
      <c r="C35" s="243"/>
      <c r="D35" s="93"/>
      <c r="E35" s="93"/>
      <c r="F35" s="93"/>
    </row>
    <row r="36" spans="1:9" x14ac:dyDescent="0.3">
      <c r="A36" s="237"/>
      <c r="B36" s="171" t="s">
        <v>56</v>
      </c>
      <c r="C36" s="171" t="s">
        <v>56</v>
      </c>
      <c r="D36" s="93"/>
      <c r="E36" s="93"/>
      <c r="F36" s="93"/>
    </row>
    <row r="37" spans="1:9" x14ac:dyDescent="0.3">
      <c r="A37" s="173" t="s">
        <v>11</v>
      </c>
      <c r="B37" s="172">
        <f>'Legacy Programs'!B29</f>
        <v>3796.5295030772004</v>
      </c>
      <c r="C37" s="172">
        <f>'Legacy Programs'!C29</f>
        <v>35372.132661349198</v>
      </c>
      <c r="D37" s="93"/>
      <c r="E37" s="93"/>
      <c r="F37" s="93"/>
    </row>
    <row r="38" spans="1:9" x14ac:dyDescent="0.3">
      <c r="A38" s="166" t="s">
        <v>20</v>
      </c>
      <c r="B38" s="172">
        <f>SUM('Current Year Programs'!B46+'Legacy Programs'!B30)</f>
        <v>199777.40565599492</v>
      </c>
      <c r="C38" s="172">
        <f>SUM('Current Year Programs'!C46+'Legacy Programs'!C30)</f>
        <v>1386435.3498319467</v>
      </c>
      <c r="D38" s="93"/>
      <c r="E38" s="93"/>
      <c r="F38" s="93"/>
    </row>
    <row r="39" spans="1:9" x14ac:dyDescent="0.3">
      <c r="A39" s="166" t="s">
        <v>18</v>
      </c>
      <c r="B39" s="172">
        <f>SUM('Current Year Programs'!B47+'Legacy Programs'!B31)</f>
        <v>454680</v>
      </c>
      <c r="C39" s="172">
        <f>SUM('Current Year Programs'!C47+'Legacy Programs'!C31)</f>
        <v>3246567</v>
      </c>
      <c r="D39" s="93"/>
      <c r="F39" s="93"/>
    </row>
    <row r="40" spans="1:9" x14ac:dyDescent="0.3">
      <c r="A40" s="166" t="s">
        <v>9</v>
      </c>
      <c r="B40" s="172">
        <f>SUM('Current Year Programs'!B48+'Legacy Programs'!B32)</f>
        <v>2096704.2765568017</v>
      </c>
      <c r="C40" s="172">
        <f>SUM('Current Year Programs'!C48+'Legacy Programs'!C32)</f>
        <v>17825191.117875919</v>
      </c>
      <c r="D40" s="93"/>
      <c r="F40" s="93"/>
    </row>
    <row r="41" spans="1:9" hidden="1" x14ac:dyDescent="0.3">
      <c r="A41" s="173" t="s">
        <v>54</v>
      </c>
      <c r="B41" s="172">
        <f>'Legacy Programs'!B33</f>
        <v>0</v>
      </c>
      <c r="C41" s="172">
        <f>'Legacy Programs'!C33</f>
        <v>0</v>
      </c>
      <c r="D41" s="93"/>
      <c r="F41" s="93"/>
    </row>
    <row r="42" spans="1:9" x14ac:dyDescent="0.3">
      <c r="A42" s="166" t="s">
        <v>19</v>
      </c>
      <c r="B42" s="172">
        <f>SUM('Current Year Programs'!B49+'Legacy Programs'!B34)</f>
        <v>312771.14409963519</v>
      </c>
      <c r="C42" s="172">
        <f>SUM('Current Year Programs'!C49+'Legacy Programs'!C34)</f>
        <v>2678466.3593468959</v>
      </c>
      <c r="D42" s="104"/>
    </row>
    <row r="43" spans="1:9" ht="4.3499999999999996" customHeight="1" x14ac:dyDescent="0.3">
      <c r="B43" s="99"/>
      <c r="C43" s="99"/>
    </row>
    <row r="44" spans="1:9" ht="16.2" x14ac:dyDescent="0.3">
      <c r="A44" s="168" t="s">
        <v>44</v>
      </c>
      <c r="B44" s="172">
        <f>SUM('Current Year Programs'!B51)</f>
        <v>247751.57653100003</v>
      </c>
      <c r="C44" s="172">
        <f>SUM('Current Year Programs'!C51)</f>
        <v>4739338.4816770004</v>
      </c>
    </row>
    <row r="45" spans="1:9" ht="4.3499999999999996" customHeight="1" x14ac:dyDescent="0.3">
      <c r="B45" s="99"/>
      <c r="C45" s="99"/>
    </row>
    <row r="46" spans="1:9" s="98" customFormat="1" x14ac:dyDescent="0.3">
      <c r="A46" s="174" t="s">
        <v>45</v>
      </c>
      <c r="B46" s="175">
        <f>SUM(B37:B44)</f>
        <v>3315480.9323465088</v>
      </c>
      <c r="C46" s="175">
        <f>SUM(C37:C44)</f>
        <v>29911370.441393111</v>
      </c>
    </row>
    <row r="47" spans="1:9" x14ac:dyDescent="0.3">
      <c r="B47" s="93"/>
      <c r="C47" s="93"/>
      <c r="D47" s="93"/>
      <c r="E47" s="93"/>
      <c r="F47" s="93"/>
    </row>
    <row r="48" spans="1:9" s="105" customFormat="1" ht="14.4" customHeight="1" x14ac:dyDescent="0.3">
      <c r="B48" s="249" t="s">
        <v>57</v>
      </c>
      <c r="C48" s="250"/>
      <c r="D48" s="250"/>
      <c r="E48" s="251"/>
      <c r="F48" s="249" t="s">
        <v>58</v>
      </c>
      <c r="G48" s="250"/>
      <c r="H48" s="250"/>
      <c r="I48" s="251"/>
    </row>
    <row r="49" spans="1:9" s="105" customFormat="1" ht="14.4" customHeight="1" x14ac:dyDescent="0.3">
      <c r="A49" s="248" t="s">
        <v>59</v>
      </c>
      <c r="B49" s="246" t="s">
        <v>60</v>
      </c>
      <c r="C49" s="244" t="s">
        <v>61</v>
      </c>
      <c r="D49" s="244" t="s">
        <v>62</v>
      </c>
      <c r="E49" s="244" t="s">
        <v>63</v>
      </c>
      <c r="F49" s="244" t="s">
        <v>60</v>
      </c>
      <c r="G49" s="244" t="s">
        <v>61</v>
      </c>
      <c r="H49" s="244" t="s">
        <v>62</v>
      </c>
      <c r="I49" s="244" t="s">
        <v>63</v>
      </c>
    </row>
    <row r="50" spans="1:9" s="105" customFormat="1" ht="14.4" customHeight="1" x14ac:dyDescent="0.3">
      <c r="A50" s="248"/>
      <c r="B50" s="247"/>
      <c r="C50" s="245"/>
      <c r="D50" s="245"/>
      <c r="E50" s="245"/>
      <c r="F50" s="245"/>
      <c r="G50" s="245"/>
      <c r="H50" s="245"/>
      <c r="I50" s="245"/>
    </row>
    <row r="51" spans="1:9" s="105" customFormat="1" x14ac:dyDescent="0.3">
      <c r="A51" s="248"/>
      <c r="B51" s="247"/>
      <c r="C51" s="245"/>
      <c r="D51" s="245"/>
      <c r="E51" s="245"/>
      <c r="F51" s="245"/>
      <c r="G51" s="245"/>
      <c r="H51" s="245"/>
      <c r="I51" s="245"/>
    </row>
    <row r="52" spans="1:9" s="105" customFormat="1" x14ac:dyDescent="0.3">
      <c r="A52" s="106" t="s">
        <v>64</v>
      </c>
      <c r="B52" s="107">
        <f>SUM('Current Year Programs'!B59+'Legacy Programs'!B41)</f>
        <v>836033.36078156054</v>
      </c>
      <c r="C52" s="107">
        <f>SUM('Current Year Programs'!C59+'Legacy Programs'!C41)</f>
        <v>537.08025499125029</v>
      </c>
      <c r="D52" s="107">
        <f>SUM('Current Year Programs'!D59+'Legacy Programs'!D41)</f>
        <v>433.54671186040684</v>
      </c>
      <c r="E52" s="107">
        <f>SUM('Current Year Programs'!E59+'Legacy Programs'!E41)</f>
        <v>1565.9448398540067</v>
      </c>
      <c r="F52" s="107">
        <f>SUM('Current Year Programs'!F59+'Legacy Programs'!F41)</f>
        <v>11097766.046168394</v>
      </c>
      <c r="G52" s="107">
        <f>SUM('Current Year Programs'!G59+'Legacy Programs'!G41)</f>
        <v>7129.369828420874</v>
      </c>
      <c r="H52" s="107">
        <f>SUM('Current Year Programs'!H59+'Legacy Programs'!H41)</f>
        <v>5755.0334759541984</v>
      </c>
      <c r="I52" s="107">
        <f>SUM('Current Year Programs'!I59+'Legacy Programs'!I41)</f>
        <v>20786.83733105845</v>
      </c>
    </row>
    <row r="53" spans="1:9" s="105" customFormat="1" x14ac:dyDescent="0.3">
      <c r="A53" s="108" t="s">
        <v>65</v>
      </c>
      <c r="B53" s="107">
        <f>SUM('Current Year Programs'!B60+'Legacy Programs'!B42)</f>
        <v>196306.55697264583</v>
      </c>
      <c r="C53" s="107">
        <f>SUM('Current Year Programs'!C60+'Legacy Programs'!C42)</f>
        <v>1250.8405335670923</v>
      </c>
      <c r="D53" s="109"/>
      <c r="E53" s="109"/>
      <c r="F53" s="107">
        <f>SUM('Current Year Programs'!F60+'Legacy Programs'!F42)</f>
        <v>1906235.3921989957</v>
      </c>
      <c r="G53" s="107">
        <f>SUM('Current Year Programs'!G60+'Legacy Programs'!G42)</f>
        <v>11284.744302889218</v>
      </c>
      <c r="H53" s="109"/>
      <c r="I53" s="109"/>
    </row>
    <row r="54" spans="1:9" s="105" customFormat="1" x14ac:dyDescent="0.3">
      <c r="A54" s="110" t="s">
        <v>66</v>
      </c>
      <c r="B54" s="111">
        <f t="shared" ref="B54:I54" si="0">SUM(B52:B53)</f>
        <v>1032339.9177542063</v>
      </c>
      <c r="C54" s="111">
        <f t="shared" si="0"/>
        <v>1787.9207885583426</v>
      </c>
      <c r="D54" s="111">
        <f t="shared" si="0"/>
        <v>433.54671186040684</v>
      </c>
      <c r="E54" s="124">
        <f t="shared" si="0"/>
        <v>1565.9448398540067</v>
      </c>
      <c r="F54" s="111">
        <f t="shared" si="0"/>
        <v>13004001.438367389</v>
      </c>
      <c r="G54" s="111">
        <f t="shared" si="0"/>
        <v>18414.114131310092</v>
      </c>
      <c r="H54" s="111">
        <f t="shared" si="0"/>
        <v>5755.0334759541984</v>
      </c>
      <c r="I54" s="124">
        <f t="shared" si="0"/>
        <v>20786.83733105845</v>
      </c>
    </row>
    <row r="55" spans="1:9" x14ac:dyDescent="0.3">
      <c r="B55" s="114"/>
      <c r="C55" s="114"/>
      <c r="D55" s="114"/>
      <c r="E55" s="114"/>
      <c r="F55" s="114"/>
    </row>
    <row r="56" spans="1:9" ht="16.2" x14ac:dyDescent="0.3">
      <c r="A56" s="115" t="s">
        <v>67</v>
      </c>
      <c r="B56" s="114"/>
      <c r="C56" s="114"/>
      <c r="D56" s="114"/>
      <c r="E56" s="114"/>
      <c r="F56" s="114"/>
    </row>
  </sheetData>
  <mergeCells count="17">
    <mergeCell ref="D49:D51"/>
    <mergeCell ref="C49:C51"/>
    <mergeCell ref="B49:B51"/>
    <mergeCell ref="A49:A51"/>
    <mergeCell ref="F48:I48"/>
    <mergeCell ref="B48:E48"/>
    <mergeCell ref="I49:I51"/>
    <mergeCell ref="E49:E51"/>
    <mergeCell ref="F49:F51"/>
    <mergeCell ref="G49:G51"/>
    <mergeCell ref="H49:H51"/>
    <mergeCell ref="A35:A36"/>
    <mergeCell ref="B20:D20"/>
    <mergeCell ref="A20:A21"/>
    <mergeCell ref="H19:K19"/>
    <mergeCell ref="A1:F1"/>
    <mergeCell ref="B35:C35"/>
  </mergeCells>
  <pageMargins left="0.5" right="0.2" top="0.75" bottom="0.75" header="0.3" footer="0.3"/>
  <pageSetup scale="6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showGridLines="0" zoomScaleNormal="100" workbookViewId="0">
      <selection sqref="A1:F1"/>
    </sheetView>
  </sheetViews>
  <sheetFormatPr defaultColWidth="8.88671875" defaultRowHeight="14.4" x14ac:dyDescent="0.3"/>
  <cols>
    <col min="1" max="1" width="41" style="13" customWidth="1"/>
    <col min="2" max="2" width="17.5546875" style="13" customWidth="1"/>
    <col min="3" max="4" width="16.6640625" style="13" customWidth="1"/>
    <col min="5" max="5" width="16.5546875" style="13" customWidth="1"/>
    <col min="6" max="6" width="16.88671875" style="13" bestFit="1" customWidth="1"/>
    <col min="7" max="7" width="15.88671875" style="13" bestFit="1" customWidth="1"/>
    <col min="8" max="8" width="16.109375" style="13" customWidth="1"/>
    <col min="9" max="9" width="15.109375" style="13" customWidth="1"/>
    <col min="10" max="10" width="13.109375" style="13" customWidth="1"/>
    <col min="11" max="16384" width="8.88671875" style="13"/>
  </cols>
  <sheetData>
    <row r="1" spans="1:10" ht="21" x14ac:dyDescent="0.4">
      <c r="A1" s="267" t="s">
        <v>68</v>
      </c>
      <c r="B1" s="267"/>
      <c r="C1" s="267"/>
      <c r="D1" s="267"/>
      <c r="E1" s="267"/>
      <c r="F1" s="267"/>
      <c r="G1" s="42"/>
      <c r="H1" s="42"/>
      <c r="I1" s="42"/>
      <c r="J1" s="42"/>
    </row>
    <row r="2" spans="1:10" ht="21" x14ac:dyDescent="0.4">
      <c r="A2" s="267" t="s">
        <v>32</v>
      </c>
      <c r="B2" s="267"/>
      <c r="C2" s="267"/>
      <c r="D2" s="267"/>
      <c r="E2" s="267"/>
      <c r="F2" s="267"/>
      <c r="G2" s="42"/>
      <c r="H2" s="42"/>
      <c r="I2" s="42"/>
      <c r="J2" s="42"/>
    </row>
    <row r="3" spans="1:10" ht="17.100000000000001" customHeight="1" x14ac:dyDescent="0.3">
      <c r="A3" s="37"/>
    </row>
    <row r="4" spans="1:10" ht="27.6" customHeight="1" x14ac:dyDescent="0.3">
      <c r="A4" s="177" t="s">
        <v>33</v>
      </c>
      <c r="B4" s="178" t="s">
        <v>69</v>
      </c>
      <c r="C4" s="178" t="s">
        <v>70</v>
      </c>
      <c r="D4" s="178" t="s">
        <v>71</v>
      </c>
      <c r="E4" s="136" t="s">
        <v>72</v>
      </c>
      <c r="F4" s="67"/>
      <c r="G4" s="67"/>
      <c r="H4" s="67"/>
    </row>
    <row r="5" spans="1:10" x14ac:dyDescent="0.3">
      <c r="A5" s="173" t="s">
        <v>37</v>
      </c>
      <c r="B5" s="179">
        <f>'Budgets, Expenses &amp; Incentives'!H5</f>
        <v>38399.370000000003</v>
      </c>
      <c r="C5" s="179">
        <f>'Budgets, Expenses &amp; Incentives'!H20</f>
        <v>21882.369999999995</v>
      </c>
      <c r="D5" s="179">
        <f>'Budgets, Expenses &amp; Incentives'!H35</f>
        <v>7903.85</v>
      </c>
      <c r="E5" s="180">
        <f t="shared" ref="E5:E11" si="0">IFERROR(C5/B5,0)</f>
        <v>0.56986273472715809</v>
      </c>
      <c r="F5" s="67"/>
      <c r="G5" s="67"/>
      <c r="H5" s="67"/>
    </row>
    <row r="6" spans="1:10" x14ac:dyDescent="0.3">
      <c r="A6" s="173" t="s">
        <v>38</v>
      </c>
      <c r="B6" s="179">
        <f>'Budgets, Expenses &amp; Incentives'!H6</f>
        <v>25359.300000000003</v>
      </c>
      <c r="C6" s="179">
        <f>'Budgets, Expenses &amp; Incentives'!H21</f>
        <v>14651.89</v>
      </c>
      <c r="D6" s="179">
        <f>'Budgets, Expenses &amp; Incentives'!H36</f>
        <v>8731.42</v>
      </c>
      <c r="E6" s="180">
        <f t="shared" si="0"/>
        <v>0.57777186278801063</v>
      </c>
    </row>
    <row r="7" spans="1:10" x14ac:dyDescent="0.3">
      <c r="A7" s="173" t="s">
        <v>39</v>
      </c>
      <c r="B7" s="179">
        <f>'Budgets, Expenses &amp; Incentives'!H7</f>
        <v>74437.709999999992</v>
      </c>
      <c r="C7" s="179">
        <f>'Budgets, Expenses &amp; Incentives'!H22</f>
        <v>53201.749999999993</v>
      </c>
      <c r="D7" s="179">
        <f>'Budgets, Expenses &amp; Incentives'!H37</f>
        <v>35390.47</v>
      </c>
      <c r="E7" s="180">
        <f t="shared" si="0"/>
        <v>0.71471502817590704</v>
      </c>
    </row>
    <row r="8" spans="1:10" x14ac:dyDescent="0.3">
      <c r="A8" s="173" t="s">
        <v>40</v>
      </c>
      <c r="B8" s="179">
        <f>'Budgets, Expenses &amp; Incentives'!H8</f>
        <v>89627.17</v>
      </c>
      <c r="C8" s="179">
        <f>'Budgets, Expenses &amp; Incentives'!H23</f>
        <v>50883</v>
      </c>
      <c r="D8" s="179">
        <f>'Budgets, Expenses &amp; Incentives'!H38</f>
        <v>33752</v>
      </c>
      <c r="E8" s="180">
        <f t="shared" si="0"/>
        <v>0.56771847197674541</v>
      </c>
    </row>
    <row r="9" spans="1:10" x14ac:dyDescent="0.3">
      <c r="A9" s="173" t="s">
        <v>41</v>
      </c>
      <c r="B9" s="179">
        <f>'Budgets, Expenses &amp; Incentives'!H9</f>
        <v>419743.04</v>
      </c>
      <c r="C9" s="179">
        <f>'Budgets, Expenses &amp; Incentives'!H24</f>
        <v>415389.52999999997</v>
      </c>
      <c r="D9" s="179">
        <f>'Budgets, Expenses &amp; Incentives'!H39</f>
        <v>283602.11</v>
      </c>
      <c r="E9" s="180">
        <f t="shared" si="0"/>
        <v>0.98962815440608609</v>
      </c>
    </row>
    <row r="10" spans="1:10" x14ac:dyDescent="0.3">
      <c r="A10" s="38" t="s">
        <v>42</v>
      </c>
      <c r="B10" s="179">
        <f>'Budgets, Expenses &amp; Incentives'!H10</f>
        <v>6193.6</v>
      </c>
      <c r="C10" s="179">
        <f>'Budgets, Expenses &amp; Incentives'!H25</f>
        <v>4889.5499999999993</v>
      </c>
      <c r="D10" s="179">
        <f>'Budgets, Expenses &amp; Incentives'!H40</f>
        <v>3509.53</v>
      </c>
      <c r="E10" s="180">
        <f t="shared" si="0"/>
        <v>0.78945201498320827</v>
      </c>
    </row>
    <row r="11" spans="1:10" x14ac:dyDescent="0.3">
      <c r="A11" s="173" t="s">
        <v>43</v>
      </c>
      <c r="B11" s="179">
        <f>'Budgets, Expenses &amp; Incentives'!H11</f>
        <v>39004.51</v>
      </c>
      <c r="C11" s="179">
        <f>'Budgets, Expenses &amp; Incentives'!H26</f>
        <v>40846.87999999999</v>
      </c>
      <c r="D11" s="179">
        <f>'Budgets, Expenses &amp; Incentives'!H41</f>
        <v>33203.67</v>
      </c>
      <c r="E11" s="180">
        <f t="shared" si="0"/>
        <v>1.0472347941302169</v>
      </c>
    </row>
    <row r="12" spans="1:10" ht="4.3499999999999996" customHeight="1" x14ac:dyDescent="0.3">
      <c r="B12" s="128"/>
      <c r="C12" s="128"/>
      <c r="D12" s="128"/>
      <c r="E12" s="36"/>
    </row>
    <row r="13" spans="1:10" x14ac:dyDescent="0.3">
      <c r="A13" s="173" t="s">
        <v>73</v>
      </c>
      <c r="B13" s="179">
        <f>'Budgets, Expenses &amp; Incentives'!H14</f>
        <v>265632.00800000003</v>
      </c>
      <c r="C13" s="179">
        <f>'Budgets, Expenses &amp; Incentives'!H29</f>
        <v>42800.272444199996</v>
      </c>
      <c r="D13" s="179">
        <f>'Budgets, Expenses &amp; Incentives'!H44</f>
        <v>31231.2116642</v>
      </c>
      <c r="E13" s="180">
        <f>IFERROR(C13/B13,0)</f>
        <v>0.16112618643533347</v>
      </c>
    </row>
    <row r="14" spans="1:10" ht="4.3499999999999996" customHeight="1" x14ac:dyDescent="0.3">
      <c r="B14" s="128"/>
      <c r="C14" s="128"/>
      <c r="D14" s="128"/>
      <c r="E14" s="36"/>
    </row>
    <row r="15" spans="1:10" x14ac:dyDescent="0.3">
      <c r="A15" s="181" t="s">
        <v>45</v>
      </c>
      <c r="B15" s="182">
        <f>SUM(B5:B13)</f>
        <v>958396.70799999998</v>
      </c>
      <c r="C15" s="182">
        <f>SUM(C5:C13)</f>
        <v>644545.24244419998</v>
      </c>
      <c r="D15" s="182">
        <f>SUM(D5:D13)</f>
        <v>437324.26166419999</v>
      </c>
      <c r="E15" s="183">
        <f>IFERROR(C15/B15,0)</f>
        <v>0.67252447453544462</v>
      </c>
    </row>
    <row r="16" spans="1:10" ht="3" customHeight="1" x14ac:dyDescent="0.3">
      <c r="A16" s="37"/>
      <c r="B16" s="39"/>
      <c r="C16" s="39"/>
      <c r="D16" s="39"/>
      <c r="E16" s="39"/>
      <c r="F16" s="39"/>
    </row>
    <row r="17" spans="1:14" x14ac:dyDescent="0.3">
      <c r="A17" s="37"/>
      <c r="B17" s="39"/>
      <c r="C17" s="39"/>
      <c r="D17" s="39"/>
      <c r="E17" s="39"/>
      <c r="F17" s="39"/>
    </row>
    <row r="18" spans="1:14" ht="27.9" customHeight="1" x14ac:dyDescent="0.3">
      <c r="A18" s="177" t="s">
        <v>74</v>
      </c>
      <c r="B18" s="178" t="s">
        <v>75</v>
      </c>
    </row>
    <row r="19" spans="1:14" x14ac:dyDescent="0.3">
      <c r="A19" s="173" t="s">
        <v>11</v>
      </c>
      <c r="B19" s="184">
        <f>Participants!G4</f>
        <v>431949</v>
      </c>
    </row>
    <row r="20" spans="1:14" x14ac:dyDescent="0.3">
      <c r="A20" s="173" t="s">
        <v>20</v>
      </c>
      <c r="B20" s="184">
        <f>Participants!G5</f>
        <v>193133</v>
      </c>
    </row>
    <row r="21" spans="1:14" x14ac:dyDescent="0.3">
      <c r="A21" s="173" t="s">
        <v>10</v>
      </c>
      <c r="B21" s="184">
        <f>Participants!G6</f>
        <v>1026821</v>
      </c>
    </row>
    <row r="22" spans="1:14" x14ac:dyDescent="0.3">
      <c r="A22" s="173" t="s">
        <v>18</v>
      </c>
      <c r="B22" s="184">
        <f>Participants!G7</f>
        <v>270952</v>
      </c>
    </row>
    <row r="23" spans="1:14" x14ac:dyDescent="0.3">
      <c r="A23" s="173" t="s">
        <v>9</v>
      </c>
      <c r="B23" s="184">
        <f>Participants!G8</f>
        <v>3690176</v>
      </c>
    </row>
    <row r="24" spans="1:14" x14ac:dyDescent="0.3">
      <c r="A24" s="173" t="s">
        <v>54</v>
      </c>
      <c r="B24" s="184">
        <f>Participants!G9</f>
        <v>82759</v>
      </c>
    </row>
    <row r="25" spans="1:14" x14ac:dyDescent="0.3">
      <c r="A25" s="173" t="s">
        <v>19</v>
      </c>
      <c r="B25" s="184">
        <f>Participants!G10</f>
        <v>203926</v>
      </c>
    </row>
    <row r="26" spans="1:14" ht="4.3499999999999996" customHeight="1" x14ac:dyDescent="0.3">
      <c r="B26" s="41"/>
    </row>
    <row r="27" spans="1:14" x14ac:dyDescent="0.3">
      <c r="A27" s="173" t="s">
        <v>73</v>
      </c>
      <c r="B27" s="184">
        <f>Participants!G13</f>
        <v>3283</v>
      </c>
    </row>
    <row r="28" spans="1:14" ht="4.3499999999999996" customHeight="1" x14ac:dyDescent="0.3">
      <c r="B28" s="41"/>
    </row>
    <row r="29" spans="1:14" x14ac:dyDescent="0.3">
      <c r="A29" s="181" t="s">
        <v>45</v>
      </c>
      <c r="B29" s="185">
        <f>SUM(B19:B27)</f>
        <v>5902999</v>
      </c>
    </row>
    <row r="30" spans="1:14" x14ac:dyDescent="0.3">
      <c r="B30" s="36"/>
      <c r="C30" s="36"/>
      <c r="D30" s="36"/>
      <c r="E30" s="36"/>
      <c r="F30" s="36"/>
    </row>
    <row r="31" spans="1:14" customFormat="1" x14ac:dyDescent="0.3">
      <c r="A31" s="43" t="s">
        <v>46</v>
      </c>
      <c r="B31" s="191" t="s">
        <v>47</v>
      </c>
      <c r="C31" s="191" t="s">
        <v>48</v>
      </c>
      <c r="D31" s="191" t="s">
        <v>49</v>
      </c>
      <c r="E31" s="162"/>
      <c r="H31" s="254"/>
      <c r="I31" s="254"/>
      <c r="J31" s="254"/>
      <c r="K31" s="254"/>
    </row>
    <row r="32" spans="1:14" customFormat="1" ht="14.4" customHeight="1" x14ac:dyDescent="0.3">
      <c r="A32" s="264" t="s">
        <v>50</v>
      </c>
      <c r="B32" s="255" t="s">
        <v>51</v>
      </c>
      <c r="C32" s="256"/>
      <c r="D32" s="257"/>
      <c r="E32" s="162"/>
      <c r="H32" s="13"/>
      <c r="I32" s="13"/>
      <c r="J32" s="13"/>
      <c r="K32" s="13"/>
      <c r="L32" s="13"/>
      <c r="M32" s="13"/>
      <c r="N32" s="13"/>
    </row>
    <row r="33" spans="1:15" customFormat="1" x14ac:dyDescent="0.3">
      <c r="A33" s="264"/>
      <c r="B33" s="186" t="s">
        <v>52</v>
      </c>
      <c r="C33" s="186" t="s">
        <v>53</v>
      </c>
      <c r="D33" s="186" t="s">
        <v>53</v>
      </c>
      <c r="E33" s="162"/>
      <c r="H33" s="13"/>
      <c r="I33" s="13"/>
      <c r="J33" s="13"/>
      <c r="K33" s="13"/>
      <c r="L33" s="13"/>
      <c r="M33" s="13"/>
      <c r="N33" s="13"/>
    </row>
    <row r="34" spans="1:15" customFormat="1" ht="14.4" customHeight="1" x14ac:dyDescent="0.3">
      <c r="A34" s="173" t="s">
        <v>11</v>
      </c>
      <c r="B34" s="187">
        <f>'Electric Savings'!G5</f>
        <v>8935.0678200000002</v>
      </c>
      <c r="C34" s="187">
        <f>'Electric Savings'!G16</f>
        <v>70015.535481883504</v>
      </c>
      <c r="D34" s="188">
        <f>'Electric Savings'!G27</f>
        <v>863518.1237286526</v>
      </c>
      <c r="E34" s="1"/>
      <c r="H34" s="5"/>
      <c r="I34" s="5"/>
      <c r="J34" s="5"/>
      <c r="K34" s="5"/>
      <c r="L34" s="5"/>
      <c r="M34" s="5"/>
      <c r="N34" s="5"/>
      <c r="O34" s="3"/>
    </row>
    <row r="35" spans="1:15" customFormat="1" x14ac:dyDescent="0.3">
      <c r="A35" s="173" t="s">
        <v>10</v>
      </c>
      <c r="B35" s="187">
        <f>'Electric Savings'!G6</f>
        <v>28340.711112246139</v>
      </c>
      <c r="C35" s="187">
        <f>'Electric Savings'!G17</f>
        <v>262203.12577840337</v>
      </c>
      <c r="D35" s="188">
        <f>'Electric Savings'!G28</f>
        <v>3375752.6187777985</v>
      </c>
      <c r="E35" s="1"/>
      <c r="H35" s="13"/>
      <c r="I35" s="13"/>
      <c r="J35" s="13"/>
      <c r="K35" s="13"/>
      <c r="L35" s="13"/>
      <c r="M35" s="13"/>
      <c r="N35" s="13"/>
    </row>
    <row r="36" spans="1:15" customFormat="1" x14ac:dyDescent="0.3">
      <c r="A36" s="173" t="s">
        <v>9</v>
      </c>
      <c r="B36" s="187">
        <f>'Electric Savings'!G7</f>
        <v>126315.02695364434</v>
      </c>
      <c r="C36" s="187">
        <f>'Electric Savings'!G18</f>
        <v>922846.7921943682</v>
      </c>
      <c r="D36" s="188">
        <f>'Electric Savings'!G29</f>
        <v>11866592.678806113</v>
      </c>
      <c r="E36" s="1"/>
    </row>
    <row r="37" spans="1:15" customFormat="1" x14ac:dyDescent="0.3">
      <c r="A37" s="173" t="s">
        <v>54</v>
      </c>
      <c r="B37" s="187">
        <f>'Electric Savings'!G8</f>
        <v>4365</v>
      </c>
      <c r="C37" s="187">
        <f>'Electric Savings'!G19</f>
        <v>15594.566177022272</v>
      </c>
      <c r="D37" s="188">
        <f>'Electric Savings'!G30</f>
        <v>177438.82800000001</v>
      </c>
      <c r="E37" s="1"/>
    </row>
    <row r="38" spans="1:15" ht="4.3499999999999996" customHeight="1" x14ac:dyDescent="0.3">
      <c r="B38" s="40"/>
      <c r="C38" s="40"/>
      <c r="D38" s="41"/>
      <c r="E38" s="41"/>
    </row>
    <row r="39" spans="1:15" x14ac:dyDescent="0.3">
      <c r="A39" s="173" t="s">
        <v>73</v>
      </c>
      <c r="B39" s="187">
        <f>'Electric Savings'!G10</f>
        <v>29692.59821</v>
      </c>
      <c r="C39" s="187">
        <f>'Electric Savings'!G21</f>
        <v>138517.928291524</v>
      </c>
      <c r="D39" s="188">
        <f>'Electric Savings'!G32</f>
        <v>2480600.3500878997</v>
      </c>
      <c r="E39" s="1"/>
    </row>
    <row r="40" spans="1:15" ht="4.3499999999999996" customHeight="1" x14ac:dyDescent="0.3">
      <c r="B40" s="78"/>
      <c r="C40" s="40"/>
      <c r="D40" s="41"/>
      <c r="E40" s="41"/>
    </row>
    <row r="41" spans="1:15" s="3" customFormat="1" x14ac:dyDescent="0.3">
      <c r="A41" s="189" t="s">
        <v>45</v>
      </c>
      <c r="B41" s="190">
        <f>SUM(B34:B39)</f>
        <v>197648.40409589047</v>
      </c>
      <c r="C41" s="190">
        <f>SUM(C34:C39)</f>
        <v>1409177.9479232014</v>
      </c>
      <c r="D41" s="190">
        <f>SUM(D34:D39)</f>
        <v>18763902.599400461</v>
      </c>
      <c r="E41" s="83"/>
    </row>
    <row r="42" spans="1:15" x14ac:dyDescent="0.3">
      <c r="B42" s="36"/>
      <c r="C42" s="36"/>
      <c r="D42" s="36"/>
      <c r="E42" s="36"/>
      <c r="F42" s="36"/>
    </row>
    <row r="43" spans="1:15" x14ac:dyDescent="0.3">
      <c r="B43" s="191" t="s">
        <v>48</v>
      </c>
      <c r="C43" s="191" t="s">
        <v>49</v>
      </c>
      <c r="D43" s="36"/>
      <c r="E43" s="36"/>
      <c r="F43" s="36"/>
    </row>
    <row r="44" spans="1:15" x14ac:dyDescent="0.3">
      <c r="A44" s="265" t="s">
        <v>55</v>
      </c>
      <c r="B44" s="258" t="s">
        <v>51</v>
      </c>
      <c r="C44" s="258"/>
      <c r="D44" s="36"/>
      <c r="E44" s="36"/>
      <c r="F44" s="36"/>
    </row>
    <row r="45" spans="1:15" x14ac:dyDescent="0.3">
      <c r="A45" s="266"/>
      <c r="B45" s="186" t="s">
        <v>56</v>
      </c>
      <c r="C45" s="186" t="s">
        <v>56</v>
      </c>
      <c r="D45" s="36"/>
      <c r="E45" s="36"/>
      <c r="F45" s="36"/>
    </row>
    <row r="46" spans="1:15" x14ac:dyDescent="0.3">
      <c r="A46" s="173" t="s">
        <v>20</v>
      </c>
      <c r="B46" s="187">
        <f>'Gas Savings'!G5</f>
        <v>199777.40565599492</v>
      </c>
      <c r="C46" s="187">
        <f>'Gas Savings'!G16</f>
        <v>1386435.3498319467</v>
      </c>
      <c r="D46" s="36"/>
      <c r="E46" s="36"/>
      <c r="F46" s="36"/>
    </row>
    <row r="47" spans="1:15" x14ac:dyDescent="0.3">
      <c r="A47" s="173" t="s">
        <v>18</v>
      </c>
      <c r="B47" s="187">
        <f>'Gas Savings'!G6</f>
        <v>454680</v>
      </c>
      <c r="C47" s="187">
        <f>'Gas Savings'!G17</f>
        <v>3246567</v>
      </c>
      <c r="D47" s="36"/>
      <c r="E47" s="36"/>
      <c r="F47" s="36"/>
    </row>
    <row r="48" spans="1:15" x14ac:dyDescent="0.3">
      <c r="A48" s="173" t="s">
        <v>9</v>
      </c>
      <c r="B48" s="187">
        <f>'Gas Savings'!G7</f>
        <v>2063085.3539277264</v>
      </c>
      <c r="C48" s="187">
        <f>'Gas Savings'!G18</f>
        <v>17269850.466541696</v>
      </c>
      <c r="D48" s="36"/>
      <c r="E48" s="36"/>
      <c r="F48" s="36"/>
    </row>
    <row r="49" spans="1:10" x14ac:dyDescent="0.3">
      <c r="A49" s="173" t="s">
        <v>19</v>
      </c>
      <c r="B49" s="187">
        <f>'Gas Savings'!G8</f>
        <v>312771.14409963519</v>
      </c>
      <c r="C49" s="187">
        <f>'Gas Savings'!G19</f>
        <v>2678466.3593468959</v>
      </c>
      <c r="D49" s="36"/>
      <c r="E49" s="36"/>
    </row>
    <row r="50" spans="1:10" ht="4.3499999999999996" customHeight="1" x14ac:dyDescent="0.3">
      <c r="B50" s="40"/>
      <c r="C50" s="40"/>
    </row>
    <row r="51" spans="1:10" x14ac:dyDescent="0.3">
      <c r="A51" s="173" t="s">
        <v>73</v>
      </c>
      <c r="B51" s="187">
        <f>'Gas Savings'!G10</f>
        <v>247751.57653100003</v>
      </c>
      <c r="C51" s="187">
        <f>'Gas Savings'!G21</f>
        <v>4739338.4816770004</v>
      </c>
    </row>
    <row r="52" spans="1:10" ht="4.3499999999999996" customHeight="1" x14ac:dyDescent="0.3">
      <c r="B52" s="40"/>
      <c r="C52" s="40"/>
    </row>
    <row r="53" spans="1:10" s="3" customFormat="1" x14ac:dyDescent="0.3">
      <c r="A53" s="189" t="s">
        <v>45</v>
      </c>
      <c r="B53" s="190">
        <f>SUM(B46:B51)</f>
        <v>3278065.4802143564</v>
      </c>
      <c r="C53" s="190">
        <f>SUM(C46:C51)</f>
        <v>29320657.657397538</v>
      </c>
    </row>
    <row r="54" spans="1:10" x14ac:dyDescent="0.3">
      <c r="B54" s="36"/>
      <c r="C54" s="36"/>
      <c r="D54" s="36"/>
      <c r="E54" s="36"/>
      <c r="F54" s="36"/>
    </row>
    <row r="55" spans="1:10" s="14" customFormat="1" ht="14.4" customHeight="1" x14ac:dyDescent="0.3">
      <c r="B55" s="261" t="s">
        <v>57</v>
      </c>
      <c r="C55" s="262"/>
      <c r="D55" s="262"/>
      <c r="E55" s="263"/>
      <c r="F55" s="261" t="s">
        <v>58</v>
      </c>
      <c r="G55" s="262"/>
      <c r="H55" s="262"/>
      <c r="I55" s="263"/>
    </row>
    <row r="56" spans="1:10" s="14" customFormat="1" ht="14.4" customHeight="1" x14ac:dyDescent="0.3">
      <c r="A56" s="268" t="s">
        <v>59</v>
      </c>
      <c r="B56" s="259" t="s">
        <v>76</v>
      </c>
      <c r="C56" s="252" t="s">
        <v>77</v>
      </c>
      <c r="D56" s="252" t="s">
        <v>78</v>
      </c>
      <c r="E56" s="252" t="s">
        <v>63</v>
      </c>
      <c r="F56" s="252" t="s">
        <v>76</v>
      </c>
      <c r="G56" s="252" t="s">
        <v>77</v>
      </c>
      <c r="H56" s="252" t="s">
        <v>78</v>
      </c>
      <c r="I56" s="252" t="s">
        <v>63</v>
      </c>
    </row>
    <row r="57" spans="1:10" s="14" customFormat="1" ht="14.4" customHeight="1" x14ac:dyDescent="0.3">
      <c r="A57" s="268"/>
      <c r="B57" s="260"/>
      <c r="C57" s="253"/>
      <c r="D57" s="253"/>
      <c r="E57" s="253"/>
      <c r="F57" s="253"/>
      <c r="G57" s="253"/>
      <c r="H57" s="253"/>
      <c r="I57" s="253"/>
    </row>
    <row r="58" spans="1:10" s="14" customFormat="1" x14ac:dyDescent="0.3">
      <c r="A58" s="268"/>
      <c r="B58" s="260"/>
      <c r="C58" s="253"/>
      <c r="D58" s="253"/>
      <c r="E58" s="253"/>
      <c r="F58" s="253"/>
      <c r="G58" s="253"/>
      <c r="H58" s="253"/>
      <c r="I58" s="253"/>
    </row>
    <row r="59" spans="1:10" s="14" customFormat="1" x14ac:dyDescent="0.3">
      <c r="A59" s="35" t="s">
        <v>64</v>
      </c>
      <c r="B59" s="32">
        <f>'Emissions Reductions'!B14</f>
        <v>827571.77668944362</v>
      </c>
      <c r="C59" s="31">
        <f>'Emissions Reductions'!C14</f>
        <v>531.64440762557149</v>
      </c>
      <c r="D59" s="31">
        <f>'Emissions Reductions'!D14</f>
        <v>429.15873868570225</v>
      </c>
      <c r="E59" s="31">
        <f>'Emissions Reductions'!E14</f>
        <v>1550.0957427155215</v>
      </c>
      <c r="F59" s="31">
        <f>'Emissions Reductions'!F14</f>
        <v>11019528.253829727</v>
      </c>
      <c r="G59" s="31">
        <f>'Emissions Reductions'!G14</f>
        <v>7079.1087079556301</v>
      </c>
      <c r="H59" s="31">
        <f>'Emissions Reductions'!H14</f>
        <v>5714.4612461810502</v>
      </c>
      <c r="I59" s="34">
        <f>'Emissions Reductions'!I14</f>
        <v>20640.292859340512</v>
      </c>
    </row>
    <row r="60" spans="1:10" s="14" customFormat="1" x14ac:dyDescent="0.3">
      <c r="A60" s="33" t="s">
        <v>65</v>
      </c>
      <c r="B60" s="32">
        <f>'Emissions Reductions'!B27</f>
        <v>174333.48235685442</v>
      </c>
      <c r="C60" s="31">
        <f>'Emissions Reductions'!C27</f>
        <v>1236.7247038990529</v>
      </c>
      <c r="D60" s="30"/>
      <c r="E60" s="30"/>
      <c r="F60" s="32">
        <f>'Emissions Reductions'!D27</f>
        <v>1559325.884507051</v>
      </c>
      <c r="G60" s="31">
        <f>'Emissions Reductions'!E27</f>
        <v>11061.884479836343</v>
      </c>
      <c r="H60" s="30"/>
      <c r="I60" s="30"/>
    </row>
    <row r="61" spans="1:10" s="14" customFormat="1" x14ac:dyDescent="0.3">
      <c r="A61" s="29" t="s">
        <v>66</v>
      </c>
      <c r="B61" s="28">
        <f t="shared" ref="B61:I61" si="1">SUM(B59:B60)</f>
        <v>1001905.259046298</v>
      </c>
      <c r="C61" s="192">
        <f t="shared" si="1"/>
        <v>1768.3691115246243</v>
      </c>
      <c r="D61" s="27">
        <f t="shared" si="1"/>
        <v>429.15873868570225</v>
      </c>
      <c r="E61" s="79">
        <f t="shared" si="1"/>
        <v>1550.0957427155215</v>
      </c>
      <c r="F61" s="192">
        <f t="shared" si="1"/>
        <v>12578854.138336778</v>
      </c>
      <c r="G61" s="192">
        <f t="shared" si="1"/>
        <v>18140.993187791973</v>
      </c>
      <c r="H61" s="27">
        <f t="shared" si="1"/>
        <v>5714.4612461810502</v>
      </c>
      <c r="I61" s="79">
        <f t="shared" si="1"/>
        <v>20640.292859340512</v>
      </c>
    </row>
    <row r="62" spans="1:10" s="14" customFormat="1" x14ac:dyDescent="0.3">
      <c r="A62" s="26"/>
      <c r="B62" s="25"/>
      <c r="C62" s="25"/>
      <c r="D62" s="25"/>
      <c r="E62" s="25"/>
      <c r="F62" s="24"/>
      <c r="G62" s="25"/>
      <c r="H62" s="25"/>
      <c r="I62" s="25"/>
      <c r="J62" s="24"/>
    </row>
  </sheetData>
  <mergeCells count="18">
    <mergeCell ref="A32:A33"/>
    <mergeCell ref="A44:A45"/>
    <mergeCell ref="G56:G58"/>
    <mergeCell ref="A1:F1"/>
    <mergeCell ref="A2:F2"/>
    <mergeCell ref="A56:A58"/>
    <mergeCell ref="E56:E58"/>
    <mergeCell ref="H56:H58"/>
    <mergeCell ref="H31:K31"/>
    <mergeCell ref="B32:D32"/>
    <mergeCell ref="B44:C44"/>
    <mergeCell ref="I56:I58"/>
    <mergeCell ref="B56:B58"/>
    <mergeCell ref="C56:C58"/>
    <mergeCell ref="D56:D58"/>
    <mergeCell ref="F56:F58"/>
    <mergeCell ref="B55:E55"/>
    <mergeCell ref="F55:I55"/>
  </mergeCells>
  <conditionalFormatting sqref="E5:E11">
    <cfRule type="expression" dxfId="175" priority="3972">
      <formula>IF($J5="TL",TRUE,FALSE)</formula>
    </cfRule>
    <cfRule type="expression" dxfId="174" priority="3973">
      <formula>IF($J5="ST",TRUE,FALSE)</formula>
    </cfRule>
    <cfRule type="expression" dxfId="173" priority="3974">
      <formula>IF(AND($J5="C",$K5=3),TRUE,FALSE)</formula>
    </cfRule>
    <cfRule type="expression" dxfId="172" priority="3975">
      <formula>IF(AND($J5&lt;&gt;"",$J5&lt;&gt;"ST"),TRUE,FALSE)</formula>
    </cfRule>
    <cfRule type="expression" dxfId="171" priority="3976">
      <formula>IF(OR($J5="ST",$J5="TL"),TRUE,FALSE)</formula>
    </cfRule>
    <cfRule type="expression" dxfId="170" priority="3977">
      <formula>IF($J5="SC",TRUE,FALSE)</formula>
    </cfRule>
    <cfRule type="expression" dxfId="169" priority="3978">
      <formula>IF(AND($J5="C",$K5=2),TRUE,FALSE)</formula>
    </cfRule>
  </conditionalFormatting>
  <conditionalFormatting sqref="E13 E15">
    <cfRule type="expression" dxfId="168" priority="3965">
      <formula>IF($M13="TL",TRUE,FALSE)</formula>
    </cfRule>
    <cfRule type="expression" dxfId="167" priority="3966">
      <formula>IF($M13="ST",TRUE,FALSE)</formula>
    </cfRule>
    <cfRule type="expression" dxfId="166" priority="3967">
      <formula>IF(AND($M13="C",$N13=3),TRUE,FALSE)</formula>
    </cfRule>
    <cfRule type="expression" dxfId="165" priority="3968">
      <formula>IF(AND($M13&lt;&gt;"",$M13&lt;&gt;"ST"),TRUE,FALSE)</formula>
    </cfRule>
    <cfRule type="expression" dxfId="164" priority="3969">
      <formula>IF(OR($M13="ST",$M13="TL"),TRUE,FALSE)</formula>
    </cfRule>
    <cfRule type="expression" dxfId="163" priority="3970">
      <formula>IF($M13="SC",TRUE,FALSE)</formula>
    </cfRule>
    <cfRule type="expression" dxfId="162" priority="3971">
      <formula>IF(AND($M13="C",$N13=2),TRUE,FALSE)</formula>
    </cfRule>
  </conditionalFormatting>
  <pageMargins left="0.25" right="0.25" top="0.75" bottom="0.75" header="0.3" footer="0.3"/>
  <pageSetup scale="5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62C8-8853-4681-9FA1-A9BCD2B5F3D1}">
  <sheetPr>
    <pageSetUpPr fitToPage="1"/>
  </sheetPr>
  <dimension ref="A1:J45"/>
  <sheetViews>
    <sheetView showGridLines="0" zoomScaleNormal="100" workbookViewId="0"/>
  </sheetViews>
  <sheetFormatPr defaultColWidth="8.88671875" defaultRowHeight="14.4" x14ac:dyDescent="0.3"/>
  <cols>
    <col min="1" max="1" width="48.88671875" style="87" customWidth="1"/>
    <col min="2" max="3" width="17.5546875" style="87" customWidth="1"/>
    <col min="4" max="4" width="18.109375" style="87" customWidth="1"/>
    <col min="5" max="5" width="16.88671875" style="87" bestFit="1" customWidth="1"/>
    <col min="6" max="6" width="17.88671875" style="87" bestFit="1" customWidth="1"/>
    <col min="7" max="7" width="16.109375" style="87" customWidth="1"/>
    <col min="8" max="8" width="15.109375" style="87" customWidth="1"/>
    <col min="9" max="9" width="13.109375" style="87" customWidth="1"/>
    <col min="10" max="16384" width="8.88671875" style="87"/>
  </cols>
  <sheetData>
    <row r="1" spans="1:10" ht="21" x14ac:dyDescent="0.4">
      <c r="A1" s="160" t="s">
        <v>79</v>
      </c>
      <c r="B1" s="86"/>
      <c r="C1" s="86"/>
      <c r="D1" s="86"/>
      <c r="E1" s="86"/>
      <c r="F1" s="86"/>
      <c r="G1" s="86"/>
      <c r="H1" s="86"/>
      <c r="I1" s="86"/>
    </row>
    <row r="2" spans="1:10" ht="21" x14ac:dyDescent="0.4">
      <c r="A2" s="86" t="s">
        <v>32</v>
      </c>
      <c r="B2" s="86"/>
      <c r="C2" s="86"/>
      <c r="D2" s="86"/>
      <c r="E2" s="86"/>
      <c r="F2" s="86"/>
      <c r="G2" s="86"/>
      <c r="H2" s="86"/>
      <c r="I2" s="86"/>
    </row>
    <row r="3" spans="1:10" x14ac:dyDescent="0.3">
      <c r="A3" s="90"/>
      <c r="D3" s="114"/>
      <c r="G3" s="90"/>
    </row>
    <row r="4" spans="1:10" ht="27.9" customHeight="1" x14ac:dyDescent="0.3">
      <c r="A4" s="164" t="s">
        <v>33</v>
      </c>
      <c r="B4" s="165" t="s">
        <v>80</v>
      </c>
      <c r="C4" s="165" t="s">
        <v>81</v>
      </c>
      <c r="E4" s="90"/>
      <c r="F4" s="90"/>
      <c r="G4" s="90"/>
    </row>
    <row r="5" spans="1:10" x14ac:dyDescent="0.3">
      <c r="A5" s="168" t="s">
        <v>37</v>
      </c>
      <c r="B5" s="126">
        <v>1417.74</v>
      </c>
      <c r="C5" s="126">
        <v>1417.74</v>
      </c>
      <c r="E5" s="90"/>
      <c r="F5" s="90"/>
      <c r="G5" s="90"/>
    </row>
    <row r="6" spans="1:10" x14ac:dyDescent="0.3">
      <c r="A6" s="166" t="s">
        <v>38</v>
      </c>
      <c r="B6" s="126">
        <v>0</v>
      </c>
      <c r="C6" s="126">
        <v>0</v>
      </c>
    </row>
    <row r="7" spans="1:10" hidden="1" x14ac:dyDescent="0.3">
      <c r="A7" s="166" t="s">
        <v>39</v>
      </c>
      <c r="B7" s="193"/>
      <c r="C7" s="193"/>
      <c r="D7" s="114"/>
    </row>
    <row r="8" spans="1:10" x14ac:dyDescent="0.3">
      <c r="A8" s="166" t="s">
        <v>40</v>
      </c>
      <c r="B8" s="126">
        <v>135055.66</v>
      </c>
      <c r="C8" s="126">
        <v>15997.39</v>
      </c>
      <c r="D8" s="93"/>
      <c r="E8" s="93"/>
    </row>
    <row r="9" spans="1:10" x14ac:dyDescent="0.3">
      <c r="A9" s="166" t="s">
        <v>41</v>
      </c>
      <c r="B9" s="129">
        <v>39061</v>
      </c>
      <c r="C9" s="129">
        <v>31563</v>
      </c>
      <c r="D9" s="114"/>
    </row>
    <row r="10" spans="1:10" x14ac:dyDescent="0.3">
      <c r="A10" s="92" t="s">
        <v>42</v>
      </c>
      <c r="B10" s="126">
        <v>0</v>
      </c>
      <c r="C10" s="126">
        <v>0</v>
      </c>
      <c r="D10" s="116"/>
      <c r="E10" s="116"/>
    </row>
    <row r="11" spans="1:10" x14ac:dyDescent="0.3">
      <c r="A11" s="166" t="s">
        <v>43</v>
      </c>
      <c r="B11" s="126">
        <v>0</v>
      </c>
      <c r="C11" s="126">
        <v>0</v>
      </c>
    </row>
    <row r="12" spans="1:10" x14ac:dyDescent="0.3">
      <c r="A12" s="169" t="s">
        <v>45</v>
      </c>
      <c r="B12" s="170">
        <f>SUM(B5:B11)</f>
        <v>175534.4</v>
      </c>
      <c r="C12" s="170">
        <f>SUM(C5:C11)</f>
        <v>48978.130000000005</v>
      </c>
    </row>
    <row r="13" spans="1:10" x14ac:dyDescent="0.3">
      <c r="B13" s="93"/>
      <c r="C13" s="93"/>
      <c r="D13" s="93"/>
      <c r="E13" s="93"/>
    </row>
    <row r="14" spans="1:10" s="96" customFormat="1" x14ac:dyDescent="0.3">
      <c r="A14" s="105"/>
      <c r="B14" s="176" t="s">
        <v>47</v>
      </c>
      <c r="C14" s="176" t="s">
        <v>48</v>
      </c>
      <c r="D14" s="176" t="s">
        <v>49</v>
      </c>
      <c r="G14" s="241"/>
      <c r="H14" s="241"/>
      <c r="I14" s="241"/>
      <c r="J14" s="241"/>
    </row>
    <row r="15" spans="1:10" s="96" customFormat="1" x14ac:dyDescent="0.3">
      <c r="A15" s="236" t="s">
        <v>50</v>
      </c>
      <c r="B15" s="238" t="s">
        <v>51</v>
      </c>
      <c r="C15" s="239"/>
      <c r="D15" s="240"/>
    </row>
    <row r="16" spans="1:10" s="96" customFormat="1" ht="13.5" customHeight="1" x14ac:dyDescent="0.3">
      <c r="A16" s="237"/>
      <c r="B16" s="171" t="s">
        <v>52</v>
      </c>
      <c r="C16" s="171" t="s">
        <v>53</v>
      </c>
      <c r="D16" s="171" t="s">
        <v>53</v>
      </c>
      <c r="E16" s="100"/>
      <c r="F16" s="87"/>
      <c r="H16" s="97"/>
    </row>
    <row r="17" spans="1:8" s="96" customFormat="1" x14ac:dyDescent="0.3">
      <c r="A17" s="168" t="s">
        <v>11</v>
      </c>
      <c r="B17" s="194">
        <v>3.059091</v>
      </c>
      <c r="C17" s="194">
        <v>8315.248599999999</v>
      </c>
      <c r="D17" s="194">
        <v>33614.491000000002</v>
      </c>
      <c r="E17" s="100"/>
      <c r="F17" s="87"/>
      <c r="H17" s="97"/>
    </row>
    <row r="18" spans="1:8" s="96" customFormat="1" x14ac:dyDescent="0.3">
      <c r="A18" s="173" t="s">
        <v>20</v>
      </c>
      <c r="B18" s="194">
        <v>0</v>
      </c>
      <c r="C18" s="194">
        <v>0</v>
      </c>
      <c r="D18" s="194">
        <v>0</v>
      </c>
      <c r="E18" s="100"/>
      <c r="F18" s="87"/>
      <c r="H18" s="97"/>
    </row>
    <row r="19" spans="1:8" s="96" customFormat="1" hidden="1" x14ac:dyDescent="0.3">
      <c r="A19" s="168" t="s">
        <v>10</v>
      </c>
      <c r="B19" s="195"/>
      <c r="C19" s="195"/>
      <c r="D19" s="196"/>
      <c r="E19" s="114"/>
      <c r="H19" s="87"/>
    </row>
    <row r="20" spans="1:8" s="96" customFormat="1" x14ac:dyDescent="0.3">
      <c r="A20" s="173" t="s">
        <v>18</v>
      </c>
      <c r="B20" s="194">
        <v>0</v>
      </c>
      <c r="C20" s="194">
        <v>0</v>
      </c>
      <c r="D20" s="194">
        <v>0</v>
      </c>
      <c r="E20" s="87"/>
    </row>
    <row r="21" spans="1:8" s="96" customFormat="1" x14ac:dyDescent="0.3">
      <c r="A21" s="168" t="s">
        <v>9</v>
      </c>
      <c r="B21" s="194">
        <v>623</v>
      </c>
      <c r="C21" s="194">
        <v>6093.0215258956478</v>
      </c>
      <c r="D21" s="194">
        <v>99607.756016308107</v>
      </c>
      <c r="E21" s="87"/>
    </row>
    <row r="22" spans="1:8" s="96" customFormat="1" x14ac:dyDescent="0.3">
      <c r="A22" s="168" t="s">
        <v>54</v>
      </c>
      <c r="B22" s="194">
        <v>0</v>
      </c>
      <c r="C22" s="194">
        <v>0</v>
      </c>
      <c r="D22" s="194">
        <v>0</v>
      </c>
    </row>
    <row r="23" spans="1:8" s="96" customFormat="1" x14ac:dyDescent="0.3">
      <c r="A23" s="173" t="s">
        <v>19</v>
      </c>
      <c r="B23" s="194">
        <v>0</v>
      </c>
      <c r="C23" s="194">
        <v>0</v>
      </c>
      <c r="D23" s="194">
        <v>0</v>
      </c>
    </row>
    <row r="24" spans="1:8" s="98" customFormat="1" x14ac:dyDescent="0.3">
      <c r="A24" s="174" t="s">
        <v>45</v>
      </c>
      <c r="B24" s="175">
        <f>SUM(B17:B23)</f>
        <v>626.05909099999997</v>
      </c>
      <c r="C24" s="175">
        <f t="shared" ref="C24:D24" si="0">SUM(C17:C23)</f>
        <v>14408.270125895648</v>
      </c>
      <c r="D24" s="175">
        <f t="shared" si="0"/>
        <v>133222.2470163081</v>
      </c>
    </row>
    <row r="25" spans="1:8" x14ac:dyDescent="0.3">
      <c r="B25" s="93"/>
      <c r="C25" s="93"/>
      <c r="D25" s="93"/>
      <c r="E25" s="93"/>
    </row>
    <row r="26" spans="1:8" x14ac:dyDescent="0.3">
      <c r="A26" s="105"/>
      <c r="B26" s="176" t="s">
        <v>48</v>
      </c>
      <c r="C26" s="176" t="s">
        <v>49</v>
      </c>
      <c r="D26" s="93"/>
      <c r="E26" s="93"/>
    </row>
    <row r="27" spans="1:8" x14ac:dyDescent="0.3">
      <c r="A27" s="236" t="s">
        <v>55</v>
      </c>
      <c r="B27" s="243" t="s">
        <v>51</v>
      </c>
      <c r="C27" s="243"/>
      <c r="D27" s="93"/>
      <c r="E27" s="93"/>
    </row>
    <row r="28" spans="1:8" x14ac:dyDescent="0.3">
      <c r="A28" s="237"/>
      <c r="B28" s="171" t="s">
        <v>56</v>
      </c>
      <c r="C28" s="171" t="s">
        <v>56</v>
      </c>
      <c r="D28" s="93"/>
      <c r="E28" s="93"/>
    </row>
    <row r="29" spans="1:8" x14ac:dyDescent="0.3">
      <c r="A29" s="173" t="s">
        <v>11</v>
      </c>
      <c r="B29" s="194">
        <v>3796.5295030772004</v>
      </c>
      <c r="C29" s="194">
        <v>35372.132661349198</v>
      </c>
      <c r="F29" s="93"/>
    </row>
    <row r="30" spans="1:8" x14ac:dyDescent="0.3">
      <c r="A30" s="166" t="s">
        <v>20</v>
      </c>
      <c r="B30" s="194">
        <v>0</v>
      </c>
      <c r="C30" s="194">
        <v>0</v>
      </c>
      <c r="F30" s="93"/>
    </row>
    <row r="31" spans="1:8" x14ac:dyDescent="0.3">
      <c r="A31" s="166" t="s">
        <v>18</v>
      </c>
      <c r="B31" s="194">
        <v>0</v>
      </c>
      <c r="C31" s="194">
        <v>0</v>
      </c>
      <c r="F31" s="93"/>
    </row>
    <row r="32" spans="1:8" x14ac:dyDescent="0.3">
      <c r="A32" s="166" t="s">
        <v>9</v>
      </c>
      <c r="B32" s="194">
        <v>33618.922629075343</v>
      </c>
      <c r="C32" s="194">
        <v>555340.65133422229</v>
      </c>
      <c r="F32" s="93"/>
    </row>
    <row r="33" spans="1:9" x14ac:dyDescent="0.3">
      <c r="A33" s="197" t="s">
        <v>54</v>
      </c>
      <c r="B33" s="194">
        <v>0</v>
      </c>
      <c r="C33" s="194">
        <v>0</v>
      </c>
      <c r="F33" s="93"/>
    </row>
    <row r="34" spans="1:9" x14ac:dyDescent="0.3">
      <c r="A34" s="166" t="s">
        <v>19</v>
      </c>
      <c r="B34" s="194">
        <v>0</v>
      </c>
      <c r="C34" s="194">
        <v>0</v>
      </c>
    </row>
    <row r="35" spans="1:9" x14ac:dyDescent="0.3">
      <c r="A35" s="174" t="s">
        <v>45</v>
      </c>
      <c r="B35" s="198">
        <f>SUM(B29:B34)</f>
        <v>37415.452132152546</v>
      </c>
      <c r="C35" s="198">
        <f>SUM(C29:C34)</f>
        <v>590712.78399557155</v>
      </c>
      <c r="D35" s="93"/>
      <c r="E35" s="93"/>
    </row>
    <row r="36" spans="1:9" x14ac:dyDescent="0.3">
      <c r="B36" s="93"/>
      <c r="C36" s="93"/>
      <c r="D36" s="93"/>
      <c r="E36" s="93"/>
    </row>
    <row r="37" spans="1:9" s="105" customFormat="1" ht="14.4" customHeight="1" x14ac:dyDescent="0.3">
      <c r="B37" s="269" t="s">
        <v>57</v>
      </c>
      <c r="C37" s="270"/>
      <c r="D37" s="270"/>
      <c r="E37" s="270"/>
      <c r="F37" s="269" t="s">
        <v>58</v>
      </c>
      <c r="G37" s="270"/>
      <c r="H37" s="270"/>
      <c r="I37" s="270"/>
    </row>
    <row r="38" spans="1:9" s="105" customFormat="1" ht="14.4" customHeight="1" x14ac:dyDescent="0.3">
      <c r="A38" s="248" t="s">
        <v>59</v>
      </c>
      <c r="B38" s="246" t="s">
        <v>60</v>
      </c>
      <c r="C38" s="244" t="s">
        <v>61</v>
      </c>
      <c r="D38" s="244" t="s">
        <v>62</v>
      </c>
      <c r="E38" s="244" t="s">
        <v>63</v>
      </c>
      <c r="F38" s="244" t="s">
        <v>60</v>
      </c>
      <c r="G38" s="244" t="s">
        <v>61</v>
      </c>
      <c r="H38" s="244" t="s">
        <v>62</v>
      </c>
      <c r="I38" s="244" t="s">
        <v>63</v>
      </c>
    </row>
    <row r="39" spans="1:9" s="105" customFormat="1" ht="14.4" customHeight="1" x14ac:dyDescent="0.3">
      <c r="A39" s="248"/>
      <c r="B39" s="247"/>
      <c r="C39" s="245"/>
      <c r="D39" s="245"/>
      <c r="E39" s="245"/>
      <c r="F39" s="245"/>
      <c r="G39" s="245"/>
      <c r="H39" s="245"/>
      <c r="I39" s="245"/>
    </row>
    <row r="40" spans="1:9" s="105" customFormat="1" x14ac:dyDescent="0.3">
      <c r="A40" s="248"/>
      <c r="B40" s="247"/>
      <c r="C40" s="245"/>
      <c r="D40" s="245"/>
      <c r="E40" s="245"/>
      <c r="F40" s="245"/>
      <c r="G40" s="245"/>
      <c r="H40" s="245"/>
      <c r="I40" s="245"/>
    </row>
    <row r="41" spans="1:9" s="105" customFormat="1" x14ac:dyDescent="0.3">
      <c r="A41" s="106" t="s">
        <v>64</v>
      </c>
      <c r="B41" s="107">
        <f>C24*1292/2200</f>
        <v>8461.5840921168983</v>
      </c>
      <c r="C41" s="107">
        <f>C24*0.83/2200</f>
        <v>5.4358473656788124</v>
      </c>
      <c r="D41" s="107">
        <f>C24*0.67/2200</f>
        <v>4.3879731747045838</v>
      </c>
      <c r="E41" s="107">
        <f>C24*1.1/1000</f>
        <v>15.849097138485215</v>
      </c>
      <c r="F41" s="107">
        <f>D24*1292/2200</f>
        <v>78237.792338668223</v>
      </c>
      <c r="G41" s="107">
        <f>D24*0.83/2200</f>
        <v>50.261120465243515</v>
      </c>
      <c r="H41" s="107">
        <f>D24*0.67/2200</f>
        <v>40.572229773148379</v>
      </c>
      <c r="I41" s="107">
        <f>D24*1.1/1000</f>
        <v>146.54447171793893</v>
      </c>
    </row>
    <row r="42" spans="1:9" s="105" customFormat="1" x14ac:dyDescent="0.3">
      <c r="A42" s="108" t="s">
        <v>65</v>
      </c>
      <c r="B42" s="107">
        <f>B35*1292/2200</f>
        <v>21973.074615791404</v>
      </c>
      <c r="C42" s="107">
        <f>B35*0.83/2200</f>
        <v>14.115829668039369</v>
      </c>
      <c r="D42" s="117"/>
      <c r="E42" s="117"/>
      <c r="F42" s="107">
        <f>C35*1292/2200</f>
        <v>346909.50769194472</v>
      </c>
      <c r="G42" s="107">
        <f>C35*0.83/2200</f>
        <v>222.8598230528747</v>
      </c>
      <c r="H42" s="118"/>
      <c r="I42" s="118"/>
    </row>
    <row r="43" spans="1:9" s="105" customFormat="1" x14ac:dyDescent="0.3">
      <c r="A43" s="110" t="s">
        <v>66</v>
      </c>
      <c r="B43" s="111">
        <f>SUM(B41:B42)</f>
        <v>30434.658707908304</v>
      </c>
      <c r="C43" s="199">
        <f t="shared" ref="C43:I43" si="1">SUM(C41:C42)</f>
        <v>19.551677033718182</v>
      </c>
      <c r="D43" s="112">
        <f t="shared" si="1"/>
        <v>4.3879731747045838</v>
      </c>
      <c r="E43" s="113">
        <f t="shared" si="1"/>
        <v>15.849097138485215</v>
      </c>
      <c r="F43" s="199">
        <f t="shared" si="1"/>
        <v>425147.30003061297</v>
      </c>
      <c r="G43" s="199">
        <f t="shared" si="1"/>
        <v>273.12094351811822</v>
      </c>
      <c r="H43" s="112">
        <f t="shared" si="1"/>
        <v>40.572229773148379</v>
      </c>
      <c r="I43" s="113">
        <f t="shared" si="1"/>
        <v>146.54447171793893</v>
      </c>
    </row>
    <row r="44" spans="1:9" s="105" customFormat="1" x14ac:dyDescent="0.3">
      <c r="A44" s="119"/>
      <c r="B44" s="120"/>
      <c r="C44" s="120"/>
      <c r="D44" s="120"/>
      <c r="E44" s="121"/>
      <c r="F44" s="120"/>
      <c r="G44" s="120"/>
      <c r="H44" s="120"/>
      <c r="I44" s="121"/>
    </row>
    <row r="45" spans="1:9" x14ac:dyDescent="0.3">
      <c r="A45" s="122"/>
      <c r="B45" s="123"/>
    </row>
  </sheetData>
  <mergeCells count="16">
    <mergeCell ref="G38:G40"/>
    <mergeCell ref="H38:H40"/>
    <mergeCell ref="I38:I40"/>
    <mergeCell ref="A38:A40"/>
    <mergeCell ref="B38:B40"/>
    <mergeCell ref="C38:C40"/>
    <mergeCell ref="D38:D40"/>
    <mergeCell ref="E38:E40"/>
    <mergeCell ref="F38:F40"/>
    <mergeCell ref="A15:A16"/>
    <mergeCell ref="A27:A28"/>
    <mergeCell ref="B37:E37"/>
    <mergeCell ref="F37:I37"/>
    <mergeCell ref="G14:J14"/>
    <mergeCell ref="B15:D15"/>
    <mergeCell ref="B27:C27"/>
  </mergeCells>
  <pageMargins left="0.7" right="0.7" top="0.75" bottom="0.75" header="0.3" footer="0.3"/>
  <pageSetup scale="6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showGridLines="0" zoomScaleNormal="100" workbookViewId="0"/>
  </sheetViews>
  <sheetFormatPr defaultColWidth="8.88671875" defaultRowHeight="18" x14ac:dyDescent="0.35"/>
  <cols>
    <col min="1" max="1" width="27.6640625" style="63" customWidth="1"/>
    <col min="2" max="2" width="21.5546875" style="63" customWidth="1"/>
    <col min="3" max="3" width="22.44140625" style="63" customWidth="1"/>
    <col min="4" max="4" width="22.5546875" style="63" customWidth="1"/>
    <col min="5" max="7" width="23.44140625" style="63" customWidth="1"/>
    <col min="8" max="9" width="21.109375" style="63" customWidth="1"/>
    <col min="10" max="16384" width="8.88671875" style="63"/>
  </cols>
  <sheetData>
    <row r="1" spans="1:8" x14ac:dyDescent="0.35">
      <c r="A1" s="73" t="s">
        <v>82</v>
      </c>
    </row>
    <row r="2" spans="1:8" ht="15.6" customHeight="1" x14ac:dyDescent="0.35">
      <c r="A2" s="65"/>
      <c r="B2" s="64"/>
      <c r="C2" s="64"/>
    </row>
    <row r="3" spans="1:8" ht="18.75" customHeight="1" x14ac:dyDescent="0.35">
      <c r="B3" s="271" t="s">
        <v>83</v>
      </c>
      <c r="C3" s="272"/>
      <c r="D3" s="272"/>
      <c r="E3" s="272"/>
      <c r="F3" s="272"/>
      <c r="G3" s="272"/>
      <c r="H3" s="273"/>
    </row>
    <row r="4" spans="1:8" customFormat="1" ht="28.8" x14ac:dyDescent="0.3">
      <c r="A4" s="4"/>
      <c r="B4" s="68" t="s">
        <v>84</v>
      </c>
      <c r="C4" s="68" t="s">
        <v>85</v>
      </c>
      <c r="D4" s="68" t="s">
        <v>86</v>
      </c>
      <c r="E4" s="68" t="s">
        <v>87</v>
      </c>
      <c r="F4" s="125" t="s">
        <v>88</v>
      </c>
      <c r="G4" s="200" t="s">
        <v>89</v>
      </c>
      <c r="H4" s="201" t="s">
        <v>90</v>
      </c>
    </row>
    <row r="5" spans="1:8" customFormat="1" ht="20.399999999999999" customHeight="1" x14ac:dyDescent="0.3">
      <c r="A5" s="202" t="s">
        <v>11</v>
      </c>
      <c r="B5" s="126">
        <v>15851.74</v>
      </c>
      <c r="C5" s="126">
        <v>17857.77</v>
      </c>
      <c r="D5" s="126">
        <v>1364.88</v>
      </c>
      <c r="E5" s="126">
        <v>0</v>
      </c>
      <c r="F5" s="126">
        <v>950</v>
      </c>
      <c r="G5" s="126">
        <v>2374.98</v>
      </c>
      <c r="H5" s="203">
        <f>SUM(B5:G5)</f>
        <v>38399.370000000003</v>
      </c>
    </row>
    <row r="6" spans="1:8" customFormat="1" ht="20.399999999999999" customHeight="1" x14ac:dyDescent="0.3">
      <c r="A6" s="202" t="s">
        <v>20</v>
      </c>
      <c r="B6" s="126">
        <v>15752.61</v>
      </c>
      <c r="C6" s="126">
        <v>3912.79</v>
      </c>
      <c r="D6" s="126">
        <v>1903.27</v>
      </c>
      <c r="E6" s="126">
        <v>0</v>
      </c>
      <c r="F6" s="126">
        <v>0</v>
      </c>
      <c r="G6" s="126">
        <v>3790.63</v>
      </c>
      <c r="H6" s="203">
        <f t="shared" ref="H6:H11" si="0">SUM(B6:G6)</f>
        <v>25359.300000000003</v>
      </c>
    </row>
    <row r="7" spans="1:8" customFormat="1" ht="20.399999999999999" customHeight="1" x14ac:dyDescent="0.3">
      <c r="A7" s="202" t="s">
        <v>10</v>
      </c>
      <c r="B7" s="126">
        <v>35500.15</v>
      </c>
      <c r="C7" s="126">
        <v>30839.41</v>
      </c>
      <c r="D7" s="126">
        <v>2205.79</v>
      </c>
      <c r="E7" s="126">
        <v>380.95</v>
      </c>
      <c r="F7" s="126">
        <v>0</v>
      </c>
      <c r="G7" s="126">
        <v>5511.41</v>
      </c>
      <c r="H7" s="203">
        <f t="shared" si="0"/>
        <v>74437.709999999992</v>
      </c>
    </row>
    <row r="8" spans="1:8" customFormat="1" ht="20.399999999999999" customHeight="1" x14ac:dyDescent="0.3">
      <c r="A8" s="202" t="s">
        <v>18</v>
      </c>
      <c r="B8" s="126">
        <v>35044.65</v>
      </c>
      <c r="C8" s="126">
        <v>40002.99</v>
      </c>
      <c r="D8" s="126">
        <v>8497.33</v>
      </c>
      <c r="E8" s="126">
        <v>0</v>
      </c>
      <c r="F8" s="126">
        <v>0</v>
      </c>
      <c r="G8" s="126">
        <v>6082.2</v>
      </c>
      <c r="H8" s="203">
        <f t="shared" si="0"/>
        <v>89627.17</v>
      </c>
    </row>
    <row r="9" spans="1:8" customFormat="1" ht="20.399999999999999" customHeight="1" x14ac:dyDescent="0.3">
      <c r="A9" s="202" t="s">
        <v>9</v>
      </c>
      <c r="B9" s="126">
        <v>117366.48</v>
      </c>
      <c r="C9" s="126">
        <v>280009.21000000002</v>
      </c>
      <c r="D9" s="126">
        <v>4970.1099999999997</v>
      </c>
      <c r="E9" s="126">
        <v>0</v>
      </c>
      <c r="F9" s="126">
        <v>17397.240000000002</v>
      </c>
      <c r="G9" s="126">
        <v>0</v>
      </c>
      <c r="H9" s="203">
        <f t="shared" si="0"/>
        <v>419743.04</v>
      </c>
    </row>
    <row r="10" spans="1:8" customFormat="1" ht="20.399999999999999" customHeight="1" x14ac:dyDescent="0.3">
      <c r="A10" s="202" t="s">
        <v>54</v>
      </c>
      <c r="B10" s="126">
        <v>1920.19</v>
      </c>
      <c r="C10" s="126">
        <v>2582.25</v>
      </c>
      <c r="D10" s="126">
        <v>395.11</v>
      </c>
      <c r="E10" s="126">
        <v>984.85</v>
      </c>
      <c r="F10" s="126">
        <v>0</v>
      </c>
      <c r="G10" s="126">
        <v>311.2</v>
      </c>
      <c r="H10" s="203">
        <f t="shared" si="0"/>
        <v>6193.6</v>
      </c>
    </row>
    <row r="11" spans="1:8" customFormat="1" ht="20.399999999999999" customHeight="1" x14ac:dyDescent="0.3">
      <c r="A11" s="202" t="s">
        <v>19</v>
      </c>
      <c r="B11" s="126">
        <v>29755.24</v>
      </c>
      <c r="C11" s="126">
        <v>2744.76</v>
      </c>
      <c r="D11" s="126">
        <v>2214.65</v>
      </c>
      <c r="E11" s="126">
        <v>0</v>
      </c>
      <c r="F11" s="126">
        <v>0</v>
      </c>
      <c r="G11" s="126">
        <v>4289.8599999999997</v>
      </c>
      <c r="H11" s="203">
        <f t="shared" si="0"/>
        <v>39004.51</v>
      </c>
    </row>
    <row r="12" spans="1:8" customFormat="1" ht="20.399999999999999" customHeight="1" x14ac:dyDescent="0.3">
      <c r="A12" s="204" t="s">
        <v>91</v>
      </c>
      <c r="B12" s="205">
        <f>SUM(B5:B11)</f>
        <v>251191.06</v>
      </c>
      <c r="C12" s="205">
        <f t="shared" ref="C12:H12" si="1">SUM(C5:C11)</f>
        <v>377949.18000000005</v>
      </c>
      <c r="D12" s="205">
        <f t="shared" si="1"/>
        <v>21551.140000000003</v>
      </c>
      <c r="E12" s="205">
        <f t="shared" si="1"/>
        <v>1365.8</v>
      </c>
      <c r="F12" s="205">
        <f t="shared" si="1"/>
        <v>18347.240000000002</v>
      </c>
      <c r="G12" s="205">
        <f t="shared" si="1"/>
        <v>22360.280000000002</v>
      </c>
      <c r="H12" s="205">
        <f t="shared" si="1"/>
        <v>692764.7</v>
      </c>
    </row>
    <row r="13" spans="1:8" customFormat="1" ht="6.6" customHeight="1" x14ac:dyDescent="0.3">
      <c r="A13" s="37"/>
      <c r="B13" s="69"/>
      <c r="C13" s="69"/>
      <c r="D13" s="69"/>
      <c r="E13" s="69"/>
      <c r="F13" s="69"/>
      <c r="G13" s="69"/>
      <c r="H13" s="70"/>
    </row>
    <row r="14" spans="1:8" customFormat="1" ht="18.600000000000001" customHeight="1" x14ac:dyDescent="0.3">
      <c r="A14" s="202" t="s">
        <v>92</v>
      </c>
      <c r="B14" s="126">
        <v>30661.490750000001</v>
      </c>
      <c r="C14" s="126">
        <v>234970.51725</v>
      </c>
      <c r="D14" s="126">
        <v>0</v>
      </c>
      <c r="E14" s="126">
        <v>0</v>
      </c>
      <c r="F14" s="36"/>
      <c r="G14" s="36"/>
      <c r="H14" s="203">
        <f t="shared" ref="H14" si="2">SUM(B14:E14)</f>
        <v>265632.00800000003</v>
      </c>
    </row>
    <row r="15" spans="1:8" customFormat="1" ht="6" customHeight="1" x14ac:dyDescent="0.3">
      <c r="A15" s="13"/>
      <c r="B15" s="69"/>
      <c r="C15" s="69"/>
      <c r="D15" s="69"/>
      <c r="E15" s="69"/>
      <c r="F15" s="69"/>
      <c r="G15" s="69"/>
      <c r="H15" s="71"/>
    </row>
    <row r="16" spans="1:8" customFormat="1" ht="18.899999999999999" customHeight="1" x14ac:dyDescent="0.3">
      <c r="A16" s="72" t="s">
        <v>45</v>
      </c>
      <c r="B16" s="206">
        <f>SUM(B12,B14)</f>
        <v>281852.55074999999</v>
      </c>
      <c r="C16" s="206">
        <f>SUM(C12,C14)</f>
        <v>612919.69725000008</v>
      </c>
      <c r="D16" s="206">
        <f>SUM(D12,D14)</f>
        <v>21551.140000000003</v>
      </c>
      <c r="E16" s="206">
        <f>SUM(E12,E14)</f>
        <v>1365.8</v>
      </c>
      <c r="F16" s="206">
        <f>F12</f>
        <v>18347.240000000002</v>
      </c>
      <c r="G16" s="206">
        <f>G12</f>
        <v>22360.280000000002</v>
      </c>
      <c r="H16" s="206">
        <f>SUM(H12,H14)</f>
        <v>958396.70799999998</v>
      </c>
    </row>
    <row r="18" spans="1:8" x14ac:dyDescent="0.35">
      <c r="B18" s="274" t="s">
        <v>93</v>
      </c>
      <c r="C18" s="274"/>
      <c r="D18" s="274"/>
      <c r="E18" s="274"/>
      <c r="F18" s="275"/>
      <c r="G18" s="275"/>
      <c r="H18" s="275"/>
    </row>
    <row r="19" spans="1:8" ht="28.8" x14ac:dyDescent="0.35">
      <c r="A19" s="4"/>
      <c r="B19" s="201" t="s">
        <v>84</v>
      </c>
      <c r="C19" s="201" t="s">
        <v>85</v>
      </c>
      <c r="D19" s="201" t="s">
        <v>86</v>
      </c>
      <c r="E19" s="201" t="s">
        <v>87</v>
      </c>
      <c r="F19" s="207" t="s">
        <v>88</v>
      </c>
      <c r="G19" s="200" t="s">
        <v>89</v>
      </c>
      <c r="H19" s="201" t="s">
        <v>90</v>
      </c>
    </row>
    <row r="20" spans="1:8" x14ac:dyDescent="0.35">
      <c r="A20" s="202" t="s">
        <v>11</v>
      </c>
      <c r="B20" s="126">
        <v>9325.06</v>
      </c>
      <c r="C20" s="126">
        <v>8871.31</v>
      </c>
      <c r="D20" s="126">
        <v>756.12</v>
      </c>
      <c r="E20" s="126">
        <v>0</v>
      </c>
      <c r="F20" s="126">
        <v>890.28</v>
      </c>
      <c r="G20" s="126">
        <v>2039.6</v>
      </c>
      <c r="H20" s="203">
        <f>SUM(B20:G20)</f>
        <v>21882.369999999995</v>
      </c>
    </row>
    <row r="21" spans="1:8" x14ac:dyDescent="0.35">
      <c r="A21" s="202" t="s">
        <v>20</v>
      </c>
      <c r="B21" s="126">
        <v>9073.43</v>
      </c>
      <c r="C21" s="126">
        <v>1727.02</v>
      </c>
      <c r="D21" s="126">
        <v>1209.9000000000001</v>
      </c>
      <c r="E21" s="126">
        <v>0</v>
      </c>
      <c r="F21" s="126">
        <v>0</v>
      </c>
      <c r="G21" s="126">
        <v>2641.54</v>
      </c>
      <c r="H21" s="203">
        <f t="shared" ref="H21:H26" si="3">SUM(B21:G21)</f>
        <v>14651.89</v>
      </c>
    </row>
    <row r="22" spans="1:8" x14ac:dyDescent="0.35">
      <c r="A22" s="202" t="s">
        <v>10</v>
      </c>
      <c r="B22" s="126">
        <v>23651.29</v>
      </c>
      <c r="C22" s="126">
        <v>24341.25</v>
      </c>
      <c r="D22" s="126">
        <v>565.59</v>
      </c>
      <c r="E22" s="126">
        <v>70.81</v>
      </c>
      <c r="F22" s="126">
        <v>0</v>
      </c>
      <c r="G22" s="126">
        <v>4572.8100000000004</v>
      </c>
      <c r="H22" s="203">
        <f t="shared" si="3"/>
        <v>53201.749999999993</v>
      </c>
    </row>
    <row r="23" spans="1:8" x14ac:dyDescent="0.35">
      <c r="A23" s="202" t="s">
        <v>18</v>
      </c>
      <c r="B23" s="126">
        <v>33143</v>
      </c>
      <c r="C23" s="126">
        <v>8371</v>
      </c>
      <c r="D23" s="126">
        <v>4153</v>
      </c>
      <c r="E23" s="126">
        <v>0</v>
      </c>
      <c r="F23" s="126">
        <v>0</v>
      </c>
      <c r="G23" s="126">
        <v>5216</v>
      </c>
      <c r="H23" s="203">
        <f t="shared" si="3"/>
        <v>50883</v>
      </c>
    </row>
    <row r="24" spans="1:8" x14ac:dyDescent="0.35">
      <c r="A24" s="202" t="s">
        <v>9</v>
      </c>
      <c r="B24" s="126">
        <v>198101.54</v>
      </c>
      <c r="C24" s="126">
        <v>179047.83</v>
      </c>
      <c r="D24" s="126">
        <v>4271.42</v>
      </c>
      <c r="E24" s="126">
        <v>0</v>
      </c>
      <c r="F24" s="126">
        <v>12600</v>
      </c>
      <c r="G24" s="126">
        <v>21368.74</v>
      </c>
      <c r="H24" s="203">
        <f t="shared" si="3"/>
        <v>415389.52999999997</v>
      </c>
    </row>
    <row r="25" spans="1:8" x14ac:dyDescent="0.35">
      <c r="A25" s="202" t="s">
        <v>54</v>
      </c>
      <c r="B25" s="126">
        <v>782.64</v>
      </c>
      <c r="C25" s="126">
        <v>3432.78</v>
      </c>
      <c r="D25" s="126">
        <v>52.49</v>
      </c>
      <c r="E25" s="126">
        <v>481.94</v>
      </c>
      <c r="F25" s="126">
        <v>12.98</v>
      </c>
      <c r="G25" s="126">
        <v>126.72</v>
      </c>
      <c r="H25" s="203">
        <f t="shared" si="3"/>
        <v>4889.5499999999993</v>
      </c>
    </row>
    <row r="26" spans="1:8" x14ac:dyDescent="0.35">
      <c r="A26" s="202" t="s">
        <v>19</v>
      </c>
      <c r="B26" s="126">
        <v>34204.449999999997</v>
      </c>
      <c r="C26" s="126">
        <v>2823.52</v>
      </c>
      <c r="D26" s="126">
        <v>553.95000000000005</v>
      </c>
      <c r="E26" s="126">
        <v>0</v>
      </c>
      <c r="F26" s="126">
        <v>0</v>
      </c>
      <c r="G26" s="126">
        <v>3264.96</v>
      </c>
      <c r="H26" s="203">
        <f t="shared" si="3"/>
        <v>40846.87999999999</v>
      </c>
    </row>
    <row r="27" spans="1:8" x14ac:dyDescent="0.35">
      <c r="A27" s="204" t="s">
        <v>91</v>
      </c>
      <c r="B27" s="205">
        <f>SUM(B20:B26)</f>
        <v>308281.41000000003</v>
      </c>
      <c r="C27" s="205">
        <f t="shared" ref="C27" si="4">SUM(C20:C26)</f>
        <v>228614.70999999996</v>
      </c>
      <c r="D27" s="205">
        <f t="shared" ref="D27" si="5">SUM(D20:D26)</f>
        <v>11562.470000000001</v>
      </c>
      <c r="E27" s="205">
        <f t="shared" ref="E27:G27" si="6">SUM(E20:E26)</f>
        <v>552.75</v>
      </c>
      <c r="F27" s="205">
        <f t="shared" si="6"/>
        <v>13503.26</v>
      </c>
      <c r="G27" s="205">
        <f t="shared" si="6"/>
        <v>39230.370000000003</v>
      </c>
      <c r="H27" s="205">
        <f t="shared" ref="H27" si="7">SUM(H20:H26)</f>
        <v>601744.97</v>
      </c>
    </row>
    <row r="28" spans="1:8" customFormat="1" ht="6.6" customHeight="1" x14ac:dyDescent="0.3">
      <c r="A28" s="37"/>
      <c r="B28" s="69"/>
      <c r="C28" s="69"/>
      <c r="D28" s="69"/>
      <c r="E28" s="69"/>
      <c r="F28" s="69"/>
      <c r="G28" s="69"/>
      <c r="H28" s="70"/>
    </row>
    <row r="29" spans="1:8" customFormat="1" ht="18.600000000000001" customHeight="1" x14ac:dyDescent="0.3">
      <c r="A29" s="202" t="s">
        <v>92</v>
      </c>
      <c r="B29" s="126">
        <v>7702.12637</v>
      </c>
      <c r="C29" s="126">
        <v>35098.146074199998</v>
      </c>
      <c r="D29" s="126">
        <v>0</v>
      </c>
      <c r="E29" s="126">
        <v>0</v>
      </c>
      <c r="F29" s="36"/>
      <c r="G29" s="36"/>
      <c r="H29" s="203">
        <f t="shared" ref="H29" si="8">SUM(B29:E29)</f>
        <v>42800.272444199996</v>
      </c>
    </row>
    <row r="30" spans="1:8" customFormat="1" ht="6.6" customHeight="1" x14ac:dyDescent="0.3">
      <c r="A30" s="13"/>
      <c r="B30" s="69"/>
      <c r="C30" s="69"/>
      <c r="D30" s="69"/>
      <c r="E30" s="69"/>
      <c r="F30" s="69"/>
      <c r="G30" s="69"/>
      <c r="H30" s="70"/>
    </row>
    <row r="31" spans="1:8" x14ac:dyDescent="0.35">
      <c r="A31" s="72" t="s">
        <v>45</v>
      </c>
      <c r="B31" s="206">
        <f>SUM(B27,B29)</f>
        <v>315983.53637000005</v>
      </c>
      <c r="C31" s="206">
        <f>SUM(C27,C29)</f>
        <v>263712.85607419995</v>
      </c>
      <c r="D31" s="206">
        <f>SUM(D27,D29)</f>
        <v>11562.470000000001</v>
      </c>
      <c r="E31" s="206">
        <f>SUM(E27,E29)</f>
        <v>552.75</v>
      </c>
      <c r="F31" s="206">
        <f>F27</f>
        <v>13503.26</v>
      </c>
      <c r="G31" s="206">
        <f>G27</f>
        <v>39230.370000000003</v>
      </c>
      <c r="H31" s="206">
        <f>SUM(H27,H29)</f>
        <v>644545.24244419998</v>
      </c>
    </row>
    <row r="33" spans="1:8" x14ac:dyDescent="0.35">
      <c r="B33" s="274" t="s">
        <v>94</v>
      </c>
      <c r="C33" s="274"/>
      <c r="D33" s="274"/>
      <c r="E33" s="274"/>
      <c r="F33" s="275"/>
      <c r="G33" s="275"/>
      <c r="H33" s="275"/>
    </row>
    <row r="34" spans="1:8" ht="28.8" x14ac:dyDescent="0.35">
      <c r="A34" s="4"/>
      <c r="B34" s="201" t="s">
        <v>84</v>
      </c>
      <c r="C34" s="201" t="s">
        <v>85</v>
      </c>
      <c r="D34" s="201" t="s">
        <v>86</v>
      </c>
      <c r="E34" s="201" t="s">
        <v>87</v>
      </c>
      <c r="F34" s="207" t="s">
        <v>88</v>
      </c>
      <c r="G34" s="200" t="s">
        <v>89</v>
      </c>
      <c r="H34" s="201" t="s">
        <v>90</v>
      </c>
    </row>
    <row r="35" spans="1:8" x14ac:dyDescent="0.35">
      <c r="A35" s="202" t="s">
        <v>11</v>
      </c>
      <c r="B35" s="126">
        <v>3464.09</v>
      </c>
      <c r="C35" s="126">
        <v>4079.45</v>
      </c>
      <c r="D35" s="126">
        <v>360.31</v>
      </c>
      <c r="E35" s="126">
        <v>0</v>
      </c>
      <c r="F35" s="126">
        <v>0</v>
      </c>
      <c r="G35" s="126">
        <v>0</v>
      </c>
      <c r="H35" s="203">
        <f>SUM(B35:G35)</f>
        <v>7903.85</v>
      </c>
    </row>
    <row r="36" spans="1:8" x14ac:dyDescent="0.35">
      <c r="A36" s="202" t="s">
        <v>20</v>
      </c>
      <c r="B36" s="126">
        <v>7170.92</v>
      </c>
      <c r="C36" s="126">
        <v>730.47</v>
      </c>
      <c r="D36" s="126">
        <v>830.03</v>
      </c>
      <c r="E36" s="126">
        <v>0</v>
      </c>
      <c r="F36" s="126">
        <v>0</v>
      </c>
      <c r="G36" s="126">
        <v>0</v>
      </c>
      <c r="H36" s="203">
        <f t="shared" ref="H36:H41" si="9">SUM(B36:G36)</f>
        <v>8731.42</v>
      </c>
    </row>
    <row r="37" spans="1:8" x14ac:dyDescent="0.35">
      <c r="A37" s="202" t="s">
        <v>10</v>
      </c>
      <c r="B37" s="126">
        <v>15991.74</v>
      </c>
      <c r="C37" s="126">
        <v>19233.060000000001</v>
      </c>
      <c r="D37" s="126">
        <v>165.67</v>
      </c>
      <c r="E37" s="126">
        <v>0</v>
      </c>
      <c r="F37" s="126">
        <v>0</v>
      </c>
      <c r="G37" s="126">
        <v>0</v>
      </c>
      <c r="H37" s="203">
        <f t="shared" si="9"/>
        <v>35390.47</v>
      </c>
    </row>
    <row r="38" spans="1:8" x14ac:dyDescent="0.35">
      <c r="A38" s="202" t="s">
        <v>18</v>
      </c>
      <c r="B38" s="126">
        <v>28272</v>
      </c>
      <c r="C38" s="126">
        <v>1849</v>
      </c>
      <c r="D38" s="126">
        <v>3631</v>
      </c>
      <c r="E38" s="126">
        <v>0</v>
      </c>
      <c r="F38" s="126">
        <v>0</v>
      </c>
      <c r="G38" s="126">
        <v>0</v>
      </c>
      <c r="H38" s="203">
        <f t="shared" si="9"/>
        <v>33752</v>
      </c>
    </row>
    <row r="39" spans="1:8" x14ac:dyDescent="0.35">
      <c r="A39" s="202" t="s">
        <v>9</v>
      </c>
      <c r="B39" s="126">
        <v>145566.69</v>
      </c>
      <c r="C39" s="126">
        <v>135701.57</v>
      </c>
      <c r="D39" s="126">
        <v>2333.85</v>
      </c>
      <c r="E39" s="126">
        <v>0</v>
      </c>
      <c r="F39" s="126">
        <v>0</v>
      </c>
      <c r="G39" s="126">
        <v>0</v>
      </c>
      <c r="H39" s="203">
        <f t="shared" si="9"/>
        <v>283602.11</v>
      </c>
    </row>
    <row r="40" spans="1:8" x14ac:dyDescent="0.35">
      <c r="A40" s="202" t="s">
        <v>54</v>
      </c>
      <c r="B40" s="126">
        <v>320.56</v>
      </c>
      <c r="C40" s="126">
        <v>2910.09</v>
      </c>
      <c r="D40" s="126">
        <v>0</v>
      </c>
      <c r="E40" s="126">
        <v>216.99</v>
      </c>
      <c r="F40" s="126">
        <v>0</v>
      </c>
      <c r="G40" s="126">
        <v>61.89</v>
      </c>
      <c r="H40" s="203">
        <f t="shared" si="9"/>
        <v>3509.53</v>
      </c>
    </row>
    <row r="41" spans="1:8" x14ac:dyDescent="0.35">
      <c r="A41" s="202" t="s">
        <v>19</v>
      </c>
      <c r="B41" s="126">
        <v>31030.45</v>
      </c>
      <c r="C41" s="126">
        <v>2064.13</v>
      </c>
      <c r="D41" s="126">
        <v>109.09</v>
      </c>
      <c r="E41" s="126">
        <v>0</v>
      </c>
      <c r="F41" s="126">
        <v>0</v>
      </c>
      <c r="G41" s="126">
        <v>0</v>
      </c>
      <c r="H41" s="203">
        <f t="shared" si="9"/>
        <v>33203.67</v>
      </c>
    </row>
    <row r="42" spans="1:8" x14ac:dyDescent="0.35">
      <c r="A42" s="204" t="s">
        <v>91</v>
      </c>
      <c r="B42" s="205">
        <f>SUM(B35:B41)</f>
        <v>231816.45</v>
      </c>
      <c r="C42" s="205">
        <f t="shared" ref="C42:G42" si="10">SUM(C35:C41)</f>
        <v>166567.77000000002</v>
      </c>
      <c r="D42" s="205">
        <f t="shared" si="10"/>
        <v>7429.9500000000007</v>
      </c>
      <c r="E42" s="205">
        <f t="shared" si="10"/>
        <v>216.99</v>
      </c>
      <c r="F42" s="205">
        <f t="shared" si="10"/>
        <v>0</v>
      </c>
      <c r="G42" s="205">
        <f t="shared" si="10"/>
        <v>61.89</v>
      </c>
      <c r="H42" s="205">
        <f t="shared" ref="H42" si="11">SUM(H35:H41)</f>
        <v>406093.05</v>
      </c>
    </row>
    <row r="43" spans="1:8" customFormat="1" ht="6.6" customHeight="1" x14ac:dyDescent="0.3">
      <c r="A43" s="37"/>
      <c r="B43" s="69"/>
      <c r="C43" s="69"/>
      <c r="D43" s="69"/>
      <c r="E43" s="69"/>
      <c r="F43" s="69"/>
      <c r="G43" s="69"/>
      <c r="H43" s="70"/>
    </row>
    <row r="44" spans="1:8" customFormat="1" ht="18.600000000000001" customHeight="1" x14ac:dyDescent="0.3">
      <c r="A44" s="202" t="s">
        <v>92</v>
      </c>
      <c r="B44" s="126">
        <v>5103.2704899999999</v>
      </c>
      <c r="C44" s="126">
        <v>26127.941174200001</v>
      </c>
      <c r="D44" s="126">
        <v>0</v>
      </c>
      <c r="E44" s="126">
        <v>0</v>
      </c>
      <c r="F44" s="36"/>
      <c r="G44" s="36"/>
      <c r="H44" s="203">
        <f t="shared" ref="H44" si="12">SUM(B44:E44)</f>
        <v>31231.2116642</v>
      </c>
    </row>
    <row r="45" spans="1:8" customFormat="1" ht="6.6" customHeight="1" x14ac:dyDescent="0.3">
      <c r="A45" s="37"/>
      <c r="B45" s="69"/>
      <c r="C45" s="69"/>
      <c r="D45" s="69"/>
      <c r="E45" s="69"/>
      <c r="F45" s="69"/>
      <c r="G45" s="69"/>
      <c r="H45" s="70"/>
    </row>
    <row r="46" spans="1:8" x14ac:dyDescent="0.35">
      <c r="A46" s="72" t="s">
        <v>45</v>
      </c>
      <c r="B46" s="206">
        <f>SUM(B42,B44)</f>
        <v>236919.72049000001</v>
      </c>
      <c r="C46" s="206">
        <f t="shared" ref="C46:E46" si="13">SUM(C42,C44)</f>
        <v>192695.71117420003</v>
      </c>
      <c r="D46" s="206">
        <f t="shared" si="13"/>
        <v>7429.9500000000007</v>
      </c>
      <c r="E46" s="206">
        <f t="shared" si="13"/>
        <v>216.99</v>
      </c>
      <c r="F46" s="206">
        <f>F42</f>
        <v>0</v>
      </c>
      <c r="G46" s="206">
        <f>G42</f>
        <v>61.89</v>
      </c>
      <c r="H46" s="206">
        <f>SUM(H42,H44)</f>
        <v>437324.26166419999</v>
      </c>
    </row>
  </sheetData>
  <mergeCells count="3">
    <mergeCell ref="B3:H3"/>
    <mergeCell ref="B18:H18"/>
    <mergeCell ref="B33:H33"/>
  </mergeCells>
  <pageMargins left="0.7" right="0.7" top="0.75" bottom="0.75" header="0.3" footer="0.3"/>
  <pageSetup scale="6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showGridLines="0" zoomScaleNormal="100" workbookViewId="0"/>
  </sheetViews>
  <sheetFormatPr defaultRowHeight="14.4" x14ac:dyDescent="0.3"/>
  <cols>
    <col min="1" max="1" width="26.5546875" customWidth="1"/>
    <col min="2" max="2" width="18.44140625" customWidth="1"/>
    <col min="3" max="3" width="19" customWidth="1"/>
    <col min="4" max="4" width="17" customWidth="1"/>
    <col min="5" max="6" width="17.5546875" customWidth="1"/>
    <col min="7" max="7" width="21" customWidth="1"/>
  </cols>
  <sheetData>
    <row r="1" spans="1:7" ht="18" x14ac:dyDescent="0.3">
      <c r="A1" s="74" t="s">
        <v>95</v>
      </c>
      <c r="B1" s="77"/>
      <c r="C1" s="76"/>
    </row>
    <row r="3" spans="1:7" ht="28.35" customHeight="1" x14ac:dyDescent="0.3">
      <c r="A3" s="4"/>
      <c r="B3" s="201" t="s">
        <v>84</v>
      </c>
      <c r="C3" s="201" t="s">
        <v>85</v>
      </c>
      <c r="D3" s="201" t="s">
        <v>86</v>
      </c>
      <c r="E3" s="201" t="s">
        <v>87</v>
      </c>
      <c r="F3" s="200" t="s">
        <v>89</v>
      </c>
      <c r="G3" s="178" t="s">
        <v>75</v>
      </c>
    </row>
    <row r="4" spans="1:7" x14ac:dyDescent="0.3">
      <c r="A4" s="202" t="s">
        <v>11</v>
      </c>
      <c r="B4" s="194">
        <v>429748</v>
      </c>
      <c r="C4" s="194">
        <v>317</v>
      </c>
      <c r="D4" s="194">
        <v>1377</v>
      </c>
      <c r="E4" s="194">
        <v>0</v>
      </c>
      <c r="F4" s="194">
        <v>507</v>
      </c>
      <c r="G4" s="208">
        <f>SUM(B4:F4)</f>
        <v>431949</v>
      </c>
    </row>
    <row r="5" spans="1:7" x14ac:dyDescent="0.3">
      <c r="A5" s="202" t="s">
        <v>20</v>
      </c>
      <c r="B5" s="194">
        <v>191690</v>
      </c>
      <c r="C5" s="194">
        <v>17</v>
      </c>
      <c r="D5" s="194">
        <v>969</v>
      </c>
      <c r="E5" s="194">
        <v>0</v>
      </c>
      <c r="F5" s="194">
        <v>457</v>
      </c>
      <c r="G5" s="208">
        <f t="shared" ref="G5:G11" si="0">SUM(B5:F5)</f>
        <v>193133</v>
      </c>
    </row>
    <row r="6" spans="1:7" x14ac:dyDescent="0.3">
      <c r="A6" s="202" t="s">
        <v>10</v>
      </c>
      <c r="B6" s="194">
        <v>1023438</v>
      </c>
      <c r="C6" s="194">
        <v>1451</v>
      </c>
      <c r="D6" s="194">
        <v>1053</v>
      </c>
      <c r="E6" s="194">
        <v>0</v>
      </c>
      <c r="F6" s="194">
        <v>879</v>
      </c>
      <c r="G6" s="208">
        <f t="shared" si="0"/>
        <v>1026821</v>
      </c>
    </row>
    <row r="7" spans="1:7" x14ac:dyDescent="0.3">
      <c r="A7" s="202" t="s">
        <v>18</v>
      </c>
      <c r="B7" s="194">
        <v>268963</v>
      </c>
      <c r="C7" s="194">
        <v>25</v>
      </c>
      <c r="D7" s="194">
        <v>1358</v>
      </c>
      <c r="E7" s="194">
        <v>0</v>
      </c>
      <c r="F7" s="194">
        <v>606</v>
      </c>
      <c r="G7" s="208">
        <f t="shared" si="0"/>
        <v>270952</v>
      </c>
    </row>
    <row r="8" spans="1:7" x14ac:dyDescent="0.3">
      <c r="A8" s="202" t="s">
        <v>96</v>
      </c>
      <c r="B8" s="194">
        <v>3665436</v>
      </c>
      <c r="C8" s="194">
        <v>7503</v>
      </c>
      <c r="D8" s="194">
        <v>14650</v>
      </c>
      <c r="E8" s="194">
        <v>0</v>
      </c>
      <c r="F8" s="194">
        <v>2587</v>
      </c>
      <c r="G8" s="208">
        <f t="shared" si="0"/>
        <v>3690176</v>
      </c>
    </row>
    <row r="9" spans="1:7" x14ac:dyDescent="0.3">
      <c r="A9" s="202" t="s">
        <v>54</v>
      </c>
      <c r="B9" s="194">
        <v>63847</v>
      </c>
      <c r="C9" s="194">
        <v>177</v>
      </c>
      <c r="D9" s="194">
        <v>0</v>
      </c>
      <c r="E9" s="194">
        <v>18703</v>
      </c>
      <c r="F9" s="194">
        <v>32</v>
      </c>
      <c r="G9" s="208">
        <f t="shared" si="0"/>
        <v>82759</v>
      </c>
    </row>
    <row r="10" spans="1:7" x14ac:dyDescent="0.3">
      <c r="A10" s="202" t="s">
        <v>19</v>
      </c>
      <c r="B10" s="194">
        <v>202665</v>
      </c>
      <c r="C10" s="194">
        <v>39</v>
      </c>
      <c r="D10" s="194">
        <v>731</v>
      </c>
      <c r="E10" s="194">
        <v>0</v>
      </c>
      <c r="F10" s="194">
        <v>491</v>
      </c>
      <c r="G10" s="208">
        <f t="shared" si="0"/>
        <v>203926</v>
      </c>
    </row>
    <row r="11" spans="1:7" x14ac:dyDescent="0.3">
      <c r="A11" s="204" t="s">
        <v>91</v>
      </c>
      <c r="B11" s="209">
        <f>SUM(B4:B10)</f>
        <v>5845787</v>
      </c>
      <c r="C11" s="209">
        <f t="shared" ref="C11:F11" si="1">SUM(C4:C10)</f>
        <v>9529</v>
      </c>
      <c r="D11" s="209">
        <f t="shared" si="1"/>
        <v>20138</v>
      </c>
      <c r="E11" s="209">
        <f t="shared" si="1"/>
        <v>18703</v>
      </c>
      <c r="F11" s="209">
        <f t="shared" si="1"/>
        <v>5559</v>
      </c>
      <c r="G11" s="208">
        <f t="shared" si="0"/>
        <v>5899716</v>
      </c>
    </row>
    <row r="12" spans="1:7" ht="6.6" customHeight="1" x14ac:dyDescent="0.3">
      <c r="A12" s="37"/>
      <c r="B12" s="69"/>
      <c r="C12" s="69"/>
      <c r="D12" s="69"/>
      <c r="E12" s="69"/>
      <c r="F12" s="69"/>
      <c r="G12" s="70"/>
    </row>
    <row r="13" spans="1:7" x14ac:dyDescent="0.3">
      <c r="A13" s="202" t="s">
        <v>92</v>
      </c>
      <c r="B13" s="194">
        <v>2764</v>
      </c>
      <c r="C13" s="194">
        <v>519</v>
      </c>
      <c r="D13" s="194">
        <v>0</v>
      </c>
      <c r="E13" s="194">
        <v>0</v>
      </c>
      <c r="F13" s="85"/>
      <c r="G13" s="208">
        <f>SUM(B13:E13)</f>
        <v>3283</v>
      </c>
    </row>
    <row r="14" spans="1:7" ht="6.6" customHeight="1" x14ac:dyDescent="0.3">
      <c r="A14" s="37"/>
      <c r="B14" s="69"/>
      <c r="C14" s="69"/>
      <c r="D14" s="69"/>
      <c r="E14" s="69"/>
      <c r="F14" s="69"/>
      <c r="G14" s="70"/>
    </row>
    <row r="15" spans="1:7" x14ac:dyDescent="0.3">
      <c r="A15" s="72" t="s">
        <v>45</v>
      </c>
      <c r="B15" s="210">
        <f>SUM(B11,B13)</f>
        <v>5848551</v>
      </c>
      <c r="C15" s="210">
        <f t="shared" ref="C15:G15" si="2">SUM(C11,C13)</f>
        <v>10048</v>
      </c>
      <c r="D15" s="210">
        <f t="shared" si="2"/>
        <v>20138</v>
      </c>
      <c r="E15" s="210">
        <f t="shared" si="2"/>
        <v>18703</v>
      </c>
      <c r="F15" s="210">
        <f>F11</f>
        <v>5559</v>
      </c>
      <c r="G15" s="210">
        <f t="shared" si="2"/>
        <v>5902999</v>
      </c>
    </row>
    <row r="17" spans="1:2" x14ac:dyDescent="0.3">
      <c r="A17" s="77"/>
      <c r="B17" s="76"/>
    </row>
  </sheetData>
  <pageMargins left="0.7" right="0.7" top="0.75" bottom="0.75" header="0.3" footer="0.3"/>
  <pageSetup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showGridLines="0" zoomScaleNormal="100" workbookViewId="0"/>
  </sheetViews>
  <sheetFormatPr defaultRowHeight="14.4" x14ac:dyDescent="0.3"/>
  <cols>
    <col min="1" max="1" width="20.88671875" bestFit="1" customWidth="1"/>
    <col min="2" max="2" width="15.5546875" bestFit="1" customWidth="1"/>
    <col min="3" max="3" width="17" bestFit="1" customWidth="1"/>
    <col min="4" max="4" width="17.5546875" bestFit="1" customWidth="1"/>
    <col min="5" max="5" width="15.5546875" customWidth="1"/>
    <col min="6" max="6" width="16.5546875" customWidth="1"/>
    <col min="7" max="7" width="16.109375" customWidth="1"/>
  </cols>
  <sheetData>
    <row r="1" spans="1:7" ht="21" customHeight="1" x14ac:dyDescent="0.3">
      <c r="A1" s="75" t="s">
        <v>97</v>
      </c>
      <c r="B1" s="66"/>
      <c r="C1" s="66"/>
    </row>
    <row r="3" spans="1:7" ht="18" x14ac:dyDescent="0.35">
      <c r="B3" s="274" t="s">
        <v>98</v>
      </c>
      <c r="C3" s="274"/>
      <c r="D3" s="274"/>
      <c r="E3" s="274"/>
      <c r="F3" s="275"/>
      <c r="G3" s="275"/>
    </row>
    <row r="4" spans="1:7" x14ac:dyDescent="0.3">
      <c r="A4" s="4"/>
      <c r="B4" s="201" t="s">
        <v>84</v>
      </c>
      <c r="C4" s="201" t="s">
        <v>85</v>
      </c>
      <c r="D4" s="201" t="s">
        <v>86</v>
      </c>
      <c r="E4" s="201" t="s">
        <v>87</v>
      </c>
      <c r="F4" s="201" t="s">
        <v>89</v>
      </c>
      <c r="G4" s="178" t="s">
        <v>90</v>
      </c>
    </row>
    <row r="5" spans="1:7" x14ac:dyDescent="0.3">
      <c r="A5" s="202" t="s">
        <v>11</v>
      </c>
      <c r="B5" s="194">
        <v>5708.5741230000003</v>
      </c>
      <c r="C5" s="194">
        <v>3193.1880000000001</v>
      </c>
      <c r="D5" s="194">
        <v>33.219000000000001</v>
      </c>
      <c r="E5" s="194">
        <v>0</v>
      </c>
      <c r="F5" s="194">
        <v>8.6696999999999996E-2</v>
      </c>
      <c r="G5" s="208">
        <f>SUM(B5:F5)</f>
        <v>8935.0678200000002</v>
      </c>
    </row>
    <row r="6" spans="1:7" x14ac:dyDescent="0.3">
      <c r="A6" s="202" t="s">
        <v>10</v>
      </c>
      <c r="B6" s="194">
        <v>15909.606593066181</v>
      </c>
      <c r="C6" s="194">
        <v>12176.681604179958</v>
      </c>
      <c r="D6" s="194">
        <v>254.22291499999943</v>
      </c>
      <c r="E6" s="194">
        <v>0</v>
      </c>
      <c r="F6" s="194">
        <v>0.2</v>
      </c>
      <c r="G6" s="208">
        <f t="shared" ref="G6:G8" si="0">SUM(B6:F6)</f>
        <v>28340.711112246139</v>
      </c>
    </row>
    <row r="7" spans="1:7" x14ac:dyDescent="0.3">
      <c r="A7" s="202" t="s">
        <v>9</v>
      </c>
      <c r="B7" s="194">
        <v>29159.156828731837</v>
      </c>
      <c r="C7" s="194">
        <v>96293.364226379505</v>
      </c>
      <c r="D7" s="194">
        <v>494.72492353300004</v>
      </c>
      <c r="E7" s="194">
        <v>0</v>
      </c>
      <c r="F7" s="194">
        <v>367.7809749999999</v>
      </c>
      <c r="G7" s="208">
        <f t="shared" si="0"/>
        <v>126315.02695364434</v>
      </c>
    </row>
    <row r="8" spans="1:7" x14ac:dyDescent="0.3">
      <c r="A8" s="202" t="s">
        <v>54</v>
      </c>
      <c r="B8" s="194">
        <v>363</v>
      </c>
      <c r="C8" s="194">
        <v>1977</v>
      </c>
      <c r="D8" s="194">
        <v>0</v>
      </c>
      <c r="E8" s="194">
        <v>2021</v>
      </c>
      <c r="F8" s="194">
        <v>4</v>
      </c>
      <c r="G8" s="208">
        <f t="shared" si="0"/>
        <v>4365</v>
      </c>
    </row>
    <row r="9" spans="1:7" ht="6.6" customHeight="1" x14ac:dyDescent="0.3">
      <c r="A9" s="37"/>
      <c r="B9" s="69"/>
      <c r="C9" s="69"/>
      <c r="D9" s="69"/>
      <c r="E9" s="69"/>
      <c r="F9" s="69"/>
      <c r="G9" s="70"/>
    </row>
    <row r="10" spans="1:7" x14ac:dyDescent="0.3">
      <c r="A10" s="202" t="s">
        <v>99</v>
      </c>
      <c r="B10" s="194">
        <v>946.81311000000005</v>
      </c>
      <c r="C10" s="194">
        <v>28745.785100000001</v>
      </c>
      <c r="D10" s="194">
        <v>0</v>
      </c>
      <c r="E10" s="194">
        <v>0</v>
      </c>
      <c r="F10" s="84"/>
      <c r="G10" s="208">
        <f>SUM(B10:E10)</f>
        <v>29692.59821</v>
      </c>
    </row>
    <row r="11" spans="1:7" ht="6.6" customHeight="1" x14ac:dyDescent="0.3">
      <c r="A11" s="37"/>
      <c r="B11" s="69"/>
      <c r="C11" s="69"/>
      <c r="D11" s="69"/>
      <c r="E11" s="69"/>
      <c r="F11" s="69"/>
      <c r="G11" s="70"/>
    </row>
    <row r="12" spans="1:7" x14ac:dyDescent="0.3">
      <c r="A12" s="72" t="s">
        <v>45</v>
      </c>
      <c r="B12" s="210">
        <f>SUM(B5:B10)</f>
        <v>52087.150654798024</v>
      </c>
      <c r="C12" s="210">
        <f>SUM(C5:C10)</f>
        <v>142386.01893055945</v>
      </c>
      <c r="D12" s="210">
        <f>SUM(D5:D10)</f>
        <v>782.16683853299946</v>
      </c>
      <c r="E12" s="210">
        <f>SUM(E5:E10)</f>
        <v>2021</v>
      </c>
      <c r="F12" s="210">
        <f>SUM(F5:F8)</f>
        <v>372.0676719999999</v>
      </c>
      <c r="G12" s="210">
        <f>SUM(G5:G10)</f>
        <v>197648.40409589047</v>
      </c>
    </row>
    <row r="14" spans="1:7" ht="18" x14ac:dyDescent="0.35">
      <c r="B14" s="274" t="s">
        <v>100</v>
      </c>
      <c r="C14" s="274"/>
      <c r="D14" s="274"/>
      <c r="E14" s="274"/>
      <c r="F14" s="275"/>
      <c r="G14" s="275"/>
    </row>
    <row r="15" spans="1:7" x14ac:dyDescent="0.3">
      <c r="A15" s="4"/>
      <c r="B15" s="201" t="s">
        <v>84</v>
      </c>
      <c r="C15" s="201" t="s">
        <v>85</v>
      </c>
      <c r="D15" s="201" t="s">
        <v>86</v>
      </c>
      <c r="E15" s="201" t="s">
        <v>87</v>
      </c>
      <c r="F15" s="201" t="s">
        <v>89</v>
      </c>
      <c r="G15" s="178" t="s">
        <v>90</v>
      </c>
    </row>
    <row r="16" spans="1:7" x14ac:dyDescent="0.3">
      <c r="A16" s="202" t="s">
        <v>11</v>
      </c>
      <c r="B16" s="194">
        <v>47326.175181883496</v>
      </c>
      <c r="C16" s="194">
        <v>21545.8452</v>
      </c>
      <c r="D16" s="194">
        <v>735.91510000000005</v>
      </c>
      <c r="E16" s="194">
        <v>0</v>
      </c>
      <c r="F16" s="194">
        <v>407.6</v>
      </c>
      <c r="G16" s="208">
        <f>SUM(B16:F16)</f>
        <v>70015.535481883504</v>
      </c>
    </row>
    <row r="17" spans="1:7" x14ac:dyDescent="0.3">
      <c r="A17" s="202" t="s">
        <v>10</v>
      </c>
      <c r="B17" s="194">
        <v>191804.41856300336</v>
      </c>
      <c r="C17" s="194">
        <v>69078.748572299999</v>
      </c>
      <c r="D17" s="194">
        <v>393.45864309998967</v>
      </c>
      <c r="E17" s="194">
        <v>0</v>
      </c>
      <c r="F17" s="194">
        <v>926.5</v>
      </c>
      <c r="G17" s="208">
        <f t="shared" ref="G17:G19" si="1">SUM(B17:F17)</f>
        <v>262203.12577840337</v>
      </c>
    </row>
    <row r="18" spans="1:7" x14ac:dyDescent="0.3">
      <c r="A18" s="202" t="s">
        <v>9</v>
      </c>
      <c r="B18" s="194">
        <v>424839.48155491514</v>
      </c>
      <c r="C18" s="194">
        <v>489417.36853201792</v>
      </c>
      <c r="D18" s="194">
        <v>6321.9126438931025</v>
      </c>
      <c r="E18" s="194">
        <v>0</v>
      </c>
      <c r="F18" s="194">
        <v>2268.0294635419987</v>
      </c>
      <c r="G18" s="208">
        <f t="shared" si="1"/>
        <v>922846.7921943682</v>
      </c>
    </row>
    <row r="19" spans="1:7" x14ac:dyDescent="0.3">
      <c r="A19" s="202" t="s">
        <v>54</v>
      </c>
      <c r="B19" s="194">
        <v>6829.3069999999989</v>
      </c>
      <c r="C19" s="194">
        <v>8680.4629999999997</v>
      </c>
      <c r="D19" s="194">
        <v>0</v>
      </c>
      <c r="E19" s="194">
        <v>43.933177022274329</v>
      </c>
      <c r="F19" s="194">
        <v>40.863</v>
      </c>
      <c r="G19" s="208">
        <f t="shared" si="1"/>
        <v>15594.566177022272</v>
      </c>
    </row>
    <row r="20" spans="1:7" ht="6.6" customHeight="1" x14ac:dyDescent="0.3">
      <c r="A20" s="37"/>
      <c r="B20" s="69"/>
      <c r="C20" s="69"/>
      <c r="D20" s="69"/>
      <c r="E20" s="69"/>
      <c r="F20" s="69"/>
      <c r="G20" s="70"/>
    </row>
    <row r="21" spans="1:7" x14ac:dyDescent="0.3">
      <c r="A21" s="202" t="s">
        <v>99</v>
      </c>
      <c r="B21" s="194">
        <v>3973.2738214239998</v>
      </c>
      <c r="C21" s="194">
        <v>134544.65447010001</v>
      </c>
      <c r="D21" s="194">
        <v>0</v>
      </c>
      <c r="E21" s="194">
        <v>0</v>
      </c>
      <c r="F21" s="84"/>
      <c r="G21" s="208">
        <f t="shared" ref="G21" si="2">SUM(B21:E21)</f>
        <v>138517.928291524</v>
      </c>
    </row>
    <row r="22" spans="1:7" ht="6.6" customHeight="1" x14ac:dyDescent="0.3">
      <c r="A22" s="37"/>
      <c r="B22" s="69"/>
      <c r="C22" s="69"/>
      <c r="D22" s="69"/>
      <c r="E22" s="69"/>
      <c r="F22" s="69"/>
      <c r="G22" s="70"/>
    </row>
    <row r="23" spans="1:7" x14ac:dyDescent="0.3">
      <c r="A23" s="72" t="s">
        <v>45</v>
      </c>
      <c r="B23" s="210">
        <f>SUM(B16:B21)</f>
        <v>674772.65612122603</v>
      </c>
      <c r="C23" s="210">
        <f>SUM(C16:C21)</f>
        <v>723267.07977441791</v>
      </c>
      <c r="D23" s="210">
        <f>SUM(D16:D21)</f>
        <v>7451.2863869930925</v>
      </c>
      <c r="E23" s="210">
        <f>SUM(E16:E21)</f>
        <v>43.933177022274329</v>
      </c>
      <c r="F23" s="210">
        <f>SUM(F16:F19)</f>
        <v>3642.9924635419984</v>
      </c>
      <c r="G23" s="210">
        <f>SUM(G16:G21)</f>
        <v>1409177.9479232014</v>
      </c>
    </row>
    <row r="25" spans="1:7" ht="18" x14ac:dyDescent="0.35">
      <c r="B25" s="274" t="s">
        <v>101</v>
      </c>
      <c r="C25" s="274"/>
      <c r="D25" s="274"/>
      <c r="E25" s="274"/>
      <c r="F25" s="275"/>
      <c r="G25" s="275"/>
    </row>
    <row r="26" spans="1:7" x14ac:dyDescent="0.3">
      <c r="A26" s="4"/>
      <c r="B26" s="201" t="s">
        <v>84</v>
      </c>
      <c r="C26" s="201" t="s">
        <v>85</v>
      </c>
      <c r="D26" s="201" t="s">
        <v>86</v>
      </c>
      <c r="E26" s="201" t="s">
        <v>87</v>
      </c>
      <c r="F26" s="201" t="s">
        <v>89</v>
      </c>
      <c r="G26" s="178" t="s">
        <v>90</v>
      </c>
    </row>
    <row r="27" spans="1:7" x14ac:dyDescent="0.3">
      <c r="A27" s="202" t="s">
        <v>11</v>
      </c>
      <c r="B27" s="194">
        <v>542112.10875265254</v>
      </c>
      <c r="C27" s="194">
        <v>306494.78340000001</v>
      </c>
      <c r="D27" s="194">
        <v>8521.7417000000005</v>
      </c>
      <c r="E27" s="194">
        <v>0</v>
      </c>
      <c r="F27" s="194">
        <v>6389.4898759999996</v>
      </c>
      <c r="G27" s="208">
        <f>SUM(B27:F27)</f>
        <v>863518.1237286526</v>
      </c>
    </row>
    <row r="28" spans="1:7" x14ac:dyDescent="0.3">
      <c r="A28" s="202" t="s">
        <v>10</v>
      </c>
      <c r="B28" s="194">
        <v>2471132.0293476479</v>
      </c>
      <c r="C28" s="194">
        <v>884660.69282099651</v>
      </c>
      <c r="D28" s="194">
        <v>4874.8966091539742</v>
      </c>
      <c r="E28" s="194">
        <v>0</v>
      </c>
      <c r="F28" s="194">
        <v>15085</v>
      </c>
      <c r="G28" s="208">
        <f t="shared" ref="G28:G30" si="3">SUM(B28:F28)</f>
        <v>3375752.6187777985</v>
      </c>
    </row>
    <row r="29" spans="1:7" x14ac:dyDescent="0.3">
      <c r="A29" s="202" t="s">
        <v>9</v>
      </c>
      <c r="B29" s="194">
        <v>5163105.0186353447</v>
      </c>
      <c r="C29" s="194">
        <v>6585838.2972287918</v>
      </c>
      <c r="D29" s="194">
        <v>83805.04835534672</v>
      </c>
      <c r="E29" s="194">
        <v>0</v>
      </c>
      <c r="F29" s="194">
        <v>33844.314586629975</v>
      </c>
      <c r="G29" s="208">
        <f t="shared" si="3"/>
        <v>11866592.678806113</v>
      </c>
    </row>
    <row r="30" spans="1:7" x14ac:dyDescent="0.3">
      <c r="A30" s="202" t="s">
        <v>54</v>
      </c>
      <c r="B30" s="194">
        <v>60370.137000000002</v>
      </c>
      <c r="C30" s="194">
        <v>114215.939</v>
      </c>
      <c r="D30" s="194">
        <v>0</v>
      </c>
      <c r="E30" s="194">
        <v>2210.1</v>
      </c>
      <c r="F30" s="194">
        <v>642.65200000000004</v>
      </c>
      <c r="G30" s="208">
        <f t="shared" si="3"/>
        <v>177438.82800000001</v>
      </c>
    </row>
    <row r="31" spans="1:7" ht="6.6" customHeight="1" x14ac:dyDescent="0.3">
      <c r="A31" s="37"/>
      <c r="B31" s="69"/>
      <c r="C31" s="69"/>
      <c r="D31" s="69"/>
      <c r="E31" s="69"/>
      <c r="F31" s="69"/>
      <c r="G31" s="70"/>
    </row>
    <row r="32" spans="1:7" x14ac:dyDescent="0.3">
      <c r="A32" s="202" t="s">
        <v>99</v>
      </c>
      <c r="B32" s="194">
        <v>79465.4765052</v>
      </c>
      <c r="C32" s="194">
        <v>2401134.8735826998</v>
      </c>
      <c r="D32" s="194">
        <v>0</v>
      </c>
      <c r="E32" s="194">
        <v>0</v>
      </c>
      <c r="F32" s="84"/>
      <c r="G32" s="208">
        <f t="shared" ref="G32" si="4">SUM(B32:E32)</f>
        <v>2480600.3500878997</v>
      </c>
    </row>
    <row r="33" spans="1:7" ht="6.6" customHeight="1" x14ac:dyDescent="0.3">
      <c r="A33" s="37"/>
      <c r="B33" s="69"/>
      <c r="C33" s="69"/>
      <c r="D33" s="69"/>
      <c r="E33" s="69"/>
      <c r="F33" s="69"/>
      <c r="G33" s="70"/>
    </row>
    <row r="34" spans="1:7" x14ac:dyDescent="0.3">
      <c r="A34" s="72" t="s">
        <v>45</v>
      </c>
      <c r="B34" s="210">
        <f>SUM(B27:B32)</f>
        <v>8316184.7702408461</v>
      </c>
      <c r="C34" s="210">
        <f>SUM(C27:C32)</f>
        <v>10292344.586032487</v>
      </c>
      <c r="D34" s="210">
        <f t="shared" ref="D34:E34" si="5">SUM(D27:D32)</f>
        <v>97201.686664500696</v>
      </c>
      <c r="E34" s="210">
        <f t="shared" si="5"/>
        <v>2210.1</v>
      </c>
      <c r="F34" s="210">
        <f>SUM(F27:F30)</f>
        <v>55961.456462629976</v>
      </c>
      <c r="G34" s="210">
        <f>SUM(G27:G32)</f>
        <v>18763902.599400461</v>
      </c>
    </row>
  </sheetData>
  <mergeCells count="3">
    <mergeCell ref="B14:G14"/>
    <mergeCell ref="B25:G25"/>
    <mergeCell ref="B3:G3"/>
  </mergeCells>
  <pageMargins left="0.7" right="0.7" top="0.75" bottom="0.75" header="0.3" footer="0.3"/>
  <pageSetup scale="75" orientation="landscape" r:id="rId1"/>
  <ignoredErrors>
    <ignoredError sqref="F12 F23 F3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showGridLines="0" zoomScaleNormal="100" workbookViewId="0"/>
  </sheetViews>
  <sheetFormatPr defaultRowHeight="14.4" x14ac:dyDescent="0.3"/>
  <cols>
    <col min="1" max="1" width="28" bestFit="1" customWidth="1"/>
    <col min="2" max="2" width="16" customWidth="1"/>
    <col min="3" max="3" width="17.5546875" customWidth="1"/>
    <col min="4" max="4" width="15.5546875" customWidth="1"/>
    <col min="5" max="6" width="17.109375" customWidth="1"/>
    <col min="7" max="7" width="14.5546875" customWidth="1"/>
  </cols>
  <sheetData>
    <row r="1" spans="1:7" ht="21" customHeight="1" x14ac:dyDescent="0.3">
      <c r="A1" s="131" t="s">
        <v>102</v>
      </c>
      <c r="B1" s="131"/>
      <c r="C1" s="131"/>
      <c r="D1" s="131"/>
      <c r="E1" s="131"/>
      <c r="F1" s="131"/>
      <c r="G1" s="131"/>
    </row>
    <row r="3" spans="1:7" ht="18" x14ac:dyDescent="0.35">
      <c r="B3" s="274" t="s">
        <v>103</v>
      </c>
      <c r="C3" s="274"/>
      <c r="D3" s="274"/>
      <c r="E3" s="274"/>
      <c r="F3" s="275"/>
      <c r="G3" s="275"/>
    </row>
    <row r="4" spans="1:7" x14ac:dyDescent="0.3">
      <c r="A4" s="4"/>
      <c r="B4" s="201" t="s">
        <v>84</v>
      </c>
      <c r="C4" s="201" t="s">
        <v>85</v>
      </c>
      <c r="D4" s="201" t="s">
        <v>86</v>
      </c>
      <c r="E4" s="201" t="s">
        <v>87</v>
      </c>
      <c r="F4" s="201" t="s">
        <v>89</v>
      </c>
      <c r="G4" s="178" t="s">
        <v>90</v>
      </c>
    </row>
    <row r="5" spans="1:7" x14ac:dyDescent="0.3">
      <c r="A5" s="202" t="s">
        <v>20</v>
      </c>
      <c r="B5" s="194">
        <v>179314.91797999496</v>
      </c>
      <c r="C5" s="194">
        <v>10426.581520000002</v>
      </c>
      <c r="D5" s="194">
        <v>6665.9689399999561</v>
      </c>
      <c r="E5" s="194">
        <v>0</v>
      </c>
      <c r="F5" s="194">
        <v>3369.9372159999998</v>
      </c>
      <c r="G5" s="208">
        <f>SUM(B5:F5)</f>
        <v>199777.40565599492</v>
      </c>
    </row>
    <row r="6" spans="1:7" x14ac:dyDescent="0.3">
      <c r="A6" s="202" t="s">
        <v>18</v>
      </c>
      <c r="B6" s="194">
        <v>421834</v>
      </c>
      <c r="C6" s="194">
        <v>11048</v>
      </c>
      <c r="D6" s="194">
        <v>11532</v>
      </c>
      <c r="E6" s="194">
        <v>0</v>
      </c>
      <c r="F6" s="194">
        <v>10266</v>
      </c>
      <c r="G6" s="208">
        <f t="shared" ref="G6:G8" si="0">SUM(B6:F6)</f>
        <v>454680</v>
      </c>
    </row>
    <row r="7" spans="1:7" x14ac:dyDescent="0.3">
      <c r="A7" s="202" t="s">
        <v>9</v>
      </c>
      <c r="B7" s="194">
        <v>1685749.2419891101</v>
      </c>
      <c r="C7" s="194">
        <v>298407.2933433422</v>
      </c>
      <c r="D7" s="194">
        <v>64074.74496827423</v>
      </c>
      <c r="E7" s="194">
        <v>0</v>
      </c>
      <c r="F7" s="194">
        <v>14854.073626999994</v>
      </c>
      <c r="G7" s="208">
        <f t="shared" si="0"/>
        <v>2063085.3539277264</v>
      </c>
    </row>
    <row r="8" spans="1:7" x14ac:dyDescent="0.3">
      <c r="A8" s="202" t="s">
        <v>19</v>
      </c>
      <c r="B8" s="194">
        <v>295710.13286999328</v>
      </c>
      <c r="C8" s="194">
        <v>6587.1293276419992</v>
      </c>
      <c r="D8" s="194">
        <v>5508.5803199999773</v>
      </c>
      <c r="E8" s="194">
        <v>0</v>
      </c>
      <c r="F8" s="194">
        <v>4965.3015820000001</v>
      </c>
      <c r="G8" s="208">
        <f t="shared" si="0"/>
        <v>312771.14409963519</v>
      </c>
    </row>
    <row r="9" spans="1:7" ht="6.6" customHeight="1" x14ac:dyDescent="0.3">
      <c r="A9" s="37"/>
      <c r="B9" s="69"/>
      <c r="C9" s="69"/>
      <c r="D9" s="69"/>
      <c r="E9" s="69"/>
      <c r="F9" s="69"/>
      <c r="G9" s="70"/>
    </row>
    <row r="10" spans="1:7" x14ac:dyDescent="0.3">
      <c r="A10" s="202" t="s">
        <v>99</v>
      </c>
      <c r="B10" s="194">
        <v>55127.128920000003</v>
      </c>
      <c r="C10" s="194">
        <v>192624.44761100001</v>
      </c>
      <c r="D10" s="194">
        <v>0</v>
      </c>
      <c r="E10" s="194">
        <v>0</v>
      </c>
      <c r="F10" s="84"/>
      <c r="G10" s="208">
        <f>SUM(B10:E10)</f>
        <v>247751.57653100003</v>
      </c>
    </row>
    <row r="11" spans="1:7" ht="6.6" customHeight="1" x14ac:dyDescent="0.3">
      <c r="A11" s="37"/>
      <c r="B11" s="69"/>
      <c r="C11" s="69"/>
      <c r="D11" s="69"/>
      <c r="E11" s="69"/>
      <c r="F11" s="69"/>
      <c r="G11" s="70"/>
    </row>
    <row r="12" spans="1:7" x14ac:dyDescent="0.3">
      <c r="A12" s="72" t="s">
        <v>45</v>
      </c>
      <c r="B12" s="210">
        <f>SUM(B5:B10)</f>
        <v>2637735.4217590988</v>
      </c>
      <c r="C12" s="210">
        <f>SUM(C5:C10)</f>
        <v>519093.45180198422</v>
      </c>
      <c r="D12" s="210">
        <f>SUM(D5:D10)</f>
        <v>87781.294228274171</v>
      </c>
      <c r="E12" s="210">
        <f>SUM(E5:E10)</f>
        <v>0</v>
      </c>
      <c r="F12" s="210">
        <f>SUM(F5:F8)</f>
        <v>33455.312424999996</v>
      </c>
      <c r="G12" s="210">
        <f>SUM(G5:G10)</f>
        <v>3278065.4802143564</v>
      </c>
    </row>
    <row r="13" spans="1:7" x14ac:dyDescent="0.3">
      <c r="A13" s="3"/>
    </row>
    <row r="14" spans="1:7" ht="18" x14ac:dyDescent="0.35">
      <c r="A14" s="3"/>
      <c r="B14" s="274" t="s">
        <v>104</v>
      </c>
      <c r="C14" s="274"/>
      <c r="D14" s="274"/>
      <c r="E14" s="274"/>
      <c r="F14" s="275"/>
      <c r="G14" s="275"/>
    </row>
    <row r="15" spans="1:7" x14ac:dyDescent="0.3">
      <c r="A15" s="4"/>
      <c r="B15" s="201" t="s">
        <v>84</v>
      </c>
      <c r="C15" s="201" t="s">
        <v>85</v>
      </c>
      <c r="D15" s="201" t="s">
        <v>86</v>
      </c>
      <c r="E15" s="201" t="s">
        <v>87</v>
      </c>
      <c r="F15" s="201" t="s">
        <v>89</v>
      </c>
      <c r="G15" s="178" t="s">
        <v>90</v>
      </c>
    </row>
    <row r="16" spans="1:7" x14ac:dyDescent="0.3">
      <c r="A16" s="202" t="s">
        <v>20</v>
      </c>
      <c r="B16" s="194">
        <v>1050676.8953699463</v>
      </c>
      <c r="C16" s="194">
        <v>179958.01572</v>
      </c>
      <c r="D16" s="194">
        <v>90584.965360000191</v>
      </c>
      <c r="E16" s="194">
        <v>0</v>
      </c>
      <c r="F16" s="194">
        <v>65215.473381999996</v>
      </c>
      <c r="G16" s="208">
        <f>SUM(B16:F16)</f>
        <v>1386435.3498319467</v>
      </c>
    </row>
    <row r="17" spans="1:7" x14ac:dyDescent="0.3">
      <c r="A17" s="202" t="s">
        <v>18</v>
      </c>
      <c r="B17" s="194">
        <v>2709890</v>
      </c>
      <c r="C17" s="194">
        <v>152044</v>
      </c>
      <c r="D17" s="194">
        <v>196047</v>
      </c>
      <c r="E17" s="194">
        <v>0</v>
      </c>
      <c r="F17" s="194">
        <v>188586</v>
      </c>
      <c r="G17" s="208">
        <f t="shared" ref="G17:G19" si="1">SUM(B17:F17)</f>
        <v>3246567</v>
      </c>
    </row>
    <row r="18" spans="1:7" x14ac:dyDescent="0.3">
      <c r="A18" s="202" t="s">
        <v>9</v>
      </c>
      <c r="B18" s="194">
        <v>13100467.280175149</v>
      </c>
      <c r="C18" s="194">
        <v>3285882.2351592327</v>
      </c>
      <c r="D18" s="194">
        <v>615869.90617131395</v>
      </c>
      <c r="E18" s="194">
        <v>0</v>
      </c>
      <c r="F18" s="194">
        <v>267631.04503600014</v>
      </c>
      <c r="G18" s="208">
        <f t="shared" si="1"/>
        <v>17269850.466541696</v>
      </c>
    </row>
    <row r="19" spans="1:7" x14ac:dyDescent="0.3">
      <c r="A19" s="202" t="s">
        <v>19</v>
      </c>
      <c r="B19" s="194">
        <v>2427596.8209998957</v>
      </c>
      <c r="C19" s="194">
        <v>97427.168775000027</v>
      </c>
      <c r="D19" s="194">
        <v>61413.161220000133</v>
      </c>
      <c r="E19" s="194">
        <v>0</v>
      </c>
      <c r="F19" s="194">
        <v>92029.208351999987</v>
      </c>
      <c r="G19" s="208">
        <f t="shared" si="1"/>
        <v>2678466.3593468959</v>
      </c>
    </row>
    <row r="20" spans="1:7" ht="6.6" customHeight="1" x14ac:dyDescent="0.3">
      <c r="A20" s="37"/>
      <c r="B20" s="69"/>
      <c r="C20" s="69"/>
      <c r="D20" s="69"/>
      <c r="E20" s="69"/>
      <c r="F20" s="69"/>
      <c r="G20" s="70"/>
    </row>
    <row r="21" spans="1:7" x14ac:dyDescent="0.3">
      <c r="A21" s="202" t="s">
        <v>99</v>
      </c>
      <c r="B21" s="194">
        <v>1102542.57843</v>
      </c>
      <c r="C21" s="194">
        <v>3636795.9032470002</v>
      </c>
      <c r="D21" s="194">
        <v>0</v>
      </c>
      <c r="E21" s="194">
        <v>0</v>
      </c>
      <c r="F21" s="84"/>
      <c r="G21" s="208">
        <f>SUM(B21:E21)</f>
        <v>4739338.4816770004</v>
      </c>
    </row>
    <row r="22" spans="1:7" ht="6.6" customHeight="1" x14ac:dyDescent="0.3">
      <c r="A22" s="37"/>
      <c r="B22" s="69"/>
      <c r="C22" s="69"/>
      <c r="D22" s="69"/>
      <c r="E22" s="69"/>
      <c r="F22" s="69"/>
      <c r="G22" s="70"/>
    </row>
    <row r="23" spans="1:7" x14ac:dyDescent="0.3">
      <c r="A23" s="72" t="s">
        <v>45</v>
      </c>
      <c r="B23" s="210">
        <f>SUM(B16:B21)</f>
        <v>20391173.574974991</v>
      </c>
      <c r="C23" s="210">
        <f>SUM(C16:C21)</f>
        <v>7352107.3229012331</v>
      </c>
      <c r="D23" s="210">
        <f>SUM(D16:D21)</f>
        <v>963915.03275131434</v>
      </c>
      <c r="E23" s="210">
        <f>SUM(E16:E21)</f>
        <v>0</v>
      </c>
      <c r="F23" s="210">
        <f>SUM(F16:F19)</f>
        <v>613461.72677000007</v>
      </c>
      <c r="G23" s="210">
        <f>SUM(G16:G21)</f>
        <v>29320657.657397538</v>
      </c>
    </row>
  </sheetData>
  <mergeCells count="2">
    <mergeCell ref="B14:G14"/>
    <mergeCell ref="B3:G3"/>
  </mergeCell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showGridLines="0" zoomScaleNormal="100" workbookViewId="0"/>
  </sheetViews>
  <sheetFormatPr defaultRowHeight="14.4" x14ac:dyDescent="0.3"/>
  <cols>
    <col min="1" max="1" width="29.109375" customWidth="1"/>
    <col min="2" max="4" width="11.5546875" bestFit="1" customWidth="1"/>
    <col min="5" max="6" width="12.44140625" customWidth="1"/>
    <col min="7" max="8" width="11.5546875" bestFit="1" customWidth="1"/>
    <col min="9" max="9" width="12.44140625" customWidth="1"/>
  </cols>
  <sheetData>
    <row r="1" spans="1:10" ht="18" x14ac:dyDescent="0.3">
      <c r="A1" s="130" t="s">
        <v>105</v>
      </c>
    </row>
    <row r="3" spans="1:10" s="14" customFormat="1" ht="14.4" customHeight="1" x14ac:dyDescent="0.3">
      <c r="B3" s="261" t="s">
        <v>57</v>
      </c>
      <c r="C3" s="262"/>
      <c r="D3" s="262"/>
      <c r="E3" s="263"/>
      <c r="F3" s="261" t="s">
        <v>58</v>
      </c>
      <c r="G3" s="262"/>
      <c r="H3" s="262"/>
      <c r="I3" s="263"/>
    </row>
    <row r="4" spans="1:10" s="14" customFormat="1" x14ac:dyDescent="0.3">
      <c r="A4" s="276" t="s">
        <v>106</v>
      </c>
      <c r="B4" s="277" t="s">
        <v>76</v>
      </c>
      <c r="C4" s="277" t="s">
        <v>77</v>
      </c>
      <c r="D4" s="277" t="s">
        <v>78</v>
      </c>
      <c r="E4" s="277" t="s">
        <v>63</v>
      </c>
      <c r="F4" s="277" t="s">
        <v>76</v>
      </c>
      <c r="G4" s="277" t="s">
        <v>77</v>
      </c>
      <c r="H4" s="277" t="s">
        <v>78</v>
      </c>
      <c r="I4" s="277" t="s">
        <v>63</v>
      </c>
    </row>
    <row r="5" spans="1:10" s="14" customFormat="1" x14ac:dyDescent="0.3">
      <c r="A5" s="276"/>
      <c r="B5" s="278"/>
      <c r="C5" s="278"/>
      <c r="D5" s="278"/>
      <c r="E5" s="278"/>
      <c r="F5" s="278"/>
      <c r="G5" s="278"/>
      <c r="H5" s="278"/>
      <c r="I5" s="278"/>
    </row>
    <row r="6" spans="1:10" s="14" customFormat="1" x14ac:dyDescent="0.3">
      <c r="A6" s="276"/>
      <c r="B6" s="279"/>
      <c r="C6" s="279"/>
      <c r="D6" s="279"/>
      <c r="E6" s="279"/>
      <c r="F6" s="279"/>
      <c r="G6" s="279"/>
      <c r="H6" s="279"/>
      <c r="I6" s="279"/>
    </row>
    <row r="7" spans="1:10" s="14" customFormat="1" x14ac:dyDescent="0.3">
      <c r="A7" s="20" t="s">
        <v>11</v>
      </c>
      <c r="B7" s="16">
        <f>SUM('Current Year Programs'!C34*1292/2200)</f>
        <v>41118.214473906133</v>
      </c>
      <c r="C7" s="16">
        <f>SUM('Current Year Programs'!C34*0.83/2200)</f>
        <v>26.414952022710594</v>
      </c>
      <c r="D7" s="16">
        <f>SUM('Current Year Programs'!C34*0.67/2200)</f>
        <v>21.322913078573613</v>
      </c>
      <c r="E7" s="16">
        <f>SUM('Current Year Programs'!C34*1.1/1000)</f>
        <v>77.017089030071858</v>
      </c>
      <c r="F7" s="16">
        <f>SUM('Current Year Programs'!D34*1292/2200)</f>
        <v>507120.64357155422</v>
      </c>
      <c r="G7" s="16">
        <f>SUM('Current Year Programs'!D34*0.83/2200)</f>
        <v>325.78183758853714</v>
      </c>
      <c r="H7" s="16">
        <f>SUM('Current Year Programs'!D34*0.67/2200)</f>
        <v>262.98051949918056</v>
      </c>
      <c r="I7" s="16">
        <f>SUM('Current Year Programs'!D34*1.1/1000)</f>
        <v>949.86993610151796</v>
      </c>
    </row>
    <row r="8" spans="1:10" s="14" customFormat="1" x14ac:dyDescent="0.3">
      <c r="A8" s="19" t="s">
        <v>10</v>
      </c>
      <c r="B8" s="16">
        <f>SUM('Current Year Programs'!C35*1292/2200)</f>
        <v>153984.74477531688</v>
      </c>
      <c r="C8" s="16">
        <f>SUM('Current Year Programs'!C35*0.83/2200)</f>
        <v>98.922088361852175</v>
      </c>
      <c r="D8" s="16">
        <f>SUM('Current Year Programs'!C35*0.67/2200)</f>
        <v>79.852770123422843</v>
      </c>
      <c r="E8" s="16">
        <f>SUM('Current Year Programs'!C35*1.1/1000)</f>
        <v>288.42343835624371</v>
      </c>
      <c r="F8" s="16">
        <f>SUM('Current Year Programs'!D35*1292/2200)</f>
        <v>1982487.4470276888</v>
      </c>
      <c r="G8" s="16">
        <f>SUM('Current Year Programs'!D35*0.83/2200)</f>
        <v>1273.5793970843513</v>
      </c>
      <c r="H8" s="16">
        <f>SUM('Current Year Programs'!D35*0.67/2200)</f>
        <v>1028.0701157186932</v>
      </c>
      <c r="I8" s="16">
        <f>SUM('Current Year Programs'!D35*1.1/1000)</f>
        <v>3713.3278806555786</v>
      </c>
    </row>
    <row r="9" spans="1:10" s="14" customFormat="1" ht="14.4" customHeight="1" x14ac:dyDescent="0.3">
      <c r="A9" s="19" t="s">
        <v>9</v>
      </c>
      <c r="B9" s="16">
        <f>SUM('Current Year Programs'!C36*1292/2200)</f>
        <v>541962.75250687439</v>
      </c>
      <c r="C9" s="16">
        <f>SUM('Current Year Programs'!C36*0.83/2200)</f>
        <v>348.1649261460571</v>
      </c>
      <c r="D9" s="16">
        <f>SUM('Current Year Programs'!C36*0.67/2200)</f>
        <v>281.04879580464848</v>
      </c>
      <c r="E9" s="16">
        <f>SUM('Current Year Programs'!C36*1.1/1000)</f>
        <v>1015.1314714138051</v>
      </c>
      <c r="F9" s="16">
        <f>SUM('Current Year Programs'!D36*1292/2200)</f>
        <v>6968926.2459170446</v>
      </c>
      <c r="G9" s="16">
        <f>SUM('Current Year Programs'!D36*0.83/2200)</f>
        <v>4476.9417833677608</v>
      </c>
      <c r="H9" s="16">
        <f>SUM('Current Year Programs'!D36*0.67/2200)</f>
        <v>3613.9168612727708</v>
      </c>
      <c r="I9" s="16">
        <f>SUM('Current Year Programs'!D36*1.1/1000)</f>
        <v>13053.251946686725</v>
      </c>
    </row>
    <row r="10" spans="1:10" s="14" customFormat="1" ht="14.4" customHeight="1" x14ac:dyDescent="0.3">
      <c r="A10" s="19" t="s">
        <v>54</v>
      </c>
      <c r="B10" s="16">
        <f>SUM('Current Year Programs'!C37*1292/2200)</f>
        <v>9158.263409414898</v>
      </c>
      <c r="C10" s="16">
        <f>SUM('Current Year Programs'!C37*0.83/2200)</f>
        <v>5.8834045122402205</v>
      </c>
      <c r="D10" s="16">
        <f>SUM('Current Year Programs'!C37*0.67/2200)</f>
        <v>4.7492542448204196</v>
      </c>
      <c r="E10" s="16">
        <f>SUM('Current Year Programs'!C37*1.1/1000)</f>
        <v>17.154022794724501</v>
      </c>
      <c r="F10" s="16">
        <f>SUM('Current Year Programs'!D37*1292/2200)</f>
        <v>104204.98444363638</v>
      </c>
      <c r="G10" s="16">
        <f>SUM('Current Year Programs'!D37*0.83/2200)</f>
        <v>66.942830563636363</v>
      </c>
      <c r="H10" s="16">
        <f>SUM('Current Year Programs'!D37*0.67/2200)</f>
        <v>54.038188527272737</v>
      </c>
      <c r="I10" s="16">
        <f>SUM('Current Year Programs'!D37*1.1/1000)</f>
        <v>195.18271080000002</v>
      </c>
    </row>
    <row r="11" spans="1:10" s="13" customFormat="1" ht="4.3499999999999996" customHeight="1" x14ac:dyDescent="0.3">
      <c r="A11" s="44"/>
      <c r="B11" s="45"/>
      <c r="C11" s="45"/>
      <c r="D11" s="44"/>
      <c r="E11" s="44"/>
      <c r="F11" s="44"/>
      <c r="G11" s="44"/>
      <c r="H11" s="44"/>
      <c r="I11" s="44"/>
    </row>
    <row r="12" spans="1:10" s="14" customFormat="1" ht="14.4" customHeight="1" x14ac:dyDescent="0.3">
      <c r="A12" s="23" t="s">
        <v>73</v>
      </c>
      <c r="B12" s="211">
        <f>SUM('Current Year Programs'!C39*1292/2200)</f>
        <v>81347.801523931368</v>
      </c>
      <c r="C12" s="211">
        <f>SUM('Current Year Programs'!C39*0.83/2200)</f>
        <v>52.259036582711332</v>
      </c>
      <c r="D12" s="211">
        <f>SUM('Current Year Programs'!C39*0.67/2200)</f>
        <v>42.185005434236857</v>
      </c>
      <c r="E12" s="211">
        <f>SUM('Current Year Programs'!C39*1.1/1000)</f>
        <v>152.36972112067642</v>
      </c>
      <c r="F12" s="211">
        <f>SUM('Current Year Programs'!D39*1292/2200)</f>
        <v>1456788.9328698029</v>
      </c>
      <c r="G12" s="211">
        <f>SUM('Current Year Programs'!D39*0.83/2200)</f>
        <v>935.8628593513439</v>
      </c>
      <c r="H12" s="211">
        <f>SUM('Current Year Programs'!D39*0.67/2200)</f>
        <v>755.4555611631331</v>
      </c>
      <c r="I12" s="211">
        <f>SUM('Current Year Programs'!D39*1.1/1000)</f>
        <v>2728.6603850966899</v>
      </c>
    </row>
    <row r="13" spans="1:10" s="13" customFormat="1" ht="4.3499999999999996" customHeight="1" x14ac:dyDescent="0.3">
      <c r="B13" s="40"/>
      <c r="C13" s="40"/>
    </row>
    <row r="14" spans="1:10" s="14" customFormat="1" x14ac:dyDescent="0.3">
      <c r="A14" s="82" t="s">
        <v>107</v>
      </c>
      <c r="B14" s="212">
        <f t="shared" ref="B14:H14" si="0">SUM(B7:B12)</f>
        <v>827571.77668944362</v>
      </c>
      <c r="C14" s="15">
        <f t="shared" si="0"/>
        <v>531.64440762557149</v>
      </c>
      <c r="D14" s="15">
        <f t="shared" si="0"/>
        <v>429.15873868570225</v>
      </c>
      <c r="E14" s="80">
        <f t="shared" si="0"/>
        <v>1550.0957427155215</v>
      </c>
      <c r="F14" s="15">
        <f t="shared" si="0"/>
        <v>11019528.253829727</v>
      </c>
      <c r="G14" s="15">
        <f t="shared" si="0"/>
        <v>7079.1087079556301</v>
      </c>
      <c r="H14" s="15">
        <f t="shared" si="0"/>
        <v>5714.4612461810502</v>
      </c>
      <c r="I14" s="81">
        <f>SUM(I7:I12)</f>
        <v>20640.292859340512</v>
      </c>
    </row>
    <row r="15" spans="1:10" s="14" customFormat="1" ht="14.4" customHeight="1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1"/>
    </row>
    <row r="16" spans="1:10" s="14" customFormat="1" x14ac:dyDescent="0.3">
      <c r="B16" s="261" t="s">
        <v>57</v>
      </c>
      <c r="C16" s="263"/>
      <c r="D16" s="261" t="s">
        <v>58</v>
      </c>
      <c r="E16" s="263"/>
      <c r="H16" s="46"/>
    </row>
    <row r="17" spans="1:8" s="14" customFormat="1" x14ac:dyDescent="0.3">
      <c r="A17" s="276" t="s">
        <v>108</v>
      </c>
      <c r="B17" s="252" t="s">
        <v>76</v>
      </c>
      <c r="C17" s="252" t="s">
        <v>77</v>
      </c>
      <c r="D17" s="252" t="s">
        <v>76</v>
      </c>
      <c r="E17" s="252" t="s">
        <v>77</v>
      </c>
      <c r="H17" s="47"/>
    </row>
    <row r="18" spans="1:8" s="14" customFormat="1" x14ac:dyDescent="0.3">
      <c r="A18" s="276"/>
      <c r="B18" s="252"/>
      <c r="C18" s="252"/>
      <c r="D18" s="252"/>
      <c r="E18" s="252"/>
    </row>
    <row r="19" spans="1:8" s="14" customFormat="1" x14ac:dyDescent="0.3">
      <c r="A19" s="276"/>
      <c r="B19" s="252"/>
      <c r="C19" s="252"/>
      <c r="D19" s="252"/>
      <c r="E19" s="252"/>
    </row>
    <row r="20" spans="1:8" s="14" customFormat="1" ht="14.4" customHeight="1" x14ac:dyDescent="0.3">
      <c r="A20" s="19" t="s">
        <v>20</v>
      </c>
      <c r="B20" s="17">
        <f>SUM('Current Year Programs'!B46*117/2200)</f>
        <v>10624.525664432456</v>
      </c>
      <c r="C20" s="16">
        <f>SUM('Current Year Programs'!B46*0.83/2200)</f>
        <v>75.370566679307174</v>
      </c>
      <c r="D20" s="16">
        <f>SUM('Current Year Programs'!C46*117/2200)</f>
        <v>73733.152695608078</v>
      </c>
      <c r="E20" s="16">
        <f>SUM('Current Year Programs'!C46*0.83/2200)</f>
        <v>523.06424561841629</v>
      </c>
    </row>
    <row r="21" spans="1:8" s="14" customFormat="1" x14ac:dyDescent="0.3">
      <c r="A21" s="19" t="s">
        <v>18</v>
      </c>
      <c r="B21" s="17">
        <f>SUM('Current Year Programs'!B47*117/2200)</f>
        <v>24180.709090909091</v>
      </c>
      <c r="C21" s="16">
        <f>SUM('Current Year Programs'!B47*0.83/2200)</f>
        <v>171.53836363636361</v>
      </c>
      <c r="D21" s="16">
        <f>SUM('Current Year Programs'!C47*117/2200)</f>
        <v>172658.33590909091</v>
      </c>
      <c r="E21" s="16">
        <f>SUM('Current Year Programs'!C47*0.83/2200)</f>
        <v>1224.8411863636363</v>
      </c>
    </row>
    <row r="22" spans="1:8" s="14" customFormat="1" x14ac:dyDescent="0.3">
      <c r="A22" s="19" t="s">
        <v>9</v>
      </c>
      <c r="B22" s="17">
        <f>SUM('Current Year Programs'!B48*117/2200)</f>
        <v>109718.63018615636</v>
      </c>
      <c r="C22" s="16">
        <f>SUM('Current Year Programs'!B48*0.83/2200)</f>
        <v>778.34583807273316</v>
      </c>
      <c r="D22" s="16">
        <f>SUM('Current Year Programs'!C48*117/2200)</f>
        <v>918442.04753880831</v>
      </c>
      <c r="E22" s="16">
        <f>SUM('Current Year Programs'!C48*0.83/2200)</f>
        <v>6515.4435851043663</v>
      </c>
    </row>
    <row r="23" spans="1:8" s="14" customFormat="1" x14ac:dyDescent="0.3">
      <c r="A23" s="18" t="s">
        <v>19</v>
      </c>
      <c r="B23" s="17">
        <f>SUM('Current Year Programs'!B49*117/2200)</f>
        <v>16633.738118026053</v>
      </c>
      <c r="C23" s="16">
        <f>SUM('Current Year Programs'!B49*0.83/2200)</f>
        <v>118.00002254668054</v>
      </c>
      <c r="D23" s="16">
        <f>SUM('Current Year Programs'!C49*117/2200)</f>
        <v>142445.71092890311</v>
      </c>
      <c r="E23" s="16">
        <f>SUM('Current Year Programs'!C49*0.83/2200)</f>
        <v>1010.5123082990561</v>
      </c>
    </row>
    <row r="24" spans="1:8" s="13" customFormat="1" ht="4.3499999999999996" customHeight="1" x14ac:dyDescent="0.3">
      <c r="A24" s="44"/>
      <c r="B24" s="45"/>
      <c r="C24" s="45"/>
      <c r="D24" s="44"/>
      <c r="E24" s="44"/>
    </row>
    <row r="25" spans="1:8" s="14" customFormat="1" x14ac:dyDescent="0.3">
      <c r="A25" s="18" t="s">
        <v>73</v>
      </c>
      <c r="B25" s="17">
        <f>SUM('Current Year Programs'!B51*117/2200)</f>
        <v>13175.879297330455</v>
      </c>
      <c r="C25" s="16">
        <f>SUM('Current Year Programs'!B51*0.83/2200)</f>
        <v>93.469912963968184</v>
      </c>
      <c r="D25" s="16">
        <f>SUM('Current Year Programs'!C51*117/2200)</f>
        <v>252046.63743464046</v>
      </c>
      <c r="E25" s="16">
        <f>SUM('Current Year Programs'!C51*0.83/2200)</f>
        <v>1788.0231544508683</v>
      </c>
    </row>
    <row r="26" spans="1:8" s="13" customFormat="1" ht="4.3499999999999996" customHeight="1" x14ac:dyDescent="0.3">
      <c r="A26" s="44"/>
      <c r="B26" s="45"/>
      <c r="C26" s="45"/>
      <c r="D26" s="44"/>
      <c r="E26" s="44"/>
    </row>
    <row r="27" spans="1:8" s="14" customFormat="1" x14ac:dyDescent="0.3">
      <c r="A27" s="82" t="s">
        <v>109</v>
      </c>
      <c r="B27" s="212">
        <f>SUM(B20:B25)</f>
        <v>174333.48235685442</v>
      </c>
      <c r="C27" s="212">
        <f>SUM(C20:C25)</f>
        <v>1236.7247038990529</v>
      </c>
      <c r="D27" s="212">
        <f>SUM(D20:D25)</f>
        <v>1559325.884507051</v>
      </c>
      <c r="E27" s="212">
        <f>SUM(E20:E25)</f>
        <v>11061.884479836343</v>
      </c>
    </row>
  </sheetData>
  <mergeCells count="18">
    <mergeCell ref="B3:E3"/>
    <mergeCell ref="F3:I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B16:C16"/>
    <mergeCell ref="D16:E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scale="72" orientation="landscape" horizontalDpi="4294967293" verticalDpi="300" r:id="rId1"/>
  <ignoredErrors>
    <ignoredError sqref="C24 D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E26D29C6A204E8099981F1DB64922" ma:contentTypeVersion="14" ma:contentTypeDescription="Create a new document." ma:contentTypeScope="" ma:versionID="1de2e0e2a259579e9f86285562063010">
  <xsd:schema xmlns:xsd="http://www.w3.org/2001/XMLSchema" xmlns:xs="http://www.w3.org/2001/XMLSchema" xmlns:p="http://schemas.microsoft.com/office/2006/metadata/properties" xmlns:ns2="67f4faaa-98e4-4c64-b600-a96b0554d0cd" xmlns:ns3="1640fdd7-e3e9-4b33-b4ff-9ab203a7e4a5" targetNamespace="http://schemas.microsoft.com/office/2006/metadata/properties" ma:root="true" ma:fieldsID="d32670d9dc35ffd9b0438de0622d96d7" ns2:_="" ns3:_="">
    <xsd:import namespace="67f4faaa-98e4-4c64-b600-a96b0554d0cd"/>
    <xsd:import namespace="1640fdd7-e3e9-4b33-b4ff-9ab203a7e4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4faaa-98e4-4c64-b600-a96b0554d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0fdd7-e3e9-4b33-b4ff-9ab203a7e4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6f28d35-2e07-418d-9d0c-6ac1b28d981c}" ma:internalName="TaxCatchAll" ma:showField="CatchAllData" ma:web="1640fdd7-e3e9-4b33-b4ff-9ab203a7e4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f4faaa-98e4-4c64-b600-a96b0554d0cd">
      <Terms xmlns="http://schemas.microsoft.com/office/infopath/2007/PartnerControls"/>
    </lcf76f155ced4ddcb4097134ff3c332f>
    <TaxCatchAll xmlns="1640fdd7-e3e9-4b33-b4ff-9ab203a7e4a5" xsi:nil="true"/>
  </documentManagement>
</p:properties>
</file>

<file path=customXml/itemProps1.xml><?xml version="1.0" encoding="utf-8"?>
<ds:datastoreItem xmlns:ds="http://schemas.openxmlformats.org/officeDocument/2006/customXml" ds:itemID="{B66F7385-B20F-41A3-9AF0-917C8DB4F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DE0E48-8010-4D15-B4B9-EEAD8D7B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4faaa-98e4-4c64-b600-a96b0554d0cd"/>
    <ds:schemaRef ds:uri="1640fdd7-e3e9-4b33-b4ff-9ab203a7e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C1C92-7FB6-4F63-8AAF-76030A8E688C}">
  <ds:schemaRefs>
    <ds:schemaRef ds:uri="http://schemas.microsoft.com/office/2006/metadata/properties"/>
    <ds:schemaRef ds:uri="http://schemas.microsoft.com/office/infopath/2007/PartnerControls"/>
    <ds:schemaRef ds:uri="67f4faaa-98e4-4c64-b600-a96b0554d0cd"/>
    <ds:schemaRef ds:uri="1640fdd7-e3e9-4b33-b4ff-9ab203a7e4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Sheet1</vt:lpstr>
      <vt:lpstr>Statewide Totals</vt:lpstr>
      <vt:lpstr>Current Year Programs</vt:lpstr>
      <vt:lpstr>Legacy Programs</vt:lpstr>
      <vt:lpstr>Budgets, Expenses &amp; Incentives</vt:lpstr>
      <vt:lpstr>Participants</vt:lpstr>
      <vt:lpstr>Electric Savings</vt:lpstr>
      <vt:lpstr>Gas Savings</vt:lpstr>
      <vt:lpstr>Emissions Reductions</vt:lpstr>
      <vt:lpstr>Goals</vt:lpstr>
      <vt:lpstr>Energy Savings % Retail Sales</vt:lpstr>
      <vt:lpstr>Performance vs Goals</vt:lpstr>
      <vt:lpstr>Qtr Electric Master</vt:lpstr>
      <vt:lpstr>'Current Year Programs'!Print_Area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Menon, Nisha</dc:creator>
  <cp:keywords/>
  <dc:description/>
  <cp:lastModifiedBy>Chao, Philip [BPU]</cp:lastModifiedBy>
  <cp:revision/>
  <dcterms:created xsi:type="dcterms:W3CDTF">2021-04-01T12:59:18Z</dcterms:created>
  <dcterms:modified xsi:type="dcterms:W3CDTF">2024-10-30T18:15:09Z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0x010100ACC415B02D5A274BB5247C7E04B614CD</vt:lpwstr>
  </property>
  <property fmtid="{D5CDD505-2E9C-101B-9397-08002B2CF9AE}" pid="3" name="_dlc_DocIdItemGuid">
    <vt:lpwstr>d518755f-b4dd-401e-8d27-8b5a3f646fcf</vt:lpwstr>
  </property>
  <property fmtid="{D5CDD505-2E9C-101B-9397-08002B2CF9AE}" pid="4" name="MediaServiceImageTags">
    <vt:lpwstr/>
  </property>
</Properties>
</file>